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HP\Documents\AFSEasy\Financials\"/>
    </mc:Choice>
  </mc:AlternateContent>
  <xr:revisionPtr revIDLastSave="0" documentId="13_ncr:1_{24F8C7FC-D682-48EB-AF33-0EA2AAB6E39F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Instruction" sheetId="247" r:id="rId1"/>
    <sheet name="FS" sheetId="1" r:id="rId2"/>
    <sheet name="Criteria" sheetId="4" r:id="rId3"/>
    <sheet name="FS2" sheetId="248" r:id="rId4"/>
    <sheet name="TrialBalance" sheetId="5" r:id="rId5"/>
    <sheet name="Journals" sheetId="26" r:id="rId6"/>
    <sheet name="TBClient" sheetId="112" r:id="rId7"/>
    <sheet name="GLClient" sheetId="115" r:id="rId8"/>
    <sheet name="FARegister" sheetId="89" r:id="rId9"/>
    <sheet name="TARegister" sheetId="242" r:id="rId10"/>
    <sheet name="VAT" sheetId="80" r:id="rId11"/>
    <sheet name="ILoans" sheetId="168" r:id="rId12"/>
    <sheet name="IFree" sheetId="169" r:id="rId13"/>
    <sheet name="NC Receivables" sheetId="229" r:id="rId14"/>
    <sheet name="Stock" sheetId="206" r:id="rId15"/>
    <sheet name="Debtors" sheetId="187" r:id="rId16"/>
    <sheet name="Bank" sheetId="178" r:id="rId17"/>
    <sheet name="Creditors" sheetId="167" r:id="rId18"/>
    <sheet name="Expenses" sheetId="240" r:id="rId19"/>
    <sheet name="Open" sheetId="124" r:id="rId20"/>
    <sheet name="Loan 1" sheetId="230" r:id="rId21"/>
    <sheet name="FLease1" sheetId="231" r:id="rId22"/>
    <sheet name="TrialBalanceA" sheetId="136" r:id="rId23"/>
    <sheet name="JournalsA" sheetId="149" r:id="rId24"/>
    <sheet name="TrialBalanceB" sheetId="190" r:id="rId25"/>
    <sheet name="JournalsB" sheetId="189" r:id="rId26"/>
    <sheet name="TrialBalanceC" sheetId="192" r:id="rId27"/>
    <sheet name="JournalsC" sheetId="193" r:id="rId28"/>
  </sheets>
  <externalReferences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_ftn1" localSheetId="1">FS!#REF!</definedName>
    <definedName name="_ftn1" localSheetId="3">'FS2'!#REF!</definedName>
    <definedName name="_ftnref1" localSheetId="1">FS!#REF!</definedName>
    <definedName name="_ftnref1" localSheetId="3">'FS2'!#REF!</definedName>
    <definedName name="_Movesheet" localSheetId="15">#REF!</definedName>
    <definedName name="_Movesheet" localSheetId="0">#REF!</definedName>
    <definedName name="_Movesheet" localSheetId="25">#REF!</definedName>
    <definedName name="_Movesheet" localSheetId="27">#REF!</definedName>
    <definedName name="_Movesheet" localSheetId="14">#REF!</definedName>
    <definedName name="_Movesheet" localSheetId="24">#REF!</definedName>
    <definedName name="_Movesheet" localSheetId="26">#REF!</definedName>
    <definedName name="_Movesheet">#REF!</definedName>
    <definedName name="_MoveSheet2" localSheetId="15">#REF!</definedName>
    <definedName name="_MoveSheet2" localSheetId="0">#REF!</definedName>
    <definedName name="_MoveSheet2" localSheetId="25">#REF!</definedName>
    <definedName name="_MoveSheet2" localSheetId="27">#REF!</definedName>
    <definedName name="_MoveSheet2" localSheetId="14">#REF!</definedName>
    <definedName name="_MoveSheet2" localSheetId="24">#REF!</definedName>
    <definedName name="_MoveSheet2" localSheetId="26">#REF!</definedName>
    <definedName name="_MoveSheet2">#REF!</definedName>
    <definedName name="_MoveSheet3" localSheetId="15">#REF!</definedName>
    <definedName name="_MoveSheet3" localSheetId="0">#REF!</definedName>
    <definedName name="_MoveSheet3" localSheetId="25">#REF!</definedName>
    <definedName name="_MoveSheet3" localSheetId="27">#REF!</definedName>
    <definedName name="_MoveSheet3" localSheetId="14">#REF!</definedName>
    <definedName name="_MoveSheet3" localSheetId="24">#REF!</definedName>
    <definedName name="_MoveSheet3" localSheetId="26">#REF!</definedName>
    <definedName name="_MoveSheet3">#REF!</definedName>
    <definedName name="_MoveSheet4" localSheetId="15">#REF!</definedName>
    <definedName name="_MoveSheet4" localSheetId="0">#REF!</definedName>
    <definedName name="_MoveSheet4" localSheetId="25">#REF!</definedName>
    <definedName name="_MoveSheet4" localSheetId="27">#REF!</definedName>
    <definedName name="_MoveSheet4" localSheetId="14">#REF!</definedName>
    <definedName name="_MoveSheet4" localSheetId="24">#REF!</definedName>
    <definedName name="_MoveSheet4" localSheetId="26">#REF!</definedName>
    <definedName name="_MoveSheet4">#REF!</definedName>
    <definedName name="_MoveSheet5" localSheetId="15">#REF!</definedName>
    <definedName name="_MoveSheet5" localSheetId="0">#REF!</definedName>
    <definedName name="_MoveSheet5" localSheetId="25">#REF!</definedName>
    <definedName name="_MoveSheet5" localSheetId="27">#REF!</definedName>
    <definedName name="_MoveSheet5" localSheetId="14">#REF!</definedName>
    <definedName name="_MoveSheet5" localSheetId="24">#REF!</definedName>
    <definedName name="_MoveSheet5" localSheetId="26">#REF!</definedName>
    <definedName name="_MoveSheet5">#REF!</definedName>
    <definedName name="_MoveSheet6" localSheetId="15">#REF!</definedName>
    <definedName name="_MoveSheet6" localSheetId="0">#REF!</definedName>
    <definedName name="_MoveSheet6" localSheetId="25">#REF!</definedName>
    <definedName name="_MoveSheet6" localSheetId="27">#REF!</definedName>
    <definedName name="_MoveSheet6" localSheetId="14">#REF!</definedName>
    <definedName name="_MoveSheet6" localSheetId="24">#REF!</definedName>
    <definedName name="_MoveSheet6" localSheetId="26">#REF!</definedName>
    <definedName name="_MoveSheet6">#REF!</definedName>
    <definedName name="_MoveSheet7" localSheetId="15">#REF!</definedName>
    <definedName name="_MoveSheet7" localSheetId="0">#REF!</definedName>
    <definedName name="_MoveSheet7" localSheetId="25">#REF!</definedName>
    <definedName name="_MoveSheet7" localSheetId="27">#REF!</definedName>
    <definedName name="_MoveSheet7" localSheetId="14">#REF!</definedName>
    <definedName name="_MoveSheet7" localSheetId="24">#REF!</definedName>
    <definedName name="_MoveSheet7" localSheetId="26">#REF!</definedName>
    <definedName name="_MoveSheet7">#REF!</definedName>
    <definedName name="_MoveSheet8" localSheetId="15">#REF!</definedName>
    <definedName name="_MoveSheet8" localSheetId="0">#REF!</definedName>
    <definedName name="_MoveSheet8" localSheetId="25">#REF!</definedName>
    <definedName name="_MoveSheet8" localSheetId="27">#REF!</definedName>
    <definedName name="_MoveSheet8" localSheetId="14">#REF!</definedName>
    <definedName name="_MoveSheet8" localSheetId="24">#REF!</definedName>
    <definedName name="_MoveSheet8" localSheetId="26">#REF!</definedName>
    <definedName name="_MoveSheet8">#REF!</definedName>
    <definedName name="_MoveSheet9" localSheetId="15">#REF!</definedName>
    <definedName name="_MoveSheet9" localSheetId="0">#REF!</definedName>
    <definedName name="_MoveSheet9" localSheetId="25">#REF!</definedName>
    <definedName name="_MoveSheet9" localSheetId="27">#REF!</definedName>
    <definedName name="_MoveSheet9" localSheetId="14">#REF!</definedName>
    <definedName name="_MoveSheet9" localSheetId="24">#REF!</definedName>
    <definedName name="_MoveSheet9" localSheetId="26">#REF!</definedName>
    <definedName name="_MoveSheet9">#REF!</definedName>
    <definedName name="Audit___Trail_balance_this_Year" localSheetId="0">#REF!</definedName>
    <definedName name="Audit___Trail_balance_this_Year" localSheetId="14">#REF!</definedName>
    <definedName name="Audit___Trail_balance_this_Year">#REF!</definedName>
    <definedName name="BalanceSheet" localSheetId="8">[1]TrialBalance!$K$147:$K$374</definedName>
    <definedName name="BalanceSheet" localSheetId="0">[2]TrialBalance!$P$158:$P$346</definedName>
    <definedName name="BalanceSheet" localSheetId="9">[1]TrialBalance!$K$147:$K$374</definedName>
    <definedName name="BalanceSheet" localSheetId="6">[3]TrialBalance!$M$151:$M$346</definedName>
    <definedName name="BalanceSheet" localSheetId="22">TrialBalanceA!#REF!</definedName>
    <definedName name="BalanceSheet" localSheetId="24">TrialBalanceB!#REF!</definedName>
    <definedName name="BalanceSheet" localSheetId="26">TrialBalanceC!#REF!</definedName>
    <definedName name="BalanceSheet">TrialBalance!$P$178:$P$397</definedName>
    <definedName name="BalanceSheet2" localSheetId="8">[1]TrialBalance!$C$148:$C$374</definedName>
    <definedName name="BalanceSheet2" localSheetId="9">[1]TrialBalance!$C$148:$C$374</definedName>
    <definedName name="BalanceSheet2" localSheetId="6">[3]TrialBalance!$C$152:$C$346</definedName>
    <definedName name="BalanceSheet2" localSheetId="22">TrialBalanceA!#REF!</definedName>
    <definedName name="BalanceSheet2" localSheetId="24">TrialBalanceB!#REF!</definedName>
    <definedName name="BalanceSheet2" localSheetId="26">TrialBalanceC!#REF!</definedName>
    <definedName name="BalanceSheet2">TrialBalance!$C$179:$C$397</definedName>
    <definedName name="BalanceSheet3" localSheetId="0">[2]TrialBalanceB!$M$159:$M$346</definedName>
    <definedName name="BalanceSheet3" localSheetId="26">TrialBalanceC!$M$179:$M$397</definedName>
    <definedName name="BalanceSheet3">TrialBalanceB!$M$179:$M$397</definedName>
    <definedName name="BalanceSheet4" localSheetId="0">[2]TrialBalanceC!$M$159:$M$346</definedName>
    <definedName name="BalanceSheet4">TrialBalanceC!$M$179:$M$397</definedName>
    <definedName name="BalanceSheetA" localSheetId="0">[2]TrialBalanceA!$M$159:$M$346</definedName>
    <definedName name="BalanceSheetA" localSheetId="24">TrialBalanceB!$M$179:$M$397</definedName>
    <definedName name="BalanceSheetA" localSheetId="26">TrialBalanceC!$M$179:$M$397</definedName>
    <definedName name="BalanceSheetA">TrialBalanceA!$M$179:$M$397</definedName>
    <definedName name="BalanceSheetB">[4]TrialBalanceB!$L$159:$L$365</definedName>
    <definedName name="DELETE" localSheetId="3">'FS2'!$A$1:$R$1788</definedName>
    <definedName name="DELETE">FS!$A$1:$R$1809</definedName>
    <definedName name="df" localSheetId="16">[5]TrialBalance!$K$4:$K$144</definedName>
    <definedName name="df" localSheetId="17">[5]TrialBalance!$K$4:$K$144</definedName>
    <definedName name="df" localSheetId="15">[5]TrialBalance!$K$4:$K$144</definedName>
    <definedName name="df" localSheetId="18">[5]TrialBalance!$K$4:$K$144</definedName>
    <definedName name="df" localSheetId="21">[5]TrialBalance!$K$4:$K$144</definedName>
    <definedName name="df" localSheetId="12">[5]TrialBalance!$K$4:$K$144</definedName>
    <definedName name="df" localSheetId="11">[5]TrialBalance!$K$4:$K$144</definedName>
    <definedName name="df" localSheetId="20">[5]TrialBalance!$K$4:$K$144</definedName>
    <definedName name="df" localSheetId="13">[5]TrialBalance!$K$4:$K$144</definedName>
    <definedName name="df" localSheetId="19">[5]TrialBalance!$K$4:$K$144</definedName>
    <definedName name="df" localSheetId="14">[5]TrialBalance!$K$4:$K$144</definedName>
    <definedName name="df" localSheetId="22">TrialBalanceA!$L$5:$L$175</definedName>
    <definedName name="df" localSheetId="24">TrialBalanceB!$L$5:$L$175</definedName>
    <definedName name="df" localSheetId="26">TrialBalanceC!$L$5:$L$175</definedName>
    <definedName name="df">TrialBalance!$O$5:$O$175</definedName>
    <definedName name="Excel_BuiltIn_Print_Area_1" localSheetId="16">#REF!</definedName>
    <definedName name="Excel_BuiltIn_Print_Area_1" localSheetId="17">#REF!</definedName>
    <definedName name="Excel_BuiltIn_Print_Area_1" localSheetId="15">#REF!</definedName>
    <definedName name="Excel_BuiltIn_Print_Area_1" localSheetId="12">#REF!</definedName>
    <definedName name="Excel_BuiltIn_Print_Area_1" localSheetId="11">#REF!</definedName>
    <definedName name="Excel_BuiltIn_Print_Area_1" localSheetId="0">#REF!</definedName>
    <definedName name="Excel_BuiltIn_Print_Area_1" localSheetId="23">#REF!</definedName>
    <definedName name="Excel_BuiltIn_Print_Area_1" localSheetId="25">#REF!</definedName>
    <definedName name="Excel_BuiltIn_Print_Area_1" localSheetId="27">#REF!</definedName>
    <definedName name="Excel_BuiltIn_Print_Area_1" localSheetId="14">#REF!</definedName>
    <definedName name="Excel_BuiltIn_Print_Area_1" localSheetId="22">#REF!</definedName>
    <definedName name="Excel_BuiltIn_Print_Area_1" localSheetId="24">#REF!</definedName>
    <definedName name="Excel_BuiltIn_Print_Area_1" localSheetId="26">#REF!</definedName>
    <definedName name="Excel_BuiltIn_Print_Area_1">#REF!</definedName>
    <definedName name="Fixproperty" localSheetId="8">[6]StateENG!#REF!</definedName>
    <definedName name="Fixproperty" localSheetId="3">'FS2'!$C$836:$P$836</definedName>
    <definedName name="Fixproperty" localSheetId="9">[6]StateENG!#REF!</definedName>
    <definedName name="Fixproperty">FS!$C$838:$P$838</definedName>
    <definedName name="GameGrowth1" localSheetId="16">#REF!</definedName>
    <definedName name="GameGrowth1" localSheetId="17">#REF!</definedName>
    <definedName name="GameGrowth1" localSheetId="15">#REF!</definedName>
    <definedName name="GameGrowth1" localSheetId="12">#REF!</definedName>
    <definedName name="GameGrowth1" localSheetId="11">#REF!</definedName>
    <definedName name="GameGrowth1" localSheetId="0">#REF!</definedName>
    <definedName name="GameGrowth1" localSheetId="23">#REF!</definedName>
    <definedName name="GameGrowth1" localSheetId="25">#REF!</definedName>
    <definedName name="GameGrowth1" localSheetId="27">#REF!</definedName>
    <definedName name="GameGrowth1" localSheetId="14">#REF!</definedName>
    <definedName name="GameGrowth1" localSheetId="22">#REF!</definedName>
    <definedName name="GameGrowth1" localSheetId="24">#REF!</definedName>
    <definedName name="GameGrowth1" localSheetId="26">#REF!</definedName>
    <definedName name="GameGrowth1">#REF!</definedName>
    <definedName name="GameGrowth2" localSheetId="16">#REF!</definedName>
    <definedName name="GameGrowth2" localSheetId="17">#REF!</definedName>
    <definedName name="GameGrowth2" localSheetId="15">#REF!</definedName>
    <definedName name="GameGrowth2" localSheetId="12">#REF!</definedName>
    <definedName name="GameGrowth2" localSheetId="11">#REF!</definedName>
    <definedName name="GameGrowth2" localSheetId="0">#REF!</definedName>
    <definedName name="GameGrowth2" localSheetId="23">#REF!</definedName>
    <definedName name="GameGrowth2" localSheetId="25">#REF!</definedName>
    <definedName name="GameGrowth2" localSheetId="27">#REF!</definedName>
    <definedName name="GameGrowth2" localSheetId="14">#REF!</definedName>
    <definedName name="GameGrowth2" localSheetId="22">#REF!</definedName>
    <definedName name="GameGrowth2" localSheetId="24">#REF!</definedName>
    <definedName name="GameGrowth2" localSheetId="26">#REF!</definedName>
    <definedName name="GameGrowth2">#REF!</definedName>
    <definedName name="GameGrowth3" localSheetId="16">#REF!</definedName>
    <definedName name="GameGrowth3" localSheetId="17">#REF!</definedName>
    <definedName name="GameGrowth3" localSheetId="15">#REF!</definedName>
    <definedName name="GameGrowth3" localSheetId="12">#REF!</definedName>
    <definedName name="GameGrowth3" localSheetId="11">#REF!</definedName>
    <definedName name="GameGrowth3" localSheetId="0">#REF!</definedName>
    <definedName name="GameGrowth3" localSheetId="23">#REF!</definedName>
    <definedName name="GameGrowth3" localSheetId="25">#REF!</definedName>
    <definedName name="GameGrowth3" localSheetId="27">#REF!</definedName>
    <definedName name="GameGrowth3" localSheetId="14">#REF!</definedName>
    <definedName name="GameGrowth3" localSheetId="22">#REF!</definedName>
    <definedName name="GameGrowth3" localSheetId="24">#REF!</definedName>
    <definedName name="GameGrowth3" localSheetId="26">#REF!</definedName>
    <definedName name="GameGrowth3">#REF!</definedName>
    <definedName name="GameGrowth4" localSheetId="16">#REF!</definedName>
    <definedName name="GameGrowth4" localSheetId="17">#REF!</definedName>
    <definedName name="GameGrowth4" localSheetId="15">#REF!</definedName>
    <definedName name="GameGrowth4" localSheetId="12">#REF!</definedName>
    <definedName name="GameGrowth4" localSheetId="11">#REF!</definedName>
    <definedName name="GameGrowth4" localSheetId="0">#REF!</definedName>
    <definedName name="GameGrowth4" localSheetId="23">#REF!</definedName>
    <definedName name="GameGrowth4" localSheetId="25">#REF!</definedName>
    <definedName name="GameGrowth4" localSheetId="27">#REF!</definedName>
    <definedName name="GameGrowth4" localSheetId="14">#REF!</definedName>
    <definedName name="GameGrowth4" localSheetId="22">#REF!</definedName>
    <definedName name="GameGrowth4" localSheetId="24">#REF!</definedName>
    <definedName name="GameGrowth4" localSheetId="26">#REF!</definedName>
    <definedName name="GameGrowth4">#REF!</definedName>
    <definedName name="GameLoan" localSheetId="16">#REF!</definedName>
    <definedName name="GameLoan" localSheetId="17">#REF!</definedName>
    <definedName name="GameLoan" localSheetId="15">#REF!</definedName>
    <definedName name="GameLoan" localSheetId="12">#REF!</definedName>
    <definedName name="GameLoan" localSheetId="11">#REF!</definedName>
    <definedName name="GameLoan" localSheetId="0">#REF!</definedName>
    <definedName name="GameLoan" localSheetId="23">#REF!</definedName>
    <definedName name="GameLoan" localSheetId="25">#REF!</definedName>
    <definedName name="GameLoan" localSheetId="27">#REF!</definedName>
    <definedName name="GameLoan" localSheetId="14">#REF!</definedName>
    <definedName name="GameLoan" localSheetId="22">#REF!</definedName>
    <definedName name="GameLoan" localSheetId="24">#REF!</definedName>
    <definedName name="GameLoan" localSheetId="26">#REF!</definedName>
    <definedName name="GameLoan">#REF!</definedName>
    <definedName name="Gamesurvey" localSheetId="16">#REF!</definedName>
    <definedName name="Gamesurvey" localSheetId="17">#REF!</definedName>
    <definedName name="Gamesurvey" localSheetId="15">#REF!</definedName>
    <definedName name="Gamesurvey" localSheetId="12">#REF!</definedName>
    <definedName name="Gamesurvey" localSheetId="11">#REF!</definedName>
    <definedName name="Gamesurvey" localSheetId="0">#REF!</definedName>
    <definedName name="Gamesurvey" localSheetId="23">#REF!</definedName>
    <definedName name="Gamesurvey" localSheetId="25">#REF!</definedName>
    <definedName name="Gamesurvey" localSheetId="27">#REF!</definedName>
    <definedName name="Gamesurvey" localSheetId="14">#REF!</definedName>
    <definedName name="Gamesurvey" localSheetId="22">#REF!</definedName>
    <definedName name="Gamesurvey" localSheetId="24">#REF!</definedName>
    <definedName name="Gamesurvey" localSheetId="26">#REF!</definedName>
    <definedName name="Gamesurvey">#REF!</definedName>
    <definedName name="HPLoan" localSheetId="16">#REF!</definedName>
    <definedName name="HPLoan" localSheetId="17">#REF!</definedName>
    <definedName name="HPLoan" localSheetId="15">#REF!</definedName>
    <definedName name="HPLoan" localSheetId="12">#REF!</definedName>
    <definedName name="HPLoan" localSheetId="11">#REF!</definedName>
    <definedName name="HPLoan" localSheetId="0">#REF!</definedName>
    <definedName name="HPLoan" localSheetId="23">#REF!</definedName>
    <definedName name="HPLoan" localSheetId="25">#REF!</definedName>
    <definedName name="HPLoan" localSheetId="27">#REF!</definedName>
    <definedName name="HPLoan" localSheetId="14">#REF!</definedName>
    <definedName name="HPLoan" localSheetId="22">#REF!</definedName>
    <definedName name="HPLoan" localSheetId="24">#REF!</definedName>
    <definedName name="HPLoan" localSheetId="26">#REF!</definedName>
    <definedName name="HPLoan">#REF!</definedName>
    <definedName name="JOURNALS" localSheetId="23">JournalsA!$D$13:$G$741</definedName>
    <definedName name="JOURNALS" localSheetId="25">JournalsB!$D$13:$G$741</definedName>
    <definedName name="JOURNALS" localSheetId="27">JournalsC!$D$13:$G$741</definedName>
    <definedName name="JOURNALS">Journals!$D$13:$G$741</definedName>
    <definedName name="Loan" localSheetId="16">#REF!</definedName>
    <definedName name="Loan" localSheetId="17">#REF!</definedName>
    <definedName name="Loan" localSheetId="15">#REF!</definedName>
    <definedName name="Loan" localSheetId="12">#REF!</definedName>
    <definedName name="Loan" localSheetId="11">#REF!</definedName>
    <definedName name="Loan" localSheetId="0">#REF!</definedName>
    <definedName name="Loan" localSheetId="23">#REF!</definedName>
    <definedName name="Loan" localSheetId="25">#REF!</definedName>
    <definedName name="Loan" localSheetId="27">#REF!</definedName>
    <definedName name="Loan" localSheetId="14">#REF!</definedName>
    <definedName name="Loan" localSheetId="22">#REF!</definedName>
    <definedName name="Loan" localSheetId="24">#REF!</definedName>
    <definedName name="Loan" localSheetId="26">#REF!</definedName>
    <definedName name="Loan">#REF!</definedName>
    <definedName name="LoanPrivate" localSheetId="16">#REF!</definedName>
    <definedName name="LoanPrivate" localSheetId="17">#REF!</definedName>
    <definedName name="LoanPrivate" localSheetId="15">#REF!</definedName>
    <definedName name="LoanPrivate" localSheetId="12">#REF!</definedName>
    <definedName name="LoanPrivate" localSheetId="11">#REF!</definedName>
    <definedName name="LoanPrivate" localSheetId="0">#REF!</definedName>
    <definedName name="LoanPrivate" localSheetId="23">#REF!</definedName>
    <definedName name="LoanPrivate" localSheetId="25">#REF!</definedName>
    <definedName name="LoanPrivate" localSheetId="27">#REF!</definedName>
    <definedName name="LoanPrivate" localSheetId="14">#REF!</definedName>
    <definedName name="LoanPrivate" localSheetId="22">#REF!</definedName>
    <definedName name="LoanPrivate" localSheetId="24">#REF!</definedName>
    <definedName name="LoanPrivate" localSheetId="26">#REF!</definedName>
    <definedName name="LoanPrivate">#REF!</definedName>
    <definedName name="_xlnm.Print_Area" localSheetId="15">Debtors!$B$2:$H$93</definedName>
    <definedName name="_xlnm.Print_Area" localSheetId="18">Expenses!$B$2:$H$18</definedName>
    <definedName name="_xlnm.Print_Area" localSheetId="21">FLease1!$B$2:$H$22</definedName>
    <definedName name="_xlnm.Print_Area" localSheetId="1">FS!$A$1:$Q$2769</definedName>
    <definedName name="_xlnm.Print_Area" localSheetId="3">'FS2'!$A$1:$Q$2268</definedName>
    <definedName name="_xlnm.Print_Area" localSheetId="7">GLClient!$A$1748:$P$1851</definedName>
    <definedName name="_xlnm.Print_Area" localSheetId="5">Journals!$A$1:$I$486</definedName>
    <definedName name="_xlnm.Print_Area" localSheetId="23">JournalsA!$A$1:$I$486</definedName>
    <definedName name="_xlnm.Print_Area" localSheetId="25">JournalsB!$A$1:$I$486</definedName>
    <definedName name="_xlnm.Print_Area" localSheetId="27">JournalsC!$A$1:$I$486</definedName>
    <definedName name="_xlnm.Print_Area" localSheetId="20">'Loan 1'!$B$2:$H$22</definedName>
    <definedName name="_xlnm.Print_Area" localSheetId="13">'NC Receivables'!$B$2:$H$33</definedName>
    <definedName name="_xlnm.Print_Area" localSheetId="19">Open!$B$2:$H$18</definedName>
    <definedName name="_xlnm.Print_Area" localSheetId="14">Stock!$B$2:$H$18</definedName>
    <definedName name="_xlnm.Print_Area" localSheetId="10">VAT!$C$36:$F$57</definedName>
    <definedName name="Profit" localSheetId="22">TrialBalanceA!$B$5:$C$175</definedName>
    <definedName name="Profit" localSheetId="24">TrialBalanceB!$B$5:$C$175</definedName>
    <definedName name="Profit" localSheetId="26">TrialBalanceC!$B$5:$C$175</definedName>
    <definedName name="Profit">TrialBalance!$B$5:$C$175</definedName>
    <definedName name="ProfitLoss" localSheetId="8">[1]TrialBalance!$K$4:$K$144</definedName>
    <definedName name="ProfitLoss" localSheetId="0">[2]TrialBalance!$P$4:$P$155</definedName>
    <definedName name="ProfitLoss" localSheetId="9">[1]TrialBalance!$K$4:$K$144</definedName>
    <definedName name="ProfitLoss" localSheetId="6">[3]TrialBalance!$M$4:$M$148</definedName>
    <definedName name="ProfitLoss" localSheetId="22">TrialBalanceA!$M$5:$M$175</definedName>
    <definedName name="ProfitLoss" localSheetId="24">TrialBalanceB!$M$5:$M$175</definedName>
    <definedName name="ProfitLoss" localSheetId="26">TrialBalanceC!$M$5:$M$175</definedName>
    <definedName name="ProfitLoss">TrialBalance!$P$5:$P$175</definedName>
    <definedName name="ProfitLoss2" localSheetId="0">[2]TrialBalanceA!$M$5:$M$155</definedName>
    <definedName name="ProfitLoss2" localSheetId="24">TrialBalanceB!$M$6:$M$175</definedName>
    <definedName name="ProfitLoss2" localSheetId="26">TrialBalanceC!$M$6:$M$175</definedName>
    <definedName name="ProfitLoss2">TrialBalanceA!$M$6:$M$175</definedName>
    <definedName name="ProfitLoss3" localSheetId="0">[2]TrialBalanceB!$M$5:$M$155</definedName>
    <definedName name="ProfitLoss3" localSheetId="26">TrialBalanceC!$M$6:$M$175</definedName>
    <definedName name="ProfitLoss3">TrialBalanceB!$M$6:$M$175</definedName>
    <definedName name="ProfitLoss4" localSheetId="0">[2]TrialBalanceC!$M$5:$M$155</definedName>
    <definedName name="ProfitLoss4">TrialBalanceC!$M$6:$M$175</definedName>
    <definedName name="ProfitLossA" localSheetId="24">TrialBalanceB!$M$6:$M$397</definedName>
    <definedName name="ProfitLossA" localSheetId="26">TrialBalanceC!$M$6:$M$397</definedName>
    <definedName name="ProfitLossA">TrialBalanceA!$M$6:$M$397</definedName>
    <definedName name="ProfitLossB" localSheetId="26">TrialBalanceC!$M$6:$M$175</definedName>
    <definedName name="ProfitLossB">TrialBalanceB!$M$6:$M$175</definedName>
    <definedName name="sd" localSheetId="16">[5]TrialBalance!$K$147:$K$374</definedName>
    <definedName name="sd" localSheetId="17">[5]TrialBalance!$K$147:$K$374</definedName>
    <definedName name="sd" localSheetId="15">[5]TrialBalance!$K$147:$K$374</definedName>
    <definedName name="sd" localSheetId="18">[5]TrialBalance!$K$147:$K$374</definedName>
    <definedName name="sd" localSheetId="21">[5]TrialBalance!$K$147:$K$374</definedName>
    <definedName name="sd" localSheetId="12">[5]TrialBalance!$K$147:$K$374</definedName>
    <definedName name="sd" localSheetId="11">[5]TrialBalance!$K$147:$K$374</definedName>
    <definedName name="sd" localSheetId="20">[5]TrialBalance!$K$147:$K$374</definedName>
    <definedName name="sd" localSheetId="13">[5]TrialBalance!$K$147:$K$374</definedName>
    <definedName name="sd" localSheetId="19">[5]TrialBalance!$K$147:$K$374</definedName>
    <definedName name="sd" localSheetId="14">[5]TrialBalance!$K$147:$K$374</definedName>
    <definedName name="sd" localSheetId="22">TrialBalanceA!#REF!</definedName>
    <definedName name="sd" localSheetId="24">TrialBalanceB!#REF!</definedName>
    <definedName name="sd" localSheetId="26">TrialBalanceC!#REF!</definedName>
    <definedName name="sd">TrialBalance!$O$178:$O$397</definedName>
    <definedName name="STATE" localSheetId="3">'FS2'!$A$1:$Q$1788</definedName>
    <definedName name="STATE">FS!$A$1:$Q$1809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8" i="230" l="1"/>
  <c r="O992" i="248"/>
  <c r="D989" i="248"/>
  <c r="D986" i="248"/>
  <c r="D985" i="248"/>
  <c r="O1013" i="1"/>
  <c r="M1013" i="1"/>
  <c r="D1010" i="1"/>
  <c r="D1007" i="1"/>
  <c r="D1006" i="1"/>
  <c r="O854" i="248"/>
  <c r="R854" i="248" s="1"/>
  <c r="O857" i="248"/>
  <c r="R857" i="248" s="1"/>
  <c r="O853" i="248"/>
  <c r="R853" i="248" s="1"/>
  <c r="R889" i="248"/>
  <c r="R869" i="248"/>
  <c r="O890" i="248"/>
  <c r="R890" i="248" s="1"/>
  <c r="D890" i="248"/>
  <c r="O889" i="248"/>
  <c r="D889" i="248"/>
  <c r="O888" i="248"/>
  <c r="R888" i="248" s="1"/>
  <c r="D888" i="248"/>
  <c r="O887" i="248"/>
  <c r="R887" i="248" s="1"/>
  <c r="D887" i="248"/>
  <c r="O886" i="248"/>
  <c r="R886" i="248" s="1"/>
  <c r="D886" i="248"/>
  <c r="O885" i="248"/>
  <c r="R885" i="248" s="1"/>
  <c r="D885" i="248"/>
  <c r="O884" i="248"/>
  <c r="R884" i="248" s="1"/>
  <c r="D884" i="248"/>
  <c r="O883" i="248"/>
  <c r="R883" i="248" s="1"/>
  <c r="D883" i="248"/>
  <c r="O882" i="248"/>
  <c r="R882" i="248" s="1"/>
  <c r="D882" i="248"/>
  <c r="O881" i="248"/>
  <c r="R881" i="248" s="1"/>
  <c r="D881" i="248"/>
  <c r="O880" i="248"/>
  <c r="R880" i="248" s="1"/>
  <c r="D880" i="248"/>
  <c r="O879" i="248"/>
  <c r="R879" i="248" s="1"/>
  <c r="D879" i="248"/>
  <c r="O878" i="248"/>
  <c r="R878" i="248" s="1"/>
  <c r="D878" i="248"/>
  <c r="O877" i="248"/>
  <c r="R877" i="248" s="1"/>
  <c r="D877" i="248"/>
  <c r="O876" i="248"/>
  <c r="R876" i="248" s="1"/>
  <c r="D876" i="248"/>
  <c r="O875" i="248"/>
  <c r="R875" i="248" s="1"/>
  <c r="D875" i="248"/>
  <c r="O874" i="248"/>
  <c r="R874" i="248" s="1"/>
  <c r="D874" i="248"/>
  <c r="O873" i="248"/>
  <c r="R873" i="248" s="1"/>
  <c r="D873" i="248"/>
  <c r="O872" i="248"/>
  <c r="R872" i="248" s="1"/>
  <c r="D872" i="248"/>
  <c r="O871" i="248"/>
  <c r="R871" i="248" s="1"/>
  <c r="D871" i="248"/>
  <c r="O870" i="248"/>
  <c r="R870" i="248" s="1"/>
  <c r="D870" i="248"/>
  <c r="O869" i="248"/>
  <c r="D869" i="248"/>
  <c r="O868" i="248"/>
  <c r="R868" i="248" s="1"/>
  <c r="D868" i="248"/>
  <c r="O867" i="248"/>
  <c r="R867" i="248" s="1"/>
  <c r="D867" i="248"/>
  <c r="O866" i="248"/>
  <c r="R866" i="248" s="1"/>
  <c r="D866" i="248"/>
  <c r="O865" i="248"/>
  <c r="R865" i="248" s="1"/>
  <c r="D865" i="248"/>
  <c r="O864" i="248"/>
  <c r="R864" i="248" s="1"/>
  <c r="D864" i="248"/>
  <c r="O863" i="248"/>
  <c r="R863" i="248" s="1"/>
  <c r="D863" i="248"/>
  <c r="O862" i="248"/>
  <c r="R862" i="248" s="1"/>
  <c r="D862" i="248"/>
  <c r="O861" i="248"/>
  <c r="R861" i="248" s="1"/>
  <c r="D861" i="248"/>
  <c r="O860" i="248"/>
  <c r="R860" i="248" s="1"/>
  <c r="D860" i="248"/>
  <c r="O859" i="248"/>
  <c r="R859" i="248" s="1"/>
  <c r="D859" i="248"/>
  <c r="O858" i="248"/>
  <c r="R858" i="248" s="1"/>
  <c r="D858" i="248"/>
  <c r="D857" i="248"/>
  <c r="O856" i="248"/>
  <c r="R856" i="248" s="1"/>
  <c r="D856" i="248"/>
  <c r="O855" i="248"/>
  <c r="R855" i="248" s="1"/>
  <c r="D855" i="248"/>
  <c r="D854" i="248"/>
  <c r="D853" i="248"/>
  <c r="O849" i="248"/>
  <c r="D846" i="248"/>
  <c r="D843" i="248"/>
  <c r="D842" i="248"/>
  <c r="O892" i="1"/>
  <c r="M892" i="1"/>
  <c r="D892" i="1"/>
  <c r="O891" i="1"/>
  <c r="M891" i="1"/>
  <c r="D891" i="1"/>
  <c r="O890" i="1"/>
  <c r="M890" i="1"/>
  <c r="R890" i="1" s="1"/>
  <c r="D890" i="1"/>
  <c r="O889" i="1"/>
  <c r="M889" i="1"/>
  <c r="D889" i="1"/>
  <c r="O888" i="1"/>
  <c r="M888" i="1"/>
  <c r="D888" i="1"/>
  <c r="O887" i="1"/>
  <c r="M887" i="1"/>
  <c r="D887" i="1"/>
  <c r="O886" i="1"/>
  <c r="M886" i="1"/>
  <c r="R886" i="1" s="1"/>
  <c r="D886" i="1"/>
  <c r="O885" i="1"/>
  <c r="M885" i="1"/>
  <c r="D885" i="1"/>
  <c r="O884" i="1"/>
  <c r="M884" i="1"/>
  <c r="D884" i="1"/>
  <c r="O883" i="1"/>
  <c r="M883" i="1"/>
  <c r="D883" i="1"/>
  <c r="O882" i="1"/>
  <c r="M882" i="1"/>
  <c r="R882" i="1" s="1"/>
  <c r="D882" i="1"/>
  <c r="O881" i="1"/>
  <c r="M881" i="1"/>
  <c r="D881" i="1"/>
  <c r="O880" i="1"/>
  <c r="M880" i="1"/>
  <c r="D880" i="1"/>
  <c r="O879" i="1"/>
  <c r="M879" i="1"/>
  <c r="D879" i="1"/>
  <c r="O878" i="1"/>
  <c r="M878" i="1"/>
  <c r="R878" i="1" s="1"/>
  <c r="D878" i="1"/>
  <c r="O877" i="1"/>
  <c r="M877" i="1"/>
  <c r="D877" i="1"/>
  <c r="O876" i="1"/>
  <c r="M876" i="1"/>
  <c r="D876" i="1"/>
  <c r="O875" i="1"/>
  <c r="M875" i="1"/>
  <c r="D875" i="1"/>
  <c r="O874" i="1"/>
  <c r="M874" i="1"/>
  <c r="R874" i="1" s="1"/>
  <c r="D874" i="1"/>
  <c r="O873" i="1"/>
  <c r="M873" i="1"/>
  <c r="D873" i="1"/>
  <c r="O872" i="1"/>
  <c r="M872" i="1"/>
  <c r="D872" i="1"/>
  <c r="O871" i="1"/>
  <c r="M871" i="1"/>
  <c r="D871" i="1"/>
  <c r="O870" i="1"/>
  <c r="M870" i="1"/>
  <c r="R870" i="1" s="1"/>
  <c r="D870" i="1"/>
  <c r="O869" i="1"/>
  <c r="M869" i="1"/>
  <c r="D869" i="1"/>
  <c r="O868" i="1"/>
  <c r="M868" i="1"/>
  <c r="D868" i="1"/>
  <c r="O867" i="1"/>
  <c r="M867" i="1"/>
  <c r="D867" i="1"/>
  <c r="O866" i="1"/>
  <c r="M866" i="1"/>
  <c r="R866" i="1" s="1"/>
  <c r="D866" i="1"/>
  <c r="O865" i="1"/>
  <c r="M865" i="1"/>
  <c r="D865" i="1"/>
  <c r="O864" i="1"/>
  <c r="M864" i="1"/>
  <c r="D864" i="1"/>
  <c r="O863" i="1"/>
  <c r="M863" i="1"/>
  <c r="R863" i="1" s="1"/>
  <c r="D863" i="1"/>
  <c r="O862" i="1"/>
  <c r="M862" i="1"/>
  <c r="D862" i="1"/>
  <c r="O861" i="1"/>
  <c r="M861" i="1"/>
  <c r="D861" i="1"/>
  <c r="O860" i="1"/>
  <c r="M860" i="1"/>
  <c r="D860" i="1"/>
  <c r="O859" i="1"/>
  <c r="M859" i="1"/>
  <c r="D859" i="1"/>
  <c r="O858" i="1"/>
  <c r="M858" i="1"/>
  <c r="D858" i="1"/>
  <c r="O857" i="1"/>
  <c r="M857" i="1"/>
  <c r="D857" i="1"/>
  <c r="O856" i="1"/>
  <c r="M856" i="1"/>
  <c r="D856" i="1"/>
  <c r="O855" i="1"/>
  <c r="M855" i="1"/>
  <c r="D855" i="1"/>
  <c r="O851" i="1"/>
  <c r="M851" i="1"/>
  <c r="D848" i="1"/>
  <c r="D845" i="1"/>
  <c r="D844" i="1"/>
  <c r="F71" i="4"/>
  <c r="G112" i="4"/>
  <c r="F112" i="4"/>
  <c r="O1471" i="248"/>
  <c r="D1468" i="248"/>
  <c r="D1465" i="248"/>
  <c r="D1464" i="248"/>
  <c r="R864" i="1" l="1"/>
  <c r="R868" i="1"/>
  <c r="R872" i="1"/>
  <c r="R876" i="1"/>
  <c r="R880" i="1"/>
  <c r="R884" i="1"/>
  <c r="R888" i="1"/>
  <c r="R892" i="1"/>
  <c r="R867" i="1"/>
  <c r="R871" i="1"/>
  <c r="R875" i="1"/>
  <c r="R879" i="1"/>
  <c r="R883" i="1"/>
  <c r="R887" i="1"/>
  <c r="R891" i="1"/>
  <c r="R865" i="1"/>
  <c r="R869" i="1"/>
  <c r="R873" i="1"/>
  <c r="R877" i="1"/>
  <c r="R881" i="1"/>
  <c r="R885" i="1"/>
  <c r="R889" i="1"/>
  <c r="R856" i="1"/>
  <c r="R860" i="1"/>
  <c r="R858" i="1"/>
  <c r="R855" i="1"/>
  <c r="R857" i="1"/>
  <c r="R859" i="1"/>
  <c r="R862" i="1"/>
  <c r="R861" i="1"/>
  <c r="O893" i="248"/>
  <c r="O895" i="1"/>
  <c r="M895" i="1"/>
  <c r="M1492" i="1"/>
  <c r="D1489" i="1"/>
  <c r="D1486" i="1"/>
  <c r="D1485" i="1"/>
  <c r="D241" i="248"/>
  <c r="D239" i="248"/>
  <c r="D241" i="1"/>
  <c r="D239" i="1"/>
  <c r="F397" i="192"/>
  <c r="F397" i="190"/>
  <c r="F397" i="136"/>
  <c r="R895" i="1" l="1"/>
  <c r="R893" i="248"/>
  <c r="F26" i="80"/>
  <c r="L23" i="242"/>
  <c r="R843" i="248" l="1"/>
  <c r="R849" i="248"/>
  <c r="R845" i="248"/>
  <c r="R898" i="248"/>
  <c r="R894" i="248"/>
  <c r="R852" i="248"/>
  <c r="R848" i="248"/>
  <c r="R844" i="248"/>
  <c r="R897" i="248"/>
  <c r="R892" i="248"/>
  <c r="R846" i="248"/>
  <c r="R851" i="248"/>
  <c r="R847" i="248"/>
  <c r="R842" i="248"/>
  <c r="R896" i="248"/>
  <c r="R891" i="248"/>
  <c r="R850" i="248"/>
  <c r="R841" i="248"/>
  <c r="R895" i="248"/>
  <c r="R854" i="1"/>
  <c r="R851" i="1"/>
  <c r="R847" i="1"/>
  <c r="R845" i="1"/>
  <c r="R900" i="1"/>
  <c r="R896" i="1"/>
  <c r="R843" i="1"/>
  <c r="R898" i="1"/>
  <c r="R894" i="1"/>
  <c r="R848" i="1"/>
  <c r="R844" i="1"/>
  <c r="R899" i="1"/>
  <c r="R893" i="1"/>
  <c r="R850" i="1"/>
  <c r="R852" i="1"/>
  <c r="R849" i="1"/>
  <c r="R846" i="1"/>
  <c r="R897" i="1"/>
  <c r="R853" i="1"/>
  <c r="D2149" i="248"/>
  <c r="D1989" i="248"/>
  <c r="D1829" i="248"/>
  <c r="D1528" i="248"/>
  <c r="D2650" i="1"/>
  <c r="D2490" i="1"/>
  <c r="D2330" i="1"/>
  <c r="D2170" i="1"/>
  <c r="D2010" i="1"/>
  <c r="D1850" i="1"/>
  <c r="D1549" i="1"/>
  <c r="AC14" i="89"/>
  <c r="AC13" i="89"/>
  <c r="AC12" i="89"/>
  <c r="AC15" i="89"/>
  <c r="AB14" i="89"/>
  <c r="AB13" i="89"/>
  <c r="AB12" i="89"/>
  <c r="AB15" i="89"/>
  <c r="AA14" i="89"/>
  <c r="AA13" i="89"/>
  <c r="AA12" i="89"/>
  <c r="AA15" i="89"/>
  <c r="M30" i="192"/>
  <c r="G30" i="192" s="1"/>
  <c r="I30" i="192" s="1"/>
  <c r="O2149" i="248" s="1"/>
  <c r="K30" i="192"/>
  <c r="O2490" i="1" s="1"/>
  <c r="M30" i="190"/>
  <c r="K30" i="190"/>
  <c r="O2170" i="1" s="1"/>
  <c r="G30" i="190"/>
  <c r="I30" i="190" s="1"/>
  <c r="O2330" i="1" s="1"/>
  <c r="M30" i="136"/>
  <c r="G30" i="136" s="1"/>
  <c r="I30" i="136" s="1"/>
  <c r="O1829" i="248" s="1"/>
  <c r="K30" i="136"/>
  <c r="O1850" i="1" s="1"/>
  <c r="P30" i="5"/>
  <c r="N30" i="5"/>
  <c r="O1549" i="1" s="1"/>
  <c r="M234" i="192"/>
  <c r="G234" i="192" s="1"/>
  <c r="I234" i="192" s="1"/>
  <c r="H234" i="5" s="1"/>
  <c r="K234" i="192"/>
  <c r="M234" i="190"/>
  <c r="G234" i="190" s="1"/>
  <c r="I234" i="190" s="1"/>
  <c r="G234" i="5" s="1"/>
  <c r="K234" i="190"/>
  <c r="M234" i="136"/>
  <c r="G234" i="136" s="1"/>
  <c r="I234" i="136" s="1"/>
  <c r="F234" i="5" s="1"/>
  <c r="K234" i="136"/>
  <c r="P234" i="5"/>
  <c r="N234" i="5"/>
  <c r="O813" i="1" s="1"/>
  <c r="U813" i="1" s="1"/>
  <c r="M2170" i="1" l="1"/>
  <c r="O1989" i="248"/>
  <c r="O2650" i="1"/>
  <c r="M2490" i="1"/>
  <c r="O2010" i="1"/>
  <c r="M1850" i="1"/>
  <c r="N273" i="5"/>
  <c r="O982" i="1" s="1"/>
  <c r="U982" i="1" s="1"/>
  <c r="N274" i="5"/>
  <c r="O996" i="1" s="1"/>
  <c r="U996" i="1" s="1"/>
  <c r="N275" i="5"/>
  <c r="N276" i="5"/>
  <c r="O983" i="1" s="1"/>
  <c r="U983" i="1" s="1"/>
  <c r="N277" i="5"/>
  <c r="O988" i="1" s="1"/>
  <c r="U988" i="1" s="1"/>
  <c r="N278" i="5"/>
  <c r="N279" i="5"/>
  <c r="O984" i="1" s="1"/>
  <c r="U984" i="1" s="1"/>
  <c r="N280" i="5"/>
  <c r="O989" i="1" s="1"/>
  <c r="N281" i="5"/>
  <c r="N282" i="5"/>
  <c r="O1019" i="1" s="1"/>
  <c r="U1019" i="1" s="1"/>
  <c r="N283" i="5"/>
  <c r="O1024" i="1" s="1"/>
  <c r="U1024" i="1" s="1"/>
  <c r="N284" i="5"/>
  <c r="N285" i="5"/>
  <c r="O1020" i="1" s="1"/>
  <c r="U1020" i="1" s="1"/>
  <c r="N286" i="5"/>
  <c r="O1025" i="1" s="1"/>
  <c r="U1025" i="1" s="1"/>
  <c r="N287" i="5"/>
  <c r="N288" i="5"/>
  <c r="N289" i="5"/>
  <c r="O1026" i="1" s="1"/>
  <c r="U1026" i="1" s="1"/>
  <c r="O1035" i="1" l="1"/>
  <c r="U1035" i="1" s="1"/>
  <c r="O1033" i="1"/>
  <c r="U1033" i="1" s="1"/>
  <c r="O1041" i="1"/>
  <c r="U989" i="1"/>
  <c r="O987" i="1"/>
  <c r="U987" i="1" s="1"/>
  <c r="O997" i="1"/>
  <c r="U997" i="1" s="1"/>
  <c r="O1021" i="1"/>
  <c r="U1021" i="1" s="1"/>
  <c r="O1016" i="1" s="1"/>
  <c r="O1034" i="1"/>
  <c r="U1034" i="1" s="1"/>
  <c r="O979" i="1"/>
  <c r="O998" i="1"/>
  <c r="U998" i="1" s="1"/>
  <c r="O1029" i="1" l="1"/>
  <c r="X1029" i="1" s="1"/>
  <c r="O992" i="1"/>
  <c r="X992" i="1" s="1"/>
  <c r="O364" i="1" l="1"/>
  <c r="X364" i="1" s="1"/>
  <c r="D2241" i="248"/>
  <c r="D2081" i="248"/>
  <c r="D1921" i="248"/>
  <c r="D1621" i="248"/>
  <c r="D2742" i="1"/>
  <c r="D2582" i="1"/>
  <c r="D2422" i="1"/>
  <c r="D2262" i="1"/>
  <c r="D2102" i="1"/>
  <c r="D1942" i="1"/>
  <c r="D1642" i="1"/>
  <c r="M289" i="192"/>
  <c r="G289" i="192" s="1"/>
  <c r="I289" i="192" s="1"/>
  <c r="H289" i="5" s="1"/>
  <c r="K289" i="192"/>
  <c r="M288" i="192"/>
  <c r="K288" i="192"/>
  <c r="F288" i="192" s="1"/>
  <c r="G288" i="192"/>
  <c r="M287" i="192"/>
  <c r="K287" i="192"/>
  <c r="G287" i="192"/>
  <c r="I287" i="192" s="1"/>
  <c r="M286" i="192"/>
  <c r="G286" i="192" s="1"/>
  <c r="I286" i="192" s="1"/>
  <c r="H286" i="5" s="1"/>
  <c r="K286" i="192"/>
  <c r="M285" i="192"/>
  <c r="G285" i="192" s="1"/>
  <c r="K285" i="192"/>
  <c r="F285" i="192" s="1"/>
  <c r="M284" i="192"/>
  <c r="G284" i="192" s="1"/>
  <c r="I284" i="192" s="1"/>
  <c r="K284" i="192"/>
  <c r="M283" i="192"/>
  <c r="G283" i="192" s="1"/>
  <c r="I283" i="192" s="1"/>
  <c r="H283" i="5" s="1"/>
  <c r="K283" i="192"/>
  <c r="M282" i="192"/>
  <c r="G282" i="192" s="1"/>
  <c r="K282" i="192"/>
  <c r="M281" i="192"/>
  <c r="G281" i="192" s="1"/>
  <c r="I281" i="192" s="1"/>
  <c r="K281" i="192"/>
  <c r="M280" i="192"/>
  <c r="K280" i="192"/>
  <c r="G280" i="192"/>
  <c r="I280" i="192" s="1"/>
  <c r="H280" i="5" s="1"/>
  <c r="M279" i="192"/>
  <c r="K279" i="192"/>
  <c r="G279" i="192"/>
  <c r="M278" i="192"/>
  <c r="G278" i="192" s="1"/>
  <c r="I278" i="192" s="1"/>
  <c r="K278" i="192"/>
  <c r="M277" i="192"/>
  <c r="G277" i="192" s="1"/>
  <c r="I277" i="192" s="1"/>
  <c r="H277" i="5" s="1"/>
  <c r="K277" i="192"/>
  <c r="M276" i="192"/>
  <c r="G276" i="192" s="1"/>
  <c r="K276" i="192"/>
  <c r="M275" i="192"/>
  <c r="G275" i="192" s="1"/>
  <c r="I275" i="192" s="1"/>
  <c r="K275" i="192"/>
  <c r="M274" i="192"/>
  <c r="G274" i="192" s="1"/>
  <c r="I274" i="192" s="1"/>
  <c r="H274" i="5" s="1"/>
  <c r="K274" i="192"/>
  <c r="M273" i="192"/>
  <c r="G273" i="192" s="1"/>
  <c r="K273" i="192"/>
  <c r="M272" i="192"/>
  <c r="K272" i="192"/>
  <c r="G272" i="192"/>
  <c r="I272" i="192" s="1"/>
  <c r="M126" i="192"/>
  <c r="G126" i="192" s="1"/>
  <c r="I126" i="192" s="1"/>
  <c r="O2241" i="248" s="1"/>
  <c r="K126" i="192"/>
  <c r="O2582" i="1" s="1"/>
  <c r="M289" i="190"/>
  <c r="G289" i="190" s="1"/>
  <c r="I289" i="190" s="1"/>
  <c r="G289" i="5" s="1"/>
  <c r="K289" i="190"/>
  <c r="F288" i="190" s="1"/>
  <c r="M288" i="190"/>
  <c r="K288" i="190"/>
  <c r="G288" i="190"/>
  <c r="M287" i="190"/>
  <c r="G287" i="190" s="1"/>
  <c r="I287" i="190" s="1"/>
  <c r="K287" i="190"/>
  <c r="M286" i="190"/>
  <c r="G286" i="190" s="1"/>
  <c r="I286" i="190" s="1"/>
  <c r="G286" i="5" s="1"/>
  <c r="K286" i="190"/>
  <c r="M285" i="190"/>
  <c r="K285" i="190"/>
  <c r="G285" i="190"/>
  <c r="M284" i="190"/>
  <c r="G284" i="190" s="1"/>
  <c r="I284" i="190" s="1"/>
  <c r="K284" i="190"/>
  <c r="M283" i="190"/>
  <c r="G283" i="190" s="1"/>
  <c r="I283" i="190" s="1"/>
  <c r="G283" i="5" s="1"/>
  <c r="K283" i="190"/>
  <c r="M282" i="190"/>
  <c r="G282" i="190" s="1"/>
  <c r="K282" i="190"/>
  <c r="M281" i="190"/>
  <c r="G281" i="190" s="1"/>
  <c r="I281" i="190" s="1"/>
  <c r="K281" i="190"/>
  <c r="M280" i="190"/>
  <c r="K280" i="190"/>
  <c r="G280" i="190"/>
  <c r="I280" i="190" s="1"/>
  <c r="G280" i="5" s="1"/>
  <c r="M279" i="190"/>
  <c r="G279" i="190" s="1"/>
  <c r="K279" i="190"/>
  <c r="F279" i="190" s="1"/>
  <c r="M278" i="190"/>
  <c r="G278" i="190" s="1"/>
  <c r="I278" i="190" s="1"/>
  <c r="K278" i="190"/>
  <c r="M277" i="190"/>
  <c r="K277" i="190"/>
  <c r="G277" i="190"/>
  <c r="I277" i="190" s="1"/>
  <c r="G277" i="5" s="1"/>
  <c r="M276" i="190"/>
  <c r="G276" i="190" s="1"/>
  <c r="K276" i="190"/>
  <c r="M275" i="190"/>
  <c r="G275" i="190" s="1"/>
  <c r="I275" i="190" s="1"/>
  <c r="K275" i="190"/>
  <c r="M274" i="190"/>
  <c r="G274" i="190" s="1"/>
  <c r="I274" i="190" s="1"/>
  <c r="G274" i="5" s="1"/>
  <c r="K274" i="190"/>
  <c r="M273" i="190"/>
  <c r="G273" i="190" s="1"/>
  <c r="K273" i="190"/>
  <c r="F273" i="190" s="1"/>
  <c r="M272" i="190"/>
  <c r="K272" i="190"/>
  <c r="G272" i="190"/>
  <c r="I272" i="190" s="1"/>
  <c r="M126" i="190"/>
  <c r="G126" i="190" s="1"/>
  <c r="I126" i="190" s="1"/>
  <c r="O2422" i="1" s="1"/>
  <c r="K126" i="190"/>
  <c r="O2262" i="1" s="1"/>
  <c r="M289" i="136"/>
  <c r="K289" i="136"/>
  <c r="F288" i="136" s="1"/>
  <c r="G289" i="136"/>
  <c r="I289" i="136" s="1"/>
  <c r="F289" i="5" s="1"/>
  <c r="M288" i="136"/>
  <c r="K288" i="136"/>
  <c r="G288" i="136"/>
  <c r="M287" i="136"/>
  <c r="G287" i="136" s="1"/>
  <c r="I287" i="136" s="1"/>
  <c r="K287" i="136"/>
  <c r="M286" i="136"/>
  <c r="G286" i="136" s="1"/>
  <c r="I286" i="136" s="1"/>
  <c r="F286" i="5" s="1"/>
  <c r="K286" i="136"/>
  <c r="M285" i="136"/>
  <c r="G285" i="136" s="1"/>
  <c r="K285" i="136"/>
  <c r="M284" i="136"/>
  <c r="G284" i="136" s="1"/>
  <c r="I284" i="136" s="1"/>
  <c r="K284" i="136"/>
  <c r="M283" i="136"/>
  <c r="G283" i="136" s="1"/>
  <c r="I283" i="136" s="1"/>
  <c r="F283" i="5" s="1"/>
  <c r="K283" i="136"/>
  <c r="M282" i="136"/>
  <c r="G282" i="136" s="1"/>
  <c r="K282" i="136"/>
  <c r="M281" i="136"/>
  <c r="K281" i="136"/>
  <c r="G281" i="136"/>
  <c r="I281" i="136" s="1"/>
  <c r="M280" i="136"/>
  <c r="K280" i="136"/>
  <c r="G280" i="136"/>
  <c r="I280" i="136" s="1"/>
  <c r="F280" i="5" s="1"/>
  <c r="M279" i="136"/>
  <c r="G279" i="136" s="1"/>
  <c r="K279" i="136"/>
  <c r="F279" i="136" s="1"/>
  <c r="M278" i="136"/>
  <c r="G278" i="136" s="1"/>
  <c r="I278" i="136" s="1"/>
  <c r="K278" i="136"/>
  <c r="M277" i="136"/>
  <c r="G277" i="136" s="1"/>
  <c r="I277" i="136" s="1"/>
  <c r="F277" i="5" s="1"/>
  <c r="K277" i="136"/>
  <c r="M276" i="136"/>
  <c r="G276" i="136" s="1"/>
  <c r="K276" i="136"/>
  <c r="F276" i="136" s="1"/>
  <c r="M275" i="136"/>
  <c r="G275" i="136" s="1"/>
  <c r="I275" i="136" s="1"/>
  <c r="K275" i="136"/>
  <c r="M274" i="136"/>
  <c r="G274" i="136" s="1"/>
  <c r="I274" i="136" s="1"/>
  <c r="F274" i="5" s="1"/>
  <c r="K274" i="136"/>
  <c r="M273" i="136"/>
  <c r="K273" i="136"/>
  <c r="F273" i="136" s="1"/>
  <c r="G273" i="136"/>
  <c r="M272" i="136"/>
  <c r="K272" i="136"/>
  <c r="G272" i="136"/>
  <c r="I272" i="136" s="1"/>
  <c r="M126" i="136"/>
  <c r="G126" i="136" s="1"/>
  <c r="I126" i="136" s="1"/>
  <c r="O1921" i="248" s="1"/>
  <c r="K126" i="136"/>
  <c r="O1942" i="1" s="1"/>
  <c r="P289" i="5"/>
  <c r="P288" i="5"/>
  <c r="J288" i="5" s="1"/>
  <c r="P287" i="5"/>
  <c r="J287" i="5" s="1"/>
  <c r="L287" i="5" s="1"/>
  <c r="P286" i="5"/>
  <c r="P285" i="5"/>
  <c r="J285" i="5" s="1"/>
  <c r="P284" i="5"/>
  <c r="J284" i="5" s="1"/>
  <c r="L284" i="5" s="1"/>
  <c r="P283" i="5"/>
  <c r="J283" i="5" s="1"/>
  <c r="P282" i="5"/>
  <c r="J282" i="5" s="1"/>
  <c r="I282" i="5"/>
  <c r="P281" i="5"/>
  <c r="J281" i="5"/>
  <c r="L281" i="5" s="1"/>
  <c r="P280" i="5"/>
  <c r="P279" i="5"/>
  <c r="J279" i="5" s="1"/>
  <c r="P278" i="5"/>
  <c r="J278" i="5"/>
  <c r="L278" i="5" s="1"/>
  <c r="P277" i="5"/>
  <c r="P276" i="5"/>
  <c r="J276" i="5"/>
  <c r="P275" i="5"/>
  <c r="J275" i="5" s="1"/>
  <c r="L275" i="5" s="1"/>
  <c r="P274" i="5"/>
  <c r="J274" i="5"/>
  <c r="P273" i="5"/>
  <c r="J273" i="5" s="1"/>
  <c r="P272" i="5"/>
  <c r="N272" i="5"/>
  <c r="J272" i="5"/>
  <c r="L272" i="5" s="1"/>
  <c r="P126" i="5"/>
  <c r="N126" i="5"/>
  <c r="O1642" i="1" s="1"/>
  <c r="N227" i="5"/>
  <c r="N228" i="5"/>
  <c r="N229" i="5"/>
  <c r="N230" i="5"/>
  <c r="N231" i="5"/>
  <c r="N232" i="5"/>
  <c r="N233" i="5"/>
  <c r="N235" i="5"/>
  <c r="N236" i="5"/>
  <c r="N237" i="5"/>
  <c r="N238" i="5"/>
  <c r="O798" i="248"/>
  <c r="O807" i="1"/>
  <c r="F282" i="192" l="1"/>
  <c r="F279" i="192"/>
  <c r="F276" i="190"/>
  <c r="I279" i="136"/>
  <c r="O834" i="1"/>
  <c r="I282" i="192"/>
  <c r="I285" i="192"/>
  <c r="O2742" i="1"/>
  <c r="F273" i="192"/>
  <c r="I273" i="192" s="1"/>
  <c r="F276" i="192"/>
  <c r="I276" i="192" s="1"/>
  <c r="F282" i="190"/>
  <c r="F285" i="190"/>
  <c r="I285" i="190" s="1"/>
  <c r="I279" i="190"/>
  <c r="I282" i="190"/>
  <c r="F282" i="136"/>
  <c r="F285" i="136"/>
  <c r="I231" i="5"/>
  <c r="I279" i="192"/>
  <c r="M2582" i="1"/>
  <c r="M2262" i="1"/>
  <c r="I276" i="190"/>
  <c r="I288" i="190"/>
  <c r="O2081" i="248"/>
  <c r="I282" i="136"/>
  <c r="I285" i="136"/>
  <c r="L274" i="5"/>
  <c r="O966" i="248" s="1"/>
  <c r="S966" i="248" s="1"/>
  <c r="L283" i="5"/>
  <c r="I276" i="136"/>
  <c r="O2102" i="1"/>
  <c r="M1942" i="1"/>
  <c r="L282" i="5"/>
  <c r="I288" i="5"/>
  <c r="L288" i="5" s="1"/>
  <c r="O1000" i="248" s="1"/>
  <c r="I285" i="5"/>
  <c r="L285" i="5" s="1"/>
  <c r="I279" i="5"/>
  <c r="L279" i="5" s="1"/>
  <c r="O963" i="248" s="1"/>
  <c r="I276" i="5"/>
  <c r="L276" i="5" s="1"/>
  <c r="O962" i="248" s="1"/>
  <c r="S962" i="248" s="1"/>
  <c r="I273" i="5"/>
  <c r="L273" i="5" s="1"/>
  <c r="I288" i="192"/>
  <c r="I273" i="190"/>
  <c r="I288" i="136"/>
  <c r="I273" i="136"/>
  <c r="U834" i="1"/>
  <c r="O833" i="1"/>
  <c r="O832" i="1"/>
  <c r="U832" i="1" s="1"/>
  <c r="O825" i="1"/>
  <c r="U825" i="1" s="1"/>
  <c r="O822" i="1"/>
  <c r="U822" i="1" s="1"/>
  <c r="O821" i="1"/>
  <c r="U821" i="1" s="1"/>
  <c r="O820" i="1"/>
  <c r="U820" i="1" s="1"/>
  <c r="O812" i="1"/>
  <c r="U812" i="1" s="1"/>
  <c r="O811" i="1"/>
  <c r="U811" i="1" s="1"/>
  <c r="U807" i="1"/>
  <c r="O808" i="1"/>
  <c r="U808" i="1" s="1"/>
  <c r="O806" i="1"/>
  <c r="U806" i="1" s="1"/>
  <c r="M800" i="1"/>
  <c r="O1273" i="248"/>
  <c r="D1270" i="248"/>
  <c r="D1267" i="248"/>
  <c r="D1266" i="248"/>
  <c r="M1294" i="1"/>
  <c r="D1291" i="1"/>
  <c r="D1288" i="1"/>
  <c r="D1287" i="1"/>
  <c r="U833" i="1" l="1"/>
  <c r="X895" i="1"/>
  <c r="O828" i="1"/>
  <c r="X828" i="1" s="1"/>
  <c r="O816" i="1"/>
  <c r="O998" i="248"/>
  <c r="S998" i="248" s="1"/>
  <c r="O999" i="248"/>
  <c r="S999" i="248" s="1"/>
  <c r="O1003" i="248"/>
  <c r="S1003" i="248" s="1"/>
  <c r="M987" i="1"/>
  <c r="S987" i="1" s="1"/>
  <c r="M1024" i="1"/>
  <c r="S1024" i="1" s="1"/>
  <c r="O975" i="248"/>
  <c r="S975" i="248" s="1"/>
  <c r="O1012" i="248"/>
  <c r="S1012" i="248" s="1"/>
  <c r="M1019" i="1"/>
  <c r="V1019" i="1" s="1"/>
  <c r="M1033" i="1"/>
  <c r="S1033" i="1" s="1"/>
  <c r="O961" i="248"/>
  <c r="S961" i="248" s="1"/>
  <c r="R963" i="248"/>
  <c r="S963" i="248"/>
  <c r="S1000" i="248"/>
  <c r="R1000" i="248"/>
  <c r="M984" i="1"/>
  <c r="M1020" i="1"/>
  <c r="M982" i="1"/>
  <c r="M996" i="1"/>
  <c r="S996" i="1" s="1"/>
  <c r="M1021" i="1"/>
  <c r="M983" i="1"/>
  <c r="O803" i="1"/>
  <c r="O817" i="1"/>
  <c r="O995" i="248" l="1"/>
  <c r="S1019" i="1"/>
  <c r="O958" i="248"/>
  <c r="S1020" i="1"/>
  <c r="V1020" i="1"/>
  <c r="V983" i="1"/>
  <c r="S983" i="1"/>
  <c r="V982" i="1"/>
  <c r="S982" i="1"/>
  <c r="R984" i="1"/>
  <c r="V984" i="1"/>
  <c r="S984" i="1"/>
  <c r="R1021" i="1"/>
  <c r="S1021" i="1"/>
  <c r="V1021" i="1"/>
  <c r="M1016" i="1" l="1"/>
  <c r="V1016" i="1" s="1"/>
  <c r="M979" i="1"/>
  <c r="V979" i="1" s="1"/>
  <c r="M189" i="192"/>
  <c r="G189" i="192" s="1"/>
  <c r="I189" i="192" s="1"/>
  <c r="H189" i="5" s="1"/>
  <c r="K189" i="192"/>
  <c r="M188" i="192"/>
  <c r="G188" i="192" s="1"/>
  <c r="I188" i="192" s="1"/>
  <c r="H188" i="5" s="1"/>
  <c r="K188" i="192"/>
  <c r="M187" i="192"/>
  <c r="G187" i="192" s="1"/>
  <c r="K187" i="192"/>
  <c r="M186" i="192"/>
  <c r="G186" i="192" s="1"/>
  <c r="I186" i="192" s="1"/>
  <c r="K186" i="192"/>
  <c r="M189" i="190"/>
  <c r="G189" i="190" s="1"/>
  <c r="I189" i="190" s="1"/>
  <c r="G189" i="5" s="1"/>
  <c r="K189" i="190"/>
  <c r="M188" i="190"/>
  <c r="G188" i="190" s="1"/>
  <c r="I188" i="190" s="1"/>
  <c r="G188" i="5" s="1"/>
  <c r="K188" i="190"/>
  <c r="M187" i="190"/>
  <c r="G187" i="190" s="1"/>
  <c r="K187" i="190"/>
  <c r="F187" i="190" s="1"/>
  <c r="M186" i="190"/>
  <c r="G186" i="190" s="1"/>
  <c r="I186" i="190" s="1"/>
  <c r="K186" i="190"/>
  <c r="M189" i="136"/>
  <c r="G189" i="136" s="1"/>
  <c r="I189" i="136" s="1"/>
  <c r="F189" i="5" s="1"/>
  <c r="K189" i="136"/>
  <c r="M188" i="136"/>
  <c r="G188" i="136" s="1"/>
  <c r="I188" i="136" s="1"/>
  <c r="F188" i="5" s="1"/>
  <c r="K188" i="136"/>
  <c r="M187" i="136"/>
  <c r="G187" i="136" s="1"/>
  <c r="K187" i="136"/>
  <c r="F187" i="136" s="1"/>
  <c r="M186" i="136"/>
  <c r="G186" i="136" s="1"/>
  <c r="I186" i="136" s="1"/>
  <c r="K186" i="136"/>
  <c r="P189" i="5"/>
  <c r="N189" i="5"/>
  <c r="O1299" i="1" s="1"/>
  <c r="P188" i="5"/>
  <c r="N188" i="5"/>
  <c r="O1298" i="1" s="1"/>
  <c r="P187" i="5"/>
  <c r="J187" i="5" s="1"/>
  <c r="N187" i="5"/>
  <c r="O1297" i="1" s="1"/>
  <c r="P186" i="5"/>
  <c r="J186" i="5" s="1"/>
  <c r="L186" i="5" s="1"/>
  <c r="N186" i="5"/>
  <c r="F187" i="192" l="1"/>
  <c r="O1302" i="1"/>
  <c r="O395" i="1"/>
  <c r="I187" i="5"/>
  <c r="L187" i="5" s="1"/>
  <c r="I187" i="192"/>
  <c r="I187" i="190"/>
  <c r="I187" i="136"/>
  <c r="X395" i="1" l="1"/>
  <c r="O1276" i="248"/>
  <c r="M1297" i="1"/>
  <c r="V1297" i="1" l="1"/>
  <c r="G21" i="4" l="1"/>
  <c r="B439" i="248"/>
  <c r="B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32" i="1"/>
  <c r="D433" i="1"/>
  <c r="R433" i="1" s="1"/>
  <c r="D436" i="1"/>
  <c r="M439" i="1"/>
  <c r="D904" i="248"/>
  <c r="D901" i="248"/>
  <c r="D900" i="248"/>
  <c r="D906" i="1"/>
  <c r="D903" i="1"/>
  <c r="D902" i="1"/>
  <c r="C139" i="192"/>
  <c r="C139" i="190"/>
  <c r="C139" i="136"/>
  <c r="C139" i="5"/>
  <c r="B480" i="1" l="1"/>
  <c r="B502" i="1" s="1"/>
  <c r="B478" i="248"/>
  <c r="D795" i="248"/>
  <c r="D792" i="248"/>
  <c r="D791" i="248"/>
  <c r="D763" i="1"/>
  <c r="D764" i="1"/>
  <c r="R764" i="1" s="1"/>
  <c r="D767" i="1"/>
  <c r="M770" i="1"/>
  <c r="D797" i="1"/>
  <c r="D794" i="1"/>
  <c r="D793" i="1"/>
  <c r="D180" i="248"/>
  <c r="D180" i="1"/>
  <c r="G22" i="4"/>
  <c r="B562" i="1" l="1"/>
  <c r="B500" i="248"/>
  <c r="J158" i="248"/>
  <c r="R158" i="248" s="1"/>
  <c r="J157" i="248"/>
  <c r="R157" i="248" s="1"/>
  <c r="J156" i="248"/>
  <c r="R156" i="248" s="1"/>
  <c r="J155" i="248"/>
  <c r="R155" i="248" s="1"/>
  <c r="J154" i="248"/>
  <c r="R154" i="248" s="1"/>
  <c r="J153" i="248"/>
  <c r="D2240" i="248"/>
  <c r="D2239" i="248"/>
  <c r="D2238" i="248"/>
  <c r="D2237" i="248"/>
  <c r="D2236" i="248"/>
  <c r="D2235" i="248"/>
  <c r="D2234" i="248"/>
  <c r="D2233" i="248"/>
  <c r="D2232" i="248"/>
  <c r="D2231" i="248"/>
  <c r="O2202" i="248"/>
  <c r="D2196" i="248"/>
  <c r="Q2195" i="248"/>
  <c r="D2195" i="248"/>
  <c r="D2184" i="248"/>
  <c r="D2183" i="248"/>
  <c r="D2182" i="248"/>
  <c r="D2181" i="248"/>
  <c r="D2180" i="248"/>
  <c r="D2179" i="248"/>
  <c r="D2178" i="248"/>
  <c r="D2177" i="248"/>
  <c r="D2176" i="248"/>
  <c r="D2175" i="248"/>
  <c r="D2148" i="248"/>
  <c r="D2147" i="248"/>
  <c r="D2146" i="248"/>
  <c r="D2145" i="248"/>
  <c r="D2134" i="248"/>
  <c r="D2133" i="248"/>
  <c r="D2132" i="248"/>
  <c r="D2131" i="248"/>
  <c r="D2130" i="248"/>
  <c r="O2119" i="248"/>
  <c r="D2116" i="248"/>
  <c r="D2199" i="248" s="1"/>
  <c r="D2113" i="248"/>
  <c r="D2112" i="248"/>
  <c r="D2080" i="248"/>
  <c r="D2079" i="248"/>
  <c r="D2078" i="248"/>
  <c r="D2077" i="248"/>
  <c r="D2076" i="248"/>
  <c r="D2075" i="248"/>
  <c r="D2074" i="248"/>
  <c r="D2073" i="248"/>
  <c r="D2072" i="248"/>
  <c r="D2071" i="248"/>
  <c r="O2042" i="248"/>
  <c r="D2036" i="248"/>
  <c r="Q2035" i="248"/>
  <c r="D2035" i="248"/>
  <c r="D2024" i="248"/>
  <c r="D2023" i="248"/>
  <c r="D2022" i="248"/>
  <c r="D2021" i="248"/>
  <c r="D2020" i="248"/>
  <c r="D2019" i="248"/>
  <c r="D2018" i="248"/>
  <c r="D2017" i="248"/>
  <c r="D2016" i="248"/>
  <c r="D2015" i="248"/>
  <c r="D1988" i="248"/>
  <c r="D1987" i="248"/>
  <c r="D1986" i="248"/>
  <c r="D1985" i="248"/>
  <c r="D1974" i="248"/>
  <c r="D1973" i="248"/>
  <c r="D1972" i="248"/>
  <c r="D1971" i="248"/>
  <c r="D1970" i="248"/>
  <c r="O1959" i="248"/>
  <c r="D1956" i="248"/>
  <c r="D2039" i="248" s="1"/>
  <c r="D1953" i="248"/>
  <c r="D1952" i="248"/>
  <c r="D1920" i="248"/>
  <c r="D1919" i="248"/>
  <c r="D1918" i="248"/>
  <c r="D1917" i="248"/>
  <c r="D1916" i="248"/>
  <c r="D1915" i="248"/>
  <c r="D1914" i="248"/>
  <c r="D1913" i="248"/>
  <c r="D1912" i="248"/>
  <c r="D1911" i="248"/>
  <c r="O1882" i="248"/>
  <c r="D1876" i="248"/>
  <c r="Q1875" i="248"/>
  <c r="D1875" i="248"/>
  <c r="D1864" i="248"/>
  <c r="D1863" i="248"/>
  <c r="D1862" i="248"/>
  <c r="D1861" i="248"/>
  <c r="D1860" i="248"/>
  <c r="D1859" i="248"/>
  <c r="D1858" i="248"/>
  <c r="D1857" i="248"/>
  <c r="D1856" i="248"/>
  <c r="D1855" i="248"/>
  <c r="D1828" i="248"/>
  <c r="D1827" i="248"/>
  <c r="D1826" i="248"/>
  <c r="D1825" i="248"/>
  <c r="D1814" i="248"/>
  <c r="D1813" i="248"/>
  <c r="D1812" i="248"/>
  <c r="D1811" i="248"/>
  <c r="D1810" i="248"/>
  <c r="O1799" i="248"/>
  <c r="D1796" i="248"/>
  <c r="D1879" i="248" s="1"/>
  <c r="D1793" i="248"/>
  <c r="D1792" i="248"/>
  <c r="O1741" i="248"/>
  <c r="D1726" i="248"/>
  <c r="D1723" i="248"/>
  <c r="D1722" i="248"/>
  <c r="O1692" i="248"/>
  <c r="R1692" i="248" s="1"/>
  <c r="R1691" i="248" s="1"/>
  <c r="R1690" i="248" s="1"/>
  <c r="R1689" i="248" s="1"/>
  <c r="M1688" i="248"/>
  <c r="R1688" i="248" s="1"/>
  <c r="D1688" i="248"/>
  <c r="M1687" i="248"/>
  <c r="R1687" i="248" s="1"/>
  <c r="D1687" i="248"/>
  <c r="D1682" i="248"/>
  <c r="D1681" i="248"/>
  <c r="D1680" i="248"/>
  <c r="M1674" i="248"/>
  <c r="R1674" i="248" s="1"/>
  <c r="D1674" i="248"/>
  <c r="M1673" i="248"/>
  <c r="R1673" i="248" s="1"/>
  <c r="D1673" i="248"/>
  <c r="M1672" i="248"/>
  <c r="R1672" i="248" s="1"/>
  <c r="D1672" i="248"/>
  <c r="M1671" i="248"/>
  <c r="R1671" i="248" s="1"/>
  <c r="D1671" i="248"/>
  <c r="D1669" i="248"/>
  <c r="D1653" i="248"/>
  <c r="D1650" i="248"/>
  <c r="R1650" i="248" s="1"/>
  <c r="D1649" i="248"/>
  <c r="D1620" i="248"/>
  <c r="D1619" i="248"/>
  <c r="D1618" i="248"/>
  <c r="D1617" i="248"/>
  <c r="D1616" i="248"/>
  <c r="D1615" i="248"/>
  <c r="D1614" i="248"/>
  <c r="D1613" i="248"/>
  <c r="D1612" i="248"/>
  <c r="D1611" i="248"/>
  <c r="D1601" i="248"/>
  <c r="O1581" i="248"/>
  <c r="R1575" i="248"/>
  <c r="D1575" i="248"/>
  <c r="D1574" i="248"/>
  <c r="D1563" i="248"/>
  <c r="D1562" i="248"/>
  <c r="D1561" i="248"/>
  <c r="D1560" i="248"/>
  <c r="D1559" i="248"/>
  <c r="D1558" i="248"/>
  <c r="D1557" i="248"/>
  <c r="D1556" i="248"/>
  <c r="D1555" i="248"/>
  <c r="D1554" i="248"/>
  <c r="D1527" i="248"/>
  <c r="D1526" i="248"/>
  <c r="D1525" i="248"/>
  <c r="D1524" i="248"/>
  <c r="D1513" i="248"/>
  <c r="D1512" i="248"/>
  <c r="D1511" i="248"/>
  <c r="D1510" i="248"/>
  <c r="D1509" i="248"/>
  <c r="O1498" i="248"/>
  <c r="D1495" i="248"/>
  <c r="D1578" i="248" s="1"/>
  <c r="R1492" i="248"/>
  <c r="D1492" i="248"/>
  <c r="D1491" i="248"/>
  <c r="D661" i="248"/>
  <c r="D660" i="248"/>
  <c r="D659" i="248"/>
  <c r="D658" i="248"/>
  <c r="D657" i="248"/>
  <c r="D656" i="248"/>
  <c r="D655" i="248"/>
  <c r="D654" i="248"/>
  <c r="D653" i="248"/>
  <c r="D652" i="248"/>
  <c r="D649" i="248"/>
  <c r="D645" i="248"/>
  <c r="D644" i="248"/>
  <c r="D643" i="248"/>
  <c r="D642" i="248"/>
  <c r="D641" i="248"/>
  <c r="D640" i="248"/>
  <c r="D639" i="248"/>
  <c r="D638" i="248"/>
  <c r="D637" i="248"/>
  <c r="D636" i="248"/>
  <c r="D633" i="248"/>
  <c r="D629" i="248"/>
  <c r="D628" i="248"/>
  <c r="D627" i="248"/>
  <c r="D626" i="248"/>
  <c r="D625" i="248"/>
  <c r="D624" i="248"/>
  <c r="D623" i="248"/>
  <c r="D622" i="248"/>
  <c r="D621" i="248"/>
  <c r="D620" i="248"/>
  <c r="D617" i="248"/>
  <c r="D613" i="248"/>
  <c r="D612" i="248"/>
  <c r="D611" i="248"/>
  <c r="D610" i="248"/>
  <c r="D609" i="248"/>
  <c r="D608" i="248"/>
  <c r="D607" i="248"/>
  <c r="D606" i="248"/>
  <c r="D605" i="248"/>
  <c r="D604" i="248"/>
  <c r="D601" i="248"/>
  <c r="O598" i="248"/>
  <c r="D595" i="248"/>
  <c r="D592" i="248"/>
  <c r="D591" i="248"/>
  <c r="O743" i="248"/>
  <c r="D740" i="248"/>
  <c r="D737" i="248"/>
  <c r="D736" i="248"/>
  <c r="D725" i="248"/>
  <c r="D724" i="248"/>
  <c r="D723" i="248"/>
  <c r="D722" i="248"/>
  <c r="D721" i="248"/>
  <c r="D720" i="248"/>
  <c r="D719" i="248"/>
  <c r="D718" i="248"/>
  <c r="D717" i="248"/>
  <c r="D716" i="248"/>
  <c r="D715" i="248"/>
  <c r="D714" i="248"/>
  <c r="O711" i="248"/>
  <c r="D708" i="248"/>
  <c r="D705" i="248"/>
  <c r="D704" i="248"/>
  <c r="O681" i="248"/>
  <c r="D678" i="248"/>
  <c r="D675" i="248"/>
  <c r="R675" i="248" s="1"/>
  <c r="D674" i="248"/>
  <c r="O768" i="248"/>
  <c r="D765" i="248"/>
  <c r="D762" i="248"/>
  <c r="R762" i="248" s="1"/>
  <c r="D761" i="248"/>
  <c r="D580" i="248"/>
  <c r="D579" i="248"/>
  <c r="D578" i="248"/>
  <c r="D577" i="248"/>
  <c r="D576" i="248"/>
  <c r="D575" i="248"/>
  <c r="D574" i="248"/>
  <c r="D573" i="248"/>
  <c r="D572" i="248"/>
  <c r="D571" i="248"/>
  <c r="D570" i="248"/>
  <c r="D569" i="248"/>
  <c r="D568" i="248"/>
  <c r="D567" i="248"/>
  <c r="D566" i="248"/>
  <c r="D565" i="248"/>
  <c r="D564" i="248"/>
  <c r="D563" i="248"/>
  <c r="D562" i="248"/>
  <c r="D561" i="248"/>
  <c r="O558" i="248"/>
  <c r="D555" i="248"/>
  <c r="D552" i="248"/>
  <c r="D551" i="248"/>
  <c r="D540" i="248"/>
  <c r="D539" i="248"/>
  <c r="D538" i="248"/>
  <c r="D537" i="248"/>
  <c r="D536" i="248"/>
  <c r="D535" i="248"/>
  <c r="D534" i="248"/>
  <c r="D533" i="248"/>
  <c r="D532" i="248"/>
  <c r="D531" i="248"/>
  <c r="D530" i="248"/>
  <c r="D529" i="248"/>
  <c r="D528" i="248"/>
  <c r="D527" i="248"/>
  <c r="D526" i="248"/>
  <c r="D525" i="248"/>
  <c r="D524" i="248"/>
  <c r="D523" i="248"/>
  <c r="D522" i="248"/>
  <c r="D521" i="248"/>
  <c r="D520" i="248"/>
  <c r="D519" i="248"/>
  <c r="D518" i="248"/>
  <c r="D517" i="248"/>
  <c r="D516" i="248"/>
  <c r="D515" i="248"/>
  <c r="D514" i="248"/>
  <c r="D513" i="248"/>
  <c r="D512" i="248"/>
  <c r="D511" i="248"/>
  <c r="D510" i="248"/>
  <c r="D509" i="248"/>
  <c r="D508" i="248"/>
  <c r="D507" i="248"/>
  <c r="D506" i="248"/>
  <c r="D505" i="248"/>
  <c r="D504" i="248"/>
  <c r="D503" i="248"/>
  <c r="D502" i="248"/>
  <c r="D501" i="248"/>
  <c r="O498" i="248"/>
  <c r="D495" i="248"/>
  <c r="D492" i="248"/>
  <c r="D491" i="248"/>
  <c r="D471" i="248"/>
  <c r="D470" i="248"/>
  <c r="D469" i="248"/>
  <c r="D468" i="248"/>
  <c r="D467" i="248"/>
  <c r="D466" i="248"/>
  <c r="D465" i="248"/>
  <c r="D464" i="248"/>
  <c r="D463" i="248"/>
  <c r="D462" i="248"/>
  <c r="D461" i="248"/>
  <c r="D460" i="248"/>
  <c r="D459" i="248"/>
  <c r="D458" i="248"/>
  <c r="D457" i="248"/>
  <c r="D456" i="248"/>
  <c r="D455" i="248"/>
  <c r="D454" i="248"/>
  <c r="D453" i="248"/>
  <c r="D452" i="248"/>
  <c r="D451" i="248"/>
  <c r="D450" i="248"/>
  <c r="D449" i="248"/>
  <c r="D448" i="248"/>
  <c r="D447" i="248"/>
  <c r="D446" i="248"/>
  <c r="D445" i="248"/>
  <c r="D444" i="248"/>
  <c r="D443" i="248"/>
  <c r="D442" i="248"/>
  <c r="D441" i="248"/>
  <c r="D440" i="248"/>
  <c r="O437" i="248"/>
  <c r="D1453" i="248"/>
  <c r="D1452" i="248"/>
  <c r="D1451" i="248"/>
  <c r="O1448" i="248"/>
  <c r="D1445" i="248"/>
  <c r="D1442" i="248"/>
  <c r="D1441" i="248"/>
  <c r="D1430" i="248"/>
  <c r="D1429" i="248"/>
  <c r="D1428" i="248"/>
  <c r="O1425" i="248"/>
  <c r="D1422" i="248"/>
  <c r="D1419" i="248"/>
  <c r="D1418" i="248"/>
  <c r="D1407" i="248"/>
  <c r="D1406" i="248"/>
  <c r="D1405" i="248"/>
  <c r="D1404" i="248"/>
  <c r="D1403" i="248"/>
  <c r="D1402" i="248"/>
  <c r="O1399" i="248"/>
  <c r="D1396" i="248"/>
  <c r="D1393" i="248"/>
  <c r="D1392" i="248"/>
  <c r="O1373" i="248"/>
  <c r="D1370" i="248"/>
  <c r="D1367" i="248"/>
  <c r="D1366" i="248"/>
  <c r="D1354" i="248"/>
  <c r="D1353" i="248"/>
  <c r="D1352" i="248"/>
  <c r="D1351" i="248"/>
  <c r="D1350" i="248"/>
  <c r="D1349" i="248"/>
  <c r="D1348" i="248"/>
  <c r="D1347" i="248"/>
  <c r="D1346" i="248"/>
  <c r="D1345" i="248"/>
  <c r="D1344" i="248"/>
  <c r="D1343" i="248"/>
  <c r="D1342" i="248"/>
  <c r="D1341" i="248"/>
  <c r="D1340" i="248"/>
  <c r="D1339" i="248"/>
  <c r="D1338" i="248"/>
  <c r="O1335" i="248"/>
  <c r="D1332" i="248"/>
  <c r="D1329" i="248"/>
  <c r="D1328" i="248"/>
  <c r="D1313" i="248"/>
  <c r="D1312" i="248"/>
  <c r="D1311" i="248"/>
  <c r="D1310" i="248"/>
  <c r="D1309" i="248"/>
  <c r="D1308" i="248"/>
  <c r="D1307" i="248"/>
  <c r="D1306" i="248"/>
  <c r="D1305" i="248"/>
  <c r="D1304" i="248"/>
  <c r="D1303" i="248"/>
  <c r="D1302" i="248"/>
  <c r="D1301" i="248"/>
  <c r="D1300" i="248"/>
  <c r="D1299" i="248"/>
  <c r="O1296" i="248"/>
  <c r="D1293" i="248"/>
  <c r="D1290" i="248"/>
  <c r="D1289" i="248"/>
  <c r="D1254" i="248"/>
  <c r="D1253" i="248"/>
  <c r="D1252" i="248"/>
  <c r="D1251" i="248"/>
  <c r="D1250" i="248"/>
  <c r="D1249" i="248"/>
  <c r="O1246" i="248"/>
  <c r="D1243" i="248"/>
  <c r="D1240" i="248"/>
  <c r="D1239" i="248"/>
  <c r="D1234" i="248"/>
  <c r="R1234" i="248" s="1"/>
  <c r="D1233" i="248"/>
  <c r="R1233" i="248" s="1"/>
  <c r="O1215" i="248"/>
  <c r="D1212" i="248"/>
  <c r="D1209" i="248"/>
  <c r="D1208" i="248"/>
  <c r="O1190" i="248"/>
  <c r="D1187" i="248"/>
  <c r="D1184" i="248"/>
  <c r="D1183" i="248"/>
  <c r="D1171" i="248"/>
  <c r="D1170" i="248"/>
  <c r="D1169" i="248"/>
  <c r="D1168" i="248"/>
  <c r="D1167" i="248"/>
  <c r="D1166" i="248"/>
  <c r="D1165" i="248"/>
  <c r="D1164" i="248"/>
  <c r="D1163" i="248"/>
  <c r="D1157" i="248"/>
  <c r="D1156" i="248"/>
  <c r="D1155" i="248"/>
  <c r="D1154" i="248"/>
  <c r="D1153" i="248"/>
  <c r="D1152" i="248"/>
  <c r="D1151" i="248"/>
  <c r="D1150" i="248"/>
  <c r="O1144" i="248"/>
  <c r="D1141" i="248"/>
  <c r="D1138" i="248"/>
  <c r="D1137" i="248"/>
  <c r="D1126" i="248"/>
  <c r="D1125" i="248"/>
  <c r="D1124" i="248"/>
  <c r="O1121" i="248"/>
  <c r="D1118" i="248"/>
  <c r="D1115" i="248"/>
  <c r="D1114" i="248"/>
  <c r="D1101" i="248"/>
  <c r="D1100" i="248"/>
  <c r="D1099" i="248"/>
  <c r="D1098" i="248"/>
  <c r="D1097" i="248"/>
  <c r="D1091" i="248"/>
  <c r="D1090" i="248"/>
  <c r="D1089" i="248"/>
  <c r="D1088" i="248"/>
  <c r="D1087" i="248"/>
  <c r="D1081" i="248"/>
  <c r="D1080" i="248"/>
  <c r="D1079" i="248"/>
  <c r="D1078" i="248"/>
  <c r="D1077" i="248"/>
  <c r="D1076" i="248"/>
  <c r="D1075" i="248"/>
  <c r="D1074" i="248"/>
  <c r="D1073" i="248"/>
  <c r="D1072" i="248"/>
  <c r="D1071" i="248"/>
  <c r="D1070" i="248"/>
  <c r="D1069" i="248"/>
  <c r="D1068" i="248"/>
  <c r="D1067" i="248"/>
  <c r="O1061" i="248"/>
  <c r="D1058" i="248"/>
  <c r="D1055" i="248"/>
  <c r="D1054" i="248"/>
  <c r="D1042" i="248"/>
  <c r="D1041" i="248"/>
  <c r="D1040" i="248"/>
  <c r="D1039" i="248"/>
  <c r="D1038" i="248"/>
  <c r="O1035" i="248"/>
  <c r="D1032" i="248"/>
  <c r="D1029" i="248"/>
  <c r="D1028" i="248"/>
  <c r="O953" i="248"/>
  <c r="D950" i="248"/>
  <c r="D947" i="248"/>
  <c r="D946" i="248"/>
  <c r="G935" i="248"/>
  <c r="D434" i="248"/>
  <c r="D431" i="248"/>
  <c r="R431" i="248" s="1"/>
  <c r="D430" i="248"/>
  <c r="O289" i="248"/>
  <c r="D286" i="248"/>
  <c r="D283" i="248"/>
  <c r="R283" i="248" s="1"/>
  <c r="D282" i="248"/>
  <c r="O354" i="248"/>
  <c r="D351" i="248"/>
  <c r="D349" i="248"/>
  <c r="R349" i="248" s="1"/>
  <c r="D348" i="248"/>
  <c r="D270" i="248"/>
  <c r="D237" i="248"/>
  <c r="D206" i="248"/>
  <c r="M203" i="248"/>
  <c r="D203" i="248"/>
  <c r="M202" i="248"/>
  <c r="D191" i="248"/>
  <c r="D171" i="248"/>
  <c r="R171" i="248" s="1"/>
  <c r="Q170" i="248"/>
  <c r="D170" i="248"/>
  <c r="J151" i="248"/>
  <c r="J149" i="248"/>
  <c r="R149" i="248" s="1"/>
  <c r="J148" i="248"/>
  <c r="R148" i="248" s="1"/>
  <c r="J147" i="248"/>
  <c r="R147" i="248" s="1"/>
  <c r="J145" i="248"/>
  <c r="R145" i="248" s="1"/>
  <c r="J144" i="248"/>
  <c r="R144" i="248" s="1"/>
  <c r="J143" i="248"/>
  <c r="R143" i="248" s="1"/>
  <c r="J142" i="248"/>
  <c r="R142" i="248" s="1"/>
  <c r="J140" i="248"/>
  <c r="R140" i="248" s="1"/>
  <c r="J139" i="248"/>
  <c r="R139" i="248" s="1"/>
  <c r="J138" i="248"/>
  <c r="J137" i="248"/>
  <c r="J135" i="248"/>
  <c r="R135" i="248" s="1"/>
  <c r="J134" i="248"/>
  <c r="R134" i="248" s="1"/>
  <c r="J133" i="248"/>
  <c r="R133" i="248" s="1"/>
  <c r="J132" i="248"/>
  <c r="R132" i="248" s="1"/>
  <c r="J131" i="248"/>
  <c r="J129" i="248"/>
  <c r="R129" i="248" s="1"/>
  <c r="J128" i="248"/>
  <c r="R128" i="248" s="1"/>
  <c r="J127" i="248"/>
  <c r="R127" i="248" s="1"/>
  <c r="J126" i="248"/>
  <c r="D115" i="248"/>
  <c r="R115" i="248" s="1"/>
  <c r="D114" i="248"/>
  <c r="R92" i="248"/>
  <c r="F92" i="248"/>
  <c r="R91" i="248"/>
  <c r="F91" i="248"/>
  <c r="R90" i="248"/>
  <c r="F90" i="248"/>
  <c r="R89" i="248"/>
  <c r="D83" i="248"/>
  <c r="O71" i="248"/>
  <c r="D63" i="248"/>
  <c r="D60" i="248"/>
  <c r="D59" i="248"/>
  <c r="R59" i="248" s="1"/>
  <c r="D58" i="248"/>
  <c r="F20" i="248"/>
  <c r="F16" i="248"/>
  <c r="B602" i="1" l="1"/>
  <c r="B685" i="1" s="1"/>
  <c r="B560" i="248"/>
  <c r="S1692" i="248"/>
  <c r="O73" i="248"/>
  <c r="Q226" i="248"/>
  <c r="O75" i="248" s="1"/>
  <c r="C30" i="229"/>
  <c r="C29" i="229"/>
  <c r="C28" i="229"/>
  <c r="C27" i="229"/>
  <c r="C26" i="229"/>
  <c r="C25" i="229"/>
  <c r="C24" i="229"/>
  <c r="C23" i="229"/>
  <c r="C22" i="229"/>
  <c r="C21" i="229"/>
  <c r="C20" i="229"/>
  <c r="C19" i="229"/>
  <c r="C18" i="229"/>
  <c r="C17" i="229"/>
  <c r="C16" i="229"/>
  <c r="C15" i="229"/>
  <c r="C14" i="229"/>
  <c r="C13" i="229"/>
  <c r="C12" i="229"/>
  <c r="C11" i="229"/>
  <c r="C10" i="229"/>
  <c r="C9" i="229"/>
  <c r="C8" i="229"/>
  <c r="B772" i="1" l="1"/>
  <c r="B802" i="1" s="1"/>
  <c r="B600" i="248"/>
  <c r="K315" i="1"/>
  <c r="D83" i="1"/>
  <c r="D651" i="1"/>
  <c r="D635" i="1"/>
  <c r="D619" i="1"/>
  <c r="D60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M560" i="1"/>
  <c r="D557" i="1"/>
  <c r="D554" i="1"/>
  <c r="D55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M500" i="1"/>
  <c r="D497" i="1"/>
  <c r="D494" i="1"/>
  <c r="D493" i="1"/>
  <c r="N1" i="192"/>
  <c r="N1" i="190"/>
  <c r="N1" i="136"/>
  <c r="B909" i="1" l="1"/>
  <c r="B976" i="1" s="1"/>
  <c r="C977" i="1" s="1"/>
  <c r="C978" i="1" s="1"/>
  <c r="C1015" i="1" s="1"/>
  <c r="B683" i="248"/>
  <c r="K315" i="248" s="1"/>
  <c r="Q282" i="248"/>
  <c r="P175" i="5"/>
  <c r="N175" i="5"/>
  <c r="O317" i="1" s="1"/>
  <c r="P174" i="5"/>
  <c r="J174" i="5" s="1"/>
  <c r="L174" i="5" s="1"/>
  <c r="O776" i="248" s="1"/>
  <c r="R776" i="248" s="1"/>
  <c r="N174" i="5"/>
  <c r="M151" i="192"/>
  <c r="G151" i="192" s="1"/>
  <c r="I151" i="192" s="1"/>
  <c r="M473" i="1" s="1"/>
  <c r="K151" i="192"/>
  <c r="O473" i="1" s="1"/>
  <c r="M150" i="192"/>
  <c r="G150" i="192" s="1"/>
  <c r="I150" i="192" s="1"/>
  <c r="M472" i="1" s="1"/>
  <c r="K150" i="192"/>
  <c r="O472" i="1" s="1"/>
  <c r="M149" i="192"/>
  <c r="G149" i="192" s="1"/>
  <c r="I149" i="192" s="1"/>
  <c r="M471" i="1" s="1"/>
  <c r="K149" i="192"/>
  <c r="O471" i="1" s="1"/>
  <c r="M148" i="192"/>
  <c r="G148" i="192" s="1"/>
  <c r="I148" i="192" s="1"/>
  <c r="M470" i="1" s="1"/>
  <c r="K148" i="192"/>
  <c r="O470" i="1" s="1"/>
  <c r="M151" i="190"/>
  <c r="G151" i="190" s="1"/>
  <c r="I151" i="190" s="1"/>
  <c r="M465" i="1" s="1"/>
  <c r="K151" i="190"/>
  <c r="O465" i="1" s="1"/>
  <c r="M150" i="190"/>
  <c r="G150" i="190" s="1"/>
  <c r="I150" i="190" s="1"/>
  <c r="M464" i="1" s="1"/>
  <c r="K150" i="190"/>
  <c r="O464" i="1" s="1"/>
  <c r="M149" i="190"/>
  <c r="G149" i="190" s="1"/>
  <c r="I149" i="190" s="1"/>
  <c r="M463" i="1" s="1"/>
  <c r="K149" i="190"/>
  <c r="O463" i="1" s="1"/>
  <c r="M148" i="190"/>
  <c r="G148" i="190" s="1"/>
  <c r="I148" i="190" s="1"/>
  <c r="M462" i="1" s="1"/>
  <c r="K148" i="190"/>
  <c r="O462" i="1" s="1"/>
  <c r="M151" i="136"/>
  <c r="G151" i="136" s="1"/>
  <c r="I151" i="136" s="1"/>
  <c r="M457" i="1" s="1"/>
  <c r="K151" i="136"/>
  <c r="O457" i="1" s="1"/>
  <c r="M150" i="136"/>
  <c r="G150" i="136" s="1"/>
  <c r="I150" i="136" s="1"/>
  <c r="M456" i="1" s="1"/>
  <c r="K150" i="136"/>
  <c r="O456" i="1" s="1"/>
  <c r="M149" i="136"/>
  <c r="G149" i="136" s="1"/>
  <c r="I149" i="136" s="1"/>
  <c r="M455" i="1" s="1"/>
  <c r="K149" i="136"/>
  <c r="O455" i="1" s="1"/>
  <c r="M148" i="136"/>
  <c r="G148" i="136" s="1"/>
  <c r="I148" i="136" s="1"/>
  <c r="M454" i="1" s="1"/>
  <c r="K148" i="136"/>
  <c r="O454" i="1" s="1"/>
  <c r="P151" i="5"/>
  <c r="J151" i="5" s="1"/>
  <c r="L151" i="5" s="1"/>
  <c r="M449" i="1" s="1"/>
  <c r="N151" i="5"/>
  <c r="O449" i="1" s="1"/>
  <c r="P150" i="5"/>
  <c r="J150" i="5" s="1"/>
  <c r="L150" i="5" s="1"/>
  <c r="M448" i="1" s="1"/>
  <c r="N150" i="5"/>
  <c r="O448" i="1" s="1"/>
  <c r="P149" i="5"/>
  <c r="J149" i="5" s="1"/>
  <c r="L149" i="5" s="1"/>
  <c r="M447" i="1" s="1"/>
  <c r="N149" i="5"/>
  <c r="O447" i="1" s="1"/>
  <c r="P148" i="5"/>
  <c r="J148" i="5" s="1"/>
  <c r="L148" i="5" s="1"/>
  <c r="M446" i="1" s="1"/>
  <c r="N148" i="5"/>
  <c r="O446" i="1" s="1"/>
  <c r="M175" i="192"/>
  <c r="K175" i="192"/>
  <c r="M171" i="192"/>
  <c r="G171" i="192" s="1"/>
  <c r="I171" i="192" s="1"/>
  <c r="K171" i="192"/>
  <c r="O582" i="1" s="1"/>
  <c r="M170" i="192"/>
  <c r="G170" i="192" s="1"/>
  <c r="I170" i="192" s="1"/>
  <c r="K170" i="192"/>
  <c r="O581" i="1" s="1"/>
  <c r="M169" i="192"/>
  <c r="G169" i="192" s="1"/>
  <c r="I169" i="192" s="1"/>
  <c r="K169" i="192"/>
  <c r="O580" i="1" s="1"/>
  <c r="M168" i="192"/>
  <c r="G168" i="192" s="1"/>
  <c r="I168" i="192" s="1"/>
  <c r="K168" i="192"/>
  <c r="O579" i="1" s="1"/>
  <c r="M167" i="192"/>
  <c r="G167" i="192" s="1"/>
  <c r="I167" i="192" s="1"/>
  <c r="K167" i="192"/>
  <c r="O578" i="1" s="1"/>
  <c r="M166" i="192"/>
  <c r="G166" i="192" s="1"/>
  <c r="I166" i="192" s="1"/>
  <c r="K166" i="192"/>
  <c r="M165" i="192"/>
  <c r="G165" i="192" s="1"/>
  <c r="I165" i="192" s="1"/>
  <c r="K165" i="192"/>
  <c r="O542" i="1" s="1"/>
  <c r="M164" i="192"/>
  <c r="G164" i="192" s="1"/>
  <c r="I164" i="192" s="1"/>
  <c r="K164" i="192"/>
  <c r="O541" i="1" s="1"/>
  <c r="M163" i="192"/>
  <c r="G163" i="192" s="1"/>
  <c r="I163" i="192" s="1"/>
  <c r="K163" i="192"/>
  <c r="O540" i="1" s="1"/>
  <c r="M162" i="192"/>
  <c r="G162" i="192" s="1"/>
  <c r="I162" i="192" s="1"/>
  <c r="K162" i="192"/>
  <c r="O539" i="1" s="1"/>
  <c r="M161" i="192"/>
  <c r="G161" i="192" s="1"/>
  <c r="I161" i="192" s="1"/>
  <c r="K161" i="192"/>
  <c r="O538" i="1" s="1"/>
  <c r="M160" i="192"/>
  <c r="G160" i="192" s="1"/>
  <c r="I160" i="192" s="1"/>
  <c r="K160" i="192"/>
  <c r="O537" i="1" s="1"/>
  <c r="M159" i="192"/>
  <c r="G159" i="192" s="1"/>
  <c r="I159" i="192" s="1"/>
  <c r="K159" i="192"/>
  <c r="O536" i="1" s="1"/>
  <c r="M158" i="192"/>
  <c r="G158" i="192" s="1"/>
  <c r="I158" i="192" s="1"/>
  <c r="K158" i="192"/>
  <c r="O535" i="1" s="1"/>
  <c r="M157" i="192"/>
  <c r="G157" i="192" s="1"/>
  <c r="I157" i="192" s="1"/>
  <c r="K157" i="192"/>
  <c r="O534" i="1" s="1"/>
  <c r="M156" i="192"/>
  <c r="K156" i="192"/>
  <c r="O533" i="1" s="1"/>
  <c r="M155" i="192"/>
  <c r="G155" i="192" s="1"/>
  <c r="I155" i="192" s="1"/>
  <c r="K155" i="192"/>
  <c r="M154" i="192"/>
  <c r="G154" i="192" s="1"/>
  <c r="I154" i="192" s="1"/>
  <c r="K154" i="192"/>
  <c r="M153" i="192"/>
  <c r="G153" i="192" s="1"/>
  <c r="I153" i="192" s="1"/>
  <c r="K153" i="192"/>
  <c r="M152" i="192"/>
  <c r="G152" i="192" s="1"/>
  <c r="I152" i="192" s="1"/>
  <c r="K152" i="192"/>
  <c r="M147" i="192"/>
  <c r="G147" i="192" s="1"/>
  <c r="I147" i="192" s="1"/>
  <c r="M469" i="1" s="1"/>
  <c r="K147" i="192"/>
  <c r="O469" i="1" s="1"/>
  <c r="M146" i="192"/>
  <c r="G146" i="192" s="1"/>
  <c r="I146" i="192" s="1"/>
  <c r="M468" i="1" s="1"/>
  <c r="K146" i="192"/>
  <c r="O468" i="1" s="1"/>
  <c r="M145" i="192"/>
  <c r="G145" i="192" s="1"/>
  <c r="I145" i="192" s="1"/>
  <c r="M467" i="1" s="1"/>
  <c r="K145" i="192"/>
  <c r="O467" i="1" s="1"/>
  <c r="M144" i="192"/>
  <c r="K144" i="192"/>
  <c r="O466" i="1" s="1"/>
  <c r="M143" i="192"/>
  <c r="G143" i="192" s="1"/>
  <c r="I143" i="192" s="1"/>
  <c r="K143" i="192"/>
  <c r="M142" i="192"/>
  <c r="G142" i="192" s="1"/>
  <c r="I142" i="192" s="1"/>
  <c r="K142" i="192"/>
  <c r="M141" i="192"/>
  <c r="K141" i="192"/>
  <c r="M171" i="190"/>
  <c r="G171" i="190" s="1"/>
  <c r="I171" i="190" s="1"/>
  <c r="K171" i="190"/>
  <c r="O577" i="1" s="1"/>
  <c r="M170" i="190"/>
  <c r="G170" i="190" s="1"/>
  <c r="I170" i="190" s="1"/>
  <c r="K170" i="190"/>
  <c r="O576" i="1" s="1"/>
  <c r="M169" i="190"/>
  <c r="G169" i="190" s="1"/>
  <c r="I169" i="190" s="1"/>
  <c r="K169" i="190"/>
  <c r="O575" i="1" s="1"/>
  <c r="M168" i="190"/>
  <c r="G168" i="190" s="1"/>
  <c r="I168" i="190" s="1"/>
  <c r="K168" i="190"/>
  <c r="O574" i="1" s="1"/>
  <c r="M167" i="190"/>
  <c r="G167" i="190" s="1"/>
  <c r="I167" i="190" s="1"/>
  <c r="K167" i="190"/>
  <c r="O573" i="1" s="1"/>
  <c r="M166" i="190"/>
  <c r="G166" i="190" s="1"/>
  <c r="I166" i="190" s="1"/>
  <c r="K166" i="190"/>
  <c r="M165" i="190"/>
  <c r="G165" i="190" s="1"/>
  <c r="I165" i="190" s="1"/>
  <c r="K165" i="190"/>
  <c r="O532" i="1" s="1"/>
  <c r="M164" i="190"/>
  <c r="G164" i="190" s="1"/>
  <c r="I164" i="190" s="1"/>
  <c r="K164" i="190"/>
  <c r="O531" i="1" s="1"/>
  <c r="M163" i="190"/>
  <c r="G163" i="190" s="1"/>
  <c r="I163" i="190" s="1"/>
  <c r="K163" i="190"/>
  <c r="O530" i="1" s="1"/>
  <c r="M162" i="190"/>
  <c r="G162" i="190" s="1"/>
  <c r="I162" i="190" s="1"/>
  <c r="K162" i="190"/>
  <c r="O529" i="1" s="1"/>
  <c r="M161" i="190"/>
  <c r="G161" i="190" s="1"/>
  <c r="I161" i="190" s="1"/>
  <c r="K161" i="190"/>
  <c r="O528" i="1" s="1"/>
  <c r="M160" i="190"/>
  <c r="G160" i="190" s="1"/>
  <c r="I160" i="190" s="1"/>
  <c r="K160" i="190"/>
  <c r="O527" i="1" s="1"/>
  <c r="M159" i="190"/>
  <c r="G159" i="190" s="1"/>
  <c r="I159" i="190" s="1"/>
  <c r="K159" i="190"/>
  <c r="O526" i="1" s="1"/>
  <c r="M158" i="190"/>
  <c r="G158" i="190" s="1"/>
  <c r="I158" i="190" s="1"/>
  <c r="K158" i="190"/>
  <c r="O525" i="1" s="1"/>
  <c r="M157" i="190"/>
  <c r="G157" i="190" s="1"/>
  <c r="I157" i="190" s="1"/>
  <c r="K157" i="190"/>
  <c r="O524" i="1" s="1"/>
  <c r="M156" i="190"/>
  <c r="K156" i="190"/>
  <c r="O523" i="1" s="1"/>
  <c r="M155" i="190"/>
  <c r="G155" i="190" s="1"/>
  <c r="I155" i="190" s="1"/>
  <c r="K155" i="190"/>
  <c r="M154" i="190"/>
  <c r="G154" i="190" s="1"/>
  <c r="I154" i="190" s="1"/>
  <c r="K154" i="190"/>
  <c r="M153" i="190"/>
  <c r="G153" i="190" s="1"/>
  <c r="I153" i="190" s="1"/>
  <c r="K153" i="190"/>
  <c r="M152" i="190"/>
  <c r="G152" i="190" s="1"/>
  <c r="I152" i="190" s="1"/>
  <c r="K152" i="190"/>
  <c r="M147" i="190"/>
  <c r="G147" i="190" s="1"/>
  <c r="I147" i="190" s="1"/>
  <c r="M461" i="1" s="1"/>
  <c r="K147" i="190"/>
  <c r="O461" i="1" s="1"/>
  <c r="M146" i="190"/>
  <c r="G146" i="190" s="1"/>
  <c r="I146" i="190" s="1"/>
  <c r="M460" i="1" s="1"/>
  <c r="K146" i="190"/>
  <c r="O460" i="1" s="1"/>
  <c r="M145" i="190"/>
  <c r="G145" i="190" s="1"/>
  <c r="I145" i="190" s="1"/>
  <c r="M459" i="1" s="1"/>
  <c r="K145" i="190"/>
  <c r="O459" i="1" s="1"/>
  <c r="M144" i="190"/>
  <c r="K144" i="190"/>
  <c r="O458" i="1" s="1"/>
  <c r="M143" i="190"/>
  <c r="G143" i="190" s="1"/>
  <c r="I143" i="190" s="1"/>
  <c r="K143" i="190"/>
  <c r="M142" i="190"/>
  <c r="G142" i="190" s="1"/>
  <c r="I142" i="190" s="1"/>
  <c r="K142" i="190"/>
  <c r="M141" i="190"/>
  <c r="K141" i="190"/>
  <c r="M171" i="136"/>
  <c r="G171" i="136" s="1"/>
  <c r="I171" i="136" s="1"/>
  <c r="K171" i="136"/>
  <c r="O572" i="1" s="1"/>
  <c r="M170" i="136"/>
  <c r="G170" i="136" s="1"/>
  <c r="I170" i="136" s="1"/>
  <c r="K170" i="136"/>
  <c r="O571" i="1" s="1"/>
  <c r="M169" i="136"/>
  <c r="G169" i="136" s="1"/>
  <c r="I169" i="136" s="1"/>
  <c r="K169" i="136"/>
  <c r="O570" i="1" s="1"/>
  <c r="M168" i="136"/>
  <c r="G168" i="136" s="1"/>
  <c r="I168" i="136" s="1"/>
  <c r="K168" i="136"/>
  <c r="O569" i="1" s="1"/>
  <c r="M167" i="136"/>
  <c r="K167" i="136"/>
  <c r="O568" i="1" s="1"/>
  <c r="M166" i="136"/>
  <c r="G166" i="136" s="1"/>
  <c r="I166" i="136" s="1"/>
  <c r="K166" i="136"/>
  <c r="M165" i="136"/>
  <c r="G165" i="136" s="1"/>
  <c r="I165" i="136" s="1"/>
  <c r="K165" i="136"/>
  <c r="O522" i="1" s="1"/>
  <c r="M164" i="136"/>
  <c r="G164" i="136" s="1"/>
  <c r="I164" i="136" s="1"/>
  <c r="K164" i="136"/>
  <c r="O521" i="1" s="1"/>
  <c r="M163" i="136"/>
  <c r="G163" i="136" s="1"/>
  <c r="I163" i="136" s="1"/>
  <c r="K163" i="136"/>
  <c r="O520" i="1" s="1"/>
  <c r="M162" i="136"/>
  <c r="G162" i="136" s="1"/>
  <c r="I162" i="136" s="1"/>
  <c r="K162" i="136"/>
  <c r="O519" i="1" s="1"/>
  <c r="M161" i="136"/>
  <c r="G161" i="136" s="1"/>
  <c r="I161" i="136" s="1"/>
  <c r="K161" i="136"/>
  <c r="O518" i="1" s="1"/>
  <c r="M160" i="136"/>
  <c r="G160" i="136" s="1"/>
  <c r="I160" i="136" s="1"/>
  <c r="K160" i="136"/>
  <c r="O517" i="1" s="1"/>
  <c r="M159" i="136"/>
  <c r="G159" i="136" s="1"/>
  <c r="I159" i="136" s="1"/>
  <c r="K159" i="136"/>
  <c r="O516" i="1" s="1"/>
  <c r="M158" i="136"/>
  <c r="G158" i="136" s="1"/>
  <c r="I158" i="136" s="1"/>
  <c r="K158" i="136"/>
  <c r="O515" i="1" s="1"/>
  <c r="M157" i="136"/>
  <c r="G157" i="136" s="1"/>
  <c r="I157" i="136" s="1"/>
  <c r="K157" i="136"/>
  <c r="O514" i="1" s="1"/>
  <c r="M156" i="136"/>
  <c r="K156" i="136"/>
  <c r="O513" i="1" s="1"/>
  <c r="M155" i="136"/>
  <c r="G155" i="136" s="1"/>
  <c r="I155" i="136" s="1"/>
  <c r="K155" i="136"/>
  <c r="M154" i="136"/>
  <c r="G154" i="136" s="1"/>
  <c r="I154" i="136" s="1"/>
  <c r="K154" i="136"/>
  <c r="M153" i="136"/>
  <c r="G153" i="136" s="1"/>
  <c r="I153" i="136" s="1"/>
  <c r="K153" i="136"/>
  <c r="M152" i="136"/>
  <c r="G152" i="136" s="1"/>
  <c r="I152" i="136" s="1"/>
  <c r="K152" i="136"/>
  <c r="M147" i="136"/>
  <c r="G147" i="136" s="1"/>
  <c r="I147" i="136" s="1"/>
  <c r="M453" i="1" s="1"/>
  <c r="K147" i="136"/>
  <c r="O453" i="1" s="1"/>
  <c r="M146" i="136"/>
  <c r="G146" i="136" s="1"/>
  <c r="I146" i="136" s="1"/>
  <c r="M452" i="1" s="1"/>
  <c r="K146" i="136"/>
  <c r="O452" i="1" s="1"/>
  <c r="M145" i="136"/>
  <c r="G145" i="136" s="1"/>
  <c r="I145" i="136" s="1"/>
  <c r="M451" i="1" s="1"/>
  <c r="K145" i="136"/>
  <c r="O451" i="1" s="1"/>
  <c r="M144" i="136"/>
  <c r="K144" i="136"/>
  <c r="O450" i="1" s="1"/>
  <c r="M143" i="136"/>
  <c r="G143" i="136" s="1"/>
  <c r="I143" i="136" s="1"/>
  <c r="K143" i="136"/>
  <c r="M142" i="136"/>
  <c r="G142" i="136" s="1"/>
  <c r="I142" i="136" s="1"/>
  <c r="K142" i="136"/>
  <c r="M141" i="136"/>
  <c r="K141" i="136"/>
  <c r="L176" i="5"/>
  <c r="P169" i="5"/>
  <c r="J169" i="5" s="1"/>
  <c r="L169" i="5" s="1"/>
  <c r="P171" i="5"/>
  <c r="J171" i="5" s="1"/>
  <c r="L171" i="5" s="1"/>
  <c r="N171" i="5"/>
  <c r="O567" i="1" s="1"/>
  <c r="P170" i="5"/>
  <c r="J170" i="5" s="1"/>
  <c r="L170" i="5" s="1"/>
  <c r="N170" i="5"/>
  <c r="O566" i="1" s="1"/>
  <c r="N169" i="5"/>
  <c r="O565" i="1" s="1"/>
  <c r="P168" i="5"/>
  <c r="J168" i="5" s="1"/>
  <c r="L168" i="5" s="1"/>
  <c r="N168" i="5"/>
  <c r="O564" i="1" s="1"/>
  <c r="P167" i="5"/>
  <c r="J167" i="5" s="1"/>
  <c r="L167" i="5" s="1"/>
  <c r="N167" i="5"/>
  <c r="P166" i="5"/>
  <c r="J166" i="5" s="1"/>
  <c r="L166" i="5" s="1"/>
  <c r="N166" i="5"/>
  <c r="P165" i="5"/>
  <c r="J165" i="5" s="1"/>
  <c r="L165" i="5" s="1"/>
  <c r="N165" i="5"/>
  <c r="O512" i="1" s="1"/>
  <c r="P164" i="5"/>
  <c r="J164" i="5" s="1"/>
  <c r="L164" i="5" s="1"/>
  <c r="N164" i="5"/>
  <c r="O511" i="1" s="1"/>
  <c r="P163" i="5"/>
  <c r="J163" i="5" s="1"/>
  <c r="L163" i="5" s="1"/>
  <c r="N163" i="5"/>
  <c r="O510" i="1" s="1"/>
  <c r="P162" i="5"/>
  <c r="J162" i="5" s="1"/>
  <c r="L162" i="5" s="1"/>
  <c r="N162" i="5"/>
  <c r="O509" i="1" s="1"/>
  <c r="P161" i="5"/>
  <c r="J161" i="5" s="1"/>
  <c r="L161" i="5" s="1"/>
  <c r="N161" i="5"/>
  <c r="O508" i="1" s="1"/>
  <c r="P160" i="5"/>
  <c r="J160" i="5" s="1"/>
  <c r="L160" i="5" s="1"/>
  <c r="N160" i="5"/>
  <c r="O507" i="1" s="1"/>
  <c r="P159" i="5"/>
  <c r="J159" i="5" s="1"/>
  <c r="L159" i="5" s="1"/>
  <c r="N159" i="5"/>
  <c r="O506" i="1" s="1"/>
  <c r="P158" i="5"/>
  <c r="J158" i="5" s="1"/>
  <c r="L158" i="5" s="1"/>
  <c r="N158" i="5"/>
  <c r="O505" i="1" s="1"/>
  <c r="P157" i="5"/>
  <c r="J157" i="5" s="1"/>
  <c r="L157" i="5" s="1"/>
  <c r="N157" i="5"/>
  <c r="O504" i="1" s="1"/>
  <c r="P156" i="5"/>
  <c r="N156" i="5"/>
  <c r="P155" i="5"/>
  <c r="J155" i="5" s="1"/>
  <c r="L155" i="5" s="1"/>
  <c r="N155" i="5"/>
  <c r="P154" i="5"/>
  <c r="J154" i="5" s="1"/>
  <c r="L154" i="5" s="1"/>
  <c r="N154" i="5"/>
  <c r="P153" i="5"/>
  <c r="J153" i="5" s="1"/>
  <c r="L153" i="5" s="1"/>
  <c r="N153" i="5"/>
  <c r="P152" i="5"/>
  <c r="J152" i="5" s="1"/>
  <c r="L152" i="5" s="1"/>
  <c r="N152" i="5"/>
  <c r="P147" i="5"/>
  <c r="J147" i="5" s="1"/>
  <c r="L147" i="5" s="1"/>
  <c r="M445" i="1" s="1"/>
  <c r="N147" i="5"/>
  <c r="O445" i="1" s="1"/>
  <c r="P146" i="5"/>
  <c r="J146" i="5" s="1"/>
  <c r="L146" i="5" s="1"/>
  <c r="M444" i="1" s="1"/>
  <c r="N146" i="5"/>
  <c r="O444" i="1" s="1"/>
  <c r="P145" i="5"/>
  <c r="J145" i="5" s="1"/>
  <c r="L145" i="5" s="1"/>
  <c r="M443" i="1" s="1"/>
  <c r="N145" i="5"/>
  <c r="O443" i="1" s="1"/>
  <c r="P144" i="5"/>
  <c r="N144" i="5"/>
  <c r="O442" i="1" s="1"/>
  <c r="P143" i="5"/>
  <c r="J143" i="5" s="1"/>
  <c r="L143" i="5" s="1"/>
  <c r="N143" i="5"/>
  <c r="P142" i="5"/>
  <c r="J142" i="5" s="1"/>
  <c r="L142" i="5" s="1"/>
  <c r="N142" i="5"/>
  <c r="P141" i="5"/>
  <c r="N141" i="5"/>
  <c r="P140" i="5"/>
  <c r="J140" i="5" s="1"/>
  <c r="L140" i="5" s="1"/>
  <c r="N140" i="5"/>
  <c r="N139" i="5"/>
  <c r="P138" i="5"/>
  <c r="J138" i="5" s="1"/>
  <c r="L138" i="5" s="1"/>
  <c r="O613" i="248" s="1"/>
  <c r="R613" i="248" s="1"/>
  <c r="N138" i="5"/>
  <c r="P137" i="5"/>
  <c r="J137" i="5" s="1"/>
  <c r="L137" i="5" s="1"/>
  <c r="O612" i="248" s="1"/>
  <c r="R612" i="248" s="1"/>
  <c r="N137" i="5"/>
  <c r="P136" i="5"/>
  <c r="J136" i="5" s="1"/>
  <c r="L136" i="5" s="1"/>
  <c r="O611" i="248" s="1"/>
  <c r="R611" i="248" s="1"/>
  <c r="N136" i="5"/>
  <c r="P135" i="5"/>
  <c r="J135" i="5" s="1"/>
  <c r="L135" i="5" s="1"/>
  <c r="O610" i="248" s="1"/>
  <c r="R610" i="248" s="1"/>
  <c r="N135" i="5"/>
  <c r="P134" i="5"/>
  <c r="J134" i="5" s="1"/>
  <c r="L134" i="5" s="1"/>
  <c r="O609" i="248" s="1"/>
  <c r="R609" i="248" s="1"/>
  <c r="N134" i="5"/>
  <c r="P133" i="5"/>
  <c r="J133" i="5" s="1"/>
  <c r="L133" i="5" s="1"/>
  <c r="O608" i="248" s="1"/>
  <c r="R608" i="248" s="1"/>
  <c r="N133" i="5"/>
  <c r="P132" i="5"/>
  <c r="J132" i="5" s="1"/>
  <c r="L132" i="5" s="1"/>
  <c r="O607" i="248" s="1"/>
  <c r="R607" i="248" s="1"/>
  <c r="N132" i="5"/>
  <c r="P131" i="5"/>
  <c r="J131" i="5" s="1"/>
  <c r="L131" i="5" s="1"/>
  <c r="O606" i="248" s="1"/>
  <c r="R606" i="248" s="1"/>
  <c r="N131" i="5"/>
  <c r="P130" i="5"/>
  <c r="J130" i="5" s="1"/>
  <c r="L130" i="5" s="1"/>
  <c r="O605" i="248" s="1"/>
  <c r="R605" i="248" s="1"/>
  <c r="N130" i="5"/>
  <c r="P129" i="5"/>
  <c r="N129" i="5"/>
  <c r="P128" i="5"/>
  <c r="J128" i="5" s="1"/>
  <c r="L128" i="5" s="1"/>
  <c r="N128" i="5"/>
  <c r="P127" i="5"/>
  <c r="J127" i="5" s="1"/>
  <c r="L127" i="5" s="1"/>
  <c r="N127" i="5"/>
  <c r="N125" i="5"/>
  <c r="N124" i="5"/>
  <c r="N123" i="5"/>
  <c r="B1058" i="1" l="1"/>
  <c r="B1084" i="1" s="1"/>
  <c r="B1144" i="1" s="1"/>
  <c r="B1167" i="1" s="1"/>
  <c r="R444" i="1"/>
  <c r="B770" i="248"/>
  <c r="B800" i="248" s="1"/>
  <c r="B907" i="248" s="1"/>
  <c r="B955" i="248" s="1"/>
  <c r="R445" i="1"/>
  <c r="R443" i="1"/>
  <c r="R467" i="1"/>
  <c r="R469" i="1"/>
  <c r="R446" i="1"/>
  <c r="R448" i="1"/>
  <c r="R454" i="1"/>
  <c r="R456" i="1"/>
  <c r="R462" i="1"/>
  <c r="R464" i="1"/>
  <c r="R470" i="1"/>
  <c r="R472" i="1"/>
  <c r="R452" i="1"/>
  <c r="R468" i="1"/>
  <c r="R471" i="1"/>
  <c r="R473" i="1"/>
  <c r="R461" i="1"/>
  <c r="R459" i="1"/>
  <c r="R463" i="1"/>
  <c r="R465" i="1"/>
  <c r="R460" i="1"/>
  <c r="O481" i="1"/>
  <c r="R451" i="1"/>
  <c r="M481" i="1"/>
  <c r="O482" i="1"/>
  <c r="R455" i="1"/>
  <c r="R457" i="1"/>
  <c r="R453" i="1"/>
  <c r="M482" i="1"/>
  <c r="O476" i="1"/>
  <c r="R447" i="1"/>
  <c r="R449" i="1"/>
  <c r="O77" i="248"/>
  <c r="Q348" i="248"/>
  <c r="O79" i="248" s="1"/>
  <c r="O523" i="248"/>
  <c r="R523" i="248" s="1"/>
  <c r="M525" i="1"/>
  <c r="R525" i="1" s="1"/>
  <c r="O526" i="248"/>
  <c r="R526" i="248" s="1"/>
  <c r="M528" i="1"/>
  <c r="R528" i="1" s="1"/>
  <c r="O573" i="248"/>
  <c r="R573" i="248" s="1"/>
  <c r="M575" i="1"/>
  <c r="R575" i="1" s="1"/>
  <c r="O460" i="248"/>
  <c r="R460" i="248" s="1"/>
  <c r="O524" i="248"/>
  <c r="R524" i="248" s="1"/>
  <c r="M526" i="1"/>
  <c r="R526" i="1" s="1"/>
  <c r="O457" i="248"/>
  <c r="R457" i="248" s="1"/>
  <c r="O522" i="248"/>
  <c r="R522" i="248" s="1"/>
  <c r="M524" i="1"/>
  <c r="R524" i="1" s="1"/>
  <c r="O527" i="248"/>
  <c r="R527" i="248" s="1"/>
  <c r="M529" i="1"/>
  <c r="R529" i="1" s="1"/>
  <c r="O529" i="248"/>
  <c r="R529" i="248" s="1"/>
  <c r="M531" i="1"/>
  <c r="R531" i="1" s="1"/>
  <c r="O530" i="248"/>
  <c r="R530" i="248" s="1"/>
  <c r="M532" i="1"/>
  <c r="R532" i="1" s="1"/>
  <c r="O574" i="248"/>
  <c r="R574" i="248" s="1"/>
  <c r="M576" i="1"/>
  <c r="R576" i="1" s="1"/>
  <c r="O461" i="248"/>
  <c r="R461" i="248" s="1"/>
  <c r="O463" i="248"/>
  <c r="R463" i="248" s="1"/>
  <c r="O458" i="248"/>
  <c r="R458" i="248" s="1"/>
  <c r="O525" i="248"/>
  <c r="R525" i="248" s="1"/>
  <c r="M527" i="1"/>
  <c r="R527" i="1" s="1"/>
  <c r="O572" i="248"/>
  <c r="R572" i="248" s="1"/>
  <c r="M574" i="1"/>
  <c r="R574" i="1" s="1"/>
  <c r="O462" i="248"/>
  <c r="R462" i="248" s="1"/>
  <c r="O459" i="248"/>
  <c r="R459" i="248" s="1"/>
  <c r="O571" i="248"/>
  <c r="R571" i="248" s="1"/>
  <c r="M573" i="1"/>
  <c r="R573" i="1" s="1"/>
  <c r="O528" i="248"/>
  <c r="R528" i="248" s="1"/>
  <c r="M530" i="1"/>
  <c r="R530" i="1" s="1"/>
  <c r="O575" i="248"/>
  <c r="R575" i="248" s="1"/>
  <c r="M577" i="1"/>
  <c r="R577" i="1" s="1"/>
  <c r="O569" i="248"/>
  <c r="R569" i="248" s="1"/>
  <c r="M571" i="1"/>
  <c r="R571" i="1" s="1"/>
  <c r="O454" i="248"/>
  <c r="R454" i="248" s="1"/>
  <c r="O449" i="248"/>
  <c r="R449" i="248" s="1"/>
  <c r="O512" i="248"/>
  <c r="R512" i="248" s="1"/>
  <c r="M514" i="1"/>
  <c r="R514" i="1" s="1"/>
  <c r="O520" i="248"/>
  <c r="R520" i="248" s="1"/>
  <c r="M522" i="1"/>
  <c r="R522" i="1" s="1"/>
  <c r="O567" i="248"/>
  <c r="R567" i="248" s="1"/>
  <c r="M569" i="1"/>
  <c r="R569" i="1" s="1"/>
  <c r="O451" i="248"/>
  <c r="R451" i="248" s="1"/>
  <c r="O519" i="248"/>
  <c r="R519" i="248" s="1"/>
  <c r="M521" i="1"/>
  <c r="R521" i="1" s="1"/>
  <c r="O568" i="248"/>
  <c r="R568" i="248" s="1"/>
  <c r="M570" i="1"/>
  <c r="R570" i="1" s="1"/>
  <c r="O517" i="248"/>
  <c r="R517" i="248" s="1"/>
  <c r="M519" i="1"/>
  <c r="R519" i="1" s="1"/>
  <c r="O518" i="248"/>
  <c r="R518" i="248" s="1"/>
  <c r="M520" i="1"/>
  <c r="R520" i="1" s="1"/>
  <c r="O570" i="248"/>
  <c r="R570" i="248" s="1"/>
  <c r="M572" i="1"/>
  <c r="R572" i="1" s="1"/>
  <c r="O453" i="248"/>
  <c r="R453" i="248" s="1"/>
  <c r="O455" i="248"/>
  <c r="R455" i="248" s="1"/>
  <c r="O450" i="248"/>
  <c r="R450" i="248" s="1"/>
  <c r="O513" i="248"/>
  <c r="R513" i="248" s="1"/>
  <c r="M515" i="1"/>
  <c r="R515" i="1" s="1"/>
  <c r="O514" i="248"/>
  <c r="R514" i="248" s="1"/>
  <c r="M516" i="1"/>
  <c r="R516" i="1" s="1"/>
  <c r="O452" i="248"/>
  <c r="R452" i="248" s="1"/>
  <c r="O515" i="248"/>
  <c r="R515" i="248" s="1"/>
  <c r="M517" i="1"/>
  <c r="R517" i="1" s="1"/>
  <c r="O516" i="248"/>
  <c r="R516" i="248" s="1"/>
  <c r="M518" i="1"/>
  <c r="R518" i="1" s="1"/>
  <c r="O295" i="1"/>
  <c r="O300" i="1"/>
  <c r="U300" i="1" s="1"/>
  <c r="O563" i="1"/>
  <c r="O585" i="1" s="1"/>
  <c r="O294" i="1"/>
  <c r="O296" i="1"/>
  <c r="O503" i="1"/>
  <c r="O545" i="1" s="1"/>
  <c r="O533" i="248"/>
  <c r="R533" i="248" s="1"/>
  <c r="M535" i="1"/>
  <c r="R535" i="1" s="1"/>
  <c r="O536" i="248"/>
  <c r="R536" i="248" s="1"/>
  <c r="M538" i="1"/>
  <c r="R538" i="1" s="1"/>
  <c r="O577" i="248"/>
  <c r="R577" i="248" s="1"/>
  <c r="M579" i="1"/>
  <c r="R579" i="1" s="1"/>
  <c r="O578" i="248"/>
  <c r="R578" i="248" s="1"/>
  <c r="M580" i="1"/>
  <c r="R580" i="1" s="1"/>
  <c r="O467" i="248"/>
  <c r="R467" i="248" s="1"/>
  <c r="O576" i="248"/>
  <c r="R576" i="248" s="1"/>
  <c r="M578" i="1"/>
  <c r="R578" i="1" s="1"/>
  <c r="O468" i="248"/>
  <c r="R468" i="248" s="1"/>
  <c r="O538" i="248"/>
  <c r="R538" i="248" s="1"/>
  <c r="M540" i="1"/>
  <c r="R540" i="1" s="1"/>
  <c r="O580" i="248"/>
  <c r="R580" i="248" s="1"/>
  <c r="M582" i="1"/>
  <c r="R582" i="1" s="1"/>
  <c r="O469" i="248"/>
  <c r="R469" i="248" s="1"/>
  <c r="O471" i="248"/>
  <c r="R471" i="248" s="1"/>
  <c r="O466" i="248"/>
  <c r="R466" i="248" s="1"/>
  <c r="O535" i="248"/>
  <c r="R535" i="248" s="1"/>
  <c r="M537" i="1"/>
  <c r="R537" i="1" s="1"/>
  <c r="O534" i="248"/>
  <c r="R534" i="248" s="1"/>
  <c r="M536" i="1"/>
  <c r="R536" i="1" s="1"/>
  <c r="O470" i="248"/>
  <c r="R470" i="248" s="1"/>
  <c r="O465" i="248"/>
  <c r="R465" i="248" s="1"/>
  <c r="O532" i="248"/>
  <c r="R532" i="248" s="1"/>
  <c r="M534" i="1"/>
  <c r="R534" i="1" s="1"/>
  <c r="O537" i="248"/>
  <c r="R537" i="248" s="1"/>
  <c r="M539" i="1"/>
  <c r="R539" i="1" s="1"/>
  <c r="O539" i="248"/>
  <c r="R539" i="248" s="1"/>
  <c r="M541" i="1"/>
  <c r="R541" i="1" s="1"/>
  <c r="O540" i="248"/>
  <c r="R540" i="248" s="1"/>
  <c r="M542" i="1"/>
  <c r="R542" i="1" s="1"/>
  <c r="O579" i="248"/>
  <c r="R579" i="248" s="1"/>
  <c r="M581" i="1"/>
  <c r="R581" i="1" s="1"/>
  <c r="M295" i="1"/>
  <c r="O441" i="248"/>
  <c r="R441" i="248" s="1"/>
  <c r="M506" i="1"/>
  <c r="R506" i="1" s="1"/>
  <c r="O504" i="248"/>
  <c r="R504" i="248" s="1"/>
  <c r="O443" i="248"/>
  <c r="R443" i="248" s="1"/>
  <c r="O442" i="248"/>
  <c r="R442" i="248" s="1"/>
  <c r="O480" i="248"/>
  <c r="R480" i="248" s="1"/>
  <c r="M505" i="1"/>
  <c r="R505" i="1" s="1"/>
  <c r="O503" i="248"/>
  <c r="R503" i="248" s="1"/>
  <c r="M507" i="1"/>
  <c r="R507" i="1" s="1"/>
  <c r="O505" i="248"/>
  <c r="R505" i="248" s="1"/>
  <c r="M509" i="1"/>
  <c r="R509" i="1" s="1"/>
  <c r="O507" i="248"/>
  <c r="R507" i="248" s="1"/>
  <c r="M511" i="1"/>
  <c r="R511" i="1" s="1"/>
  <c r="O509" i="248"/>
  <c r="R509" i="248" s="1"/>
  <c r="M564" i="1"/>
  <c r="R564" i="1" s="1"/>
  <c r="O562" i="248"/>
  <c r="R562" i="248" s="1"/>
  <c r="O295" i="248"/>
  <c r="O479" i="248"/>
  <c r="R479" i="248" s="1"/>
  <c r="M1683" i="248"/>
  <c r="M504" i="1"/>
  <c r="R504" i="1" s="1"/>
  <c r="O502" i="248"/>
  <c r="R502" i="248" s="1"/>
  <c r="M508" i="1"/>
  <c r="R508" i="1" s="1"/>
  <c r="O506" i="248"/>
  <c r="R506" i="248" s="1"/>
  <c r="M510" i="1"/>
  <c r="R510" i="1" s="1"/>
  <c r="O508" i="248"/>
  <c r="R508" i="248" s="1"/>
  <c r="M512" i="1"/>
  <c r="R512" i="1" s="1"/>
  <c r="O510" i="248"/>
  <c r="R510" i="248" s="1"/>
  <c r="O561" i="248"/>
  <c r="R561" i="248" s="1"/>
  <c r="M565" i="1"/>
  <c r="R565" i="1" s="1"/>
  <c r="O563" i="248"/>
  <c r="R563" i="248" s="1"/>
  <c r="M566" i="1"/>
  <c r="R566" i="1" s="1"/>
  <c r="O564" i="248"/>
  <c r="R564" i="248" s="1"/>
  <c r="O445" i="248"/>
  <c r="R445" i="248" s="1"/>
  <c r="O447" i="248"/>
  <c r="R447" i="248" s="1"/>
  <c r="M567" i="1"/>
  <c r="R567" i="1" s="1"/>
  <c r="O565" i="248"/>
  <c r="R565" i="248" s="1"/>
  <c r="O444" i="248"/>
  <c r="R444" i="248" s="1"/>
  <c r="O446" i="248"/>
  <c r="R446" i="248" s="1"/>
  <c r="M563" i="1"/>
  <c r="B1213" i="1" l="1"/>
  <c r="B1238" i="1" s="1"/>
  <c r="B1269" i="1" s="1"/>
  <c r="B1037" i="248"/>
  <c r="B1063" i="248" s="1"/>
  <c r="B1123" i="248" s="1"/>
  <c r="B1146" i="248" s="1"/>
  <c r="C956" i="248"/>
  <c r="O485" i="1"/>
  <c r="X295" i="1" s="1"/>
  <c r="R481" i="1"/>
  <c r="R482" i="1"/>
  <c r="M485" i="1"/>
  <c r="Q430" i="248"/>
  <c r="R563" i="1"/>
  <c r="X296" i="1"/>
  <c r="X300" i="1"/>
  <c r="R295" i="1"/>
  <c r="X294" i="1"/>
  <c r="O291" i="1"/>
  <c r="U291" i="1" s="1"/>
  <c r="O483" i="248"/>
  <c r="R483" i="248" s="1"/>
  <c r="R295" i="248"/>
  <c r="R1683" i="248"/>
  <c r="D1147" i="1"/>
  <c r="D1146" i="1"/>
  <c r="D1145" i="1"/>
  <c r="M1142" i="1"/>
  <c r="D1139" i="1"/>
  <c r="D1136" i="1"/>
  <c r="D1135" i="1"/>
  <c r="K351" i="192"/>
  <c r="F351" i="192" s="1"/>
  <c r="K350" i="192"/>
  <c r="K349" i="192"/>
  <c r="F349" i="192" s="1"/>
  <c r="M348" i="192"/>
  <c r="G348" i="192" s="1"/>
  <c r="I348" i="192" s="1"/>
  <c r="K348" i="192"/>
  <c r="F350" i="192"/>
  <c r="C351" i="192"/>
  <c r="M351" i="192" s="1"/>
  <c r="G351" i="192" s="1"/>
  <c r="C350" i="192"/>
  <c r="M350" i="192" s="1"/>
  <c r="G350" i="192" s="1"/>
  <c r="C349" i="192"/>
  <c r="M349" i="192" s="1"/>
  <c r="G349" i="192" s="1"/>
  <c r="K351" i="190"/>
  <c r="F351" i="190" s="1"/>
  <c r="K350" i="190"/>
  <c r="F350" i="190" s="1"/>
  <c r="K349" i="190"/>
  <c r="F349" i="190" s="1"/>
  <c r="M348" i="190"/>
  <c r="G348" i="190" s="1"/>
  <c r="I348" i="190" s="1"/>
  <c r="K348" i="190"/>
  <c r="C351" i="190"/>
  <c r="M351" i="190" s="1"/>
  <c r="G351" i="190" s="1"/>
  <c r="C350" i="190"/>
  <c r="M350" i="190" s="1"/>
  <c r="G350" i="190" s="1"/>
  <c r="C349" i="190"/>
  <c r="M349" i="190" s="1"/>
  <c r="G349" i="190" s="1"/>
  <c r="K351" i="136"/>
  <c r="F351" i="136" s="1"/>
  <c r="K350" i="136"/>
  <c r="F350" i="136" s="1"/>
  <c r="K349" i="136"/>
  <c r="F349" i="136" s="1"/>
  <c r="M348" i="136"/>
  <c r="G348" i="136" s="1"/>
  <c r="I348" i="136" s="1"/>
  <c r="K348" i="136"/>
  <c r="C351" i="136"/>
  <c r="M351" i="136" s="1"/>
  <c r="G351" i="136" s="1"/>
  <c r="C350" i="136"/>
  <c r="M350" i="136" s="1"/>
  <c r="G350" i="136" s="1"/>
  <c r="C349" i="136"/>
  <c r="M349" i="136" s="1"/>
  <c r="G349" i="136" s="1"/>
  <c r="P351" i="5"/>
  <c r="J351" i="5" s="1"/>
  <c r="N351" i="5"/>
  <c r="I351" i="5" s="1"/>
  <c r="P350" i="5"/>
  <c r="J350" i="5" s="1"/>
  <c r="N350" i="5"/>
  <c r="O1146" i="1" s="1"/>
  <c r="P349" i="5"/>
  <c r="J349" i="5" s="1"/>
  <c r="N349" i="5"/>
  <c r="O1145" i="1" s="1"/>
  <c r="P348" i="5"/>
  <c r="J348" i="5" s="1"/>
  <c r="L348" i="5" s="1"/>
  <c r="N348" i="5"/>
  <c r="N347" i="5"/>
  <c r="B1296" i="1" l="1"/>
  <c r="K395" i="1" s="1"/>
  <c r="B1192" i="248"/>
  <c r="B1217" i="248" s="1"/>
  <c r="B1248" i="248" s="1"/>
  <c r="C957" i="248"/>
  <c r="C994" i="248" s="1"/>
  <c r="R485" i="1"/>
  <c r="R487" i="1" s="1"/>
  <c r="K362" i="248"/>
  <c r="O303" i="1"/>
  <c r="I347" i="5"/>
  <c r="H30" i="229"/>
  <c r="V295" i="1"/>
  <c r="U295" i="248"/>
  <c r="I349" i="192"/>
  <c r="H349" i="5" s="1"/>
  <c r="I350" i="192"/>
  <c r="H350" i="5" s="1"/>
  <c r="I350" i="190"/>
  <c r="G350" i="5" s="1"/>
  <c r="I349" i="190"/>
  <c r="G349" i="5" s="1"/>
  <c r="I349" i="136"/>
  <c r="F349" i="5" s="1"/>
  <c r="I350" i="136"/>
  <c r="F350" i="5" s="1"/>
  <c r="O1147" i="1"/>
  <c r="O1150" i="1" s="1"/>
  <c r="I349" i="5"/>
  <c r="I351" i="190"/>
  <c r="G351" i="5" s="1"/>
  <c r="I351" i="192"/>
  <c r="H351" i="5" s="1"/>
  <c r="O367" i="1"/>
  <c r="I350" i="5"/>
  <c r="I351" i="136"/>
  <c r="F351" i="5" s="1"/>
  <c r="D1122" i="1"/>
  <c r="D1121" i="1"/>
  <c r="D1120" i="1"/>
  <c r="D1119" i="1"/>
  <c r="D1118" i="1"/>
  <c r="D1112" i="1"/>
  <c r="D1111" i="1"/>
  <c r="D1110" i="1"/>
  <c r="D1109" i="1"/>
  <c r="D1108" i="1"/>
  <c r="D1102" i="1"/>
  <c r="D1101" i="1"/>
  <c r="D1100" i="1"/>
  <c r="D1099" i="1"/>
  <c r="D1098" i="1"/>
  <c r="D1097" i="1"/>
  <c r="D1096" i="1"/>
  <c r="D1095" i="1"/>
  <c r="D1094" i="1"/>
  <c r="D1093" i="1"/>
  <c r="B1319" i="1" l="1"/>
  <c r="D838" i="1" s="1"/>
  <c r="B1275" i="248"/>
  <c r="B1298" i="248" s="1"/>
  <c r="R486" i="1"/>
  <c r="R480" i="1"/>
  <c r="R488" i="1"/>
  <c r="R483" i="1"/>
  <c r="R484" i="1"/>
  <c r="R482" i="248"/>
  <c r="R478" i="248"/>
  <c r="R481" i="248"/>
  <c r="R485" i="248"/>
  <c r="R484" i="248"/>
  <c r="R486" i="248"/>
  <c r="L350" i="5"/>
  <c r="L349" i="5"/>
  <c r="O1124" i="248" s="1"/>
  <c r="R1124" i="248" s="1"/>
  <c r="X367" i="1"/>
  <c r="L351" i="5"/>
  <c r="N313" i="5"/>
  <c r="P318" i="5"/>
  <c r="J318" i="5" s="1"/>
  <c r="N318" i="5"/>
  <c r="P317" i="5"/>
  <c r="J317" i="5" s="1"/>
  <c r="N317" i="5"/>
  <c r="P316" i="5"/>
  <c r="J316" i="5" s="1"/>
  <c r="N316" i="5"/>
  <c r="P315" i="5"/>
  <c r="J315" i="5" s="1"/>
  <c r="N315" i="5"/>
  <c r="P314" i="5"/>
  <c r="J314" i="5" s="1"/>
  <c r="N314" i="5"/>
  <c r="O1108" i="1" s="1"/>
  <c r="P313" i="5"/>
  <c r="J313" i="5" s="1"/>
  <c r="L313" i="5" s="1"/>
  <c r="K318" i="192"/>
  <c r="F318" i="192" s="1"/>
  <c r="K313" i="192"/>
  <c r="M313" i="192"/>
  <c r="G313" i="192" s="1"/>
  <c r="I313" i="192" s="1"/>
  <c r="C318" i="192"/>
  <c r="M318" i="192" s="1"/>
  <c r="G318" i="192" s="1"/>
  <c r="K317" i="192"/>
  <c r="F317" i="192" s="1"/>
  <c r="C317" i="192"/>
  <c r="M317" i="192" s="1"/>
  <c r="G317" i="192" s="1"/>
  <c r="K316" i="192"/>
  <c r="F316" i="192" s="1"/>
  <c r="C316" i="192"/>
  <c r="M316" i="192" s="1"/>
  <c r="G316" i="192" s="1"/>
  <c r="K315" i="192"/>
  <c r="F315" i="192" s="1"/>
  <c r="C315" i="192"/>
  <c r="M315" i="192" s="1"/>
  <c r="G315" i="192" s="1"/>
  <c r="K314" i="192"/>
  <c r="F314" i="192" s="1"/>
  <c r="C314" i="192"/>
  <c r="M314" i="192" s="1"/>
  <c r="G314" i="192" s="1"/>
  <c r="K318" i="190"/>
  <c r="F318" i="190" s="1"/>
  <c r="M313" i="190"/>
  <c r="G313" i="190" s="1"/>
  <c r="I313" i="190" s="1"/>
  <c r="K313" i="190"/>
  <c r="C318" i="190"/>
  <c r="M318" i="190" s="1"/>
  <c r="G318" i="190" s="1"/>
  <c r="K317" i="190"/>
  <c r="F317" i="190" s="1"/>
  <c r="C317" i="190"/>
  <c r="M317" i="190" s="1"/>
  <c r="G317" i="190" s="1"/>
  <c r="K316" i="190"/>
  <c r="F316" i="190" s="1"/>
  <c r="C316" i="190"/>
  <c r="M316" i="190" s="1"/>
  <c r="G316" i="190" s="1"/>
  <c r="K315" i="190"/>
  <c r="F315" i="190" s="1"/>
  <c r="C315" i="190"/>
  <c r="M315" i="190" s="1"/>
  <c r="G315" i="190" s="1"/>
  <c r="K314" i="190"/>
  <c r="F314" i="190" s="1"/>
  <c r="C314" i="190"/>
  <c r="M314" i="190" s="1"/>
  <c r="K318" i="136"/>
  <c r="F318" i="136" s="1"/>
  <c r="M313" i="136"/>
  <c r="G313" i="136" s="1"/>
  <c r="I313" i="136" s="1"/>
  <c r="K313" i="136"/>
  <c r="C318" i="136"/>
  <c r="M318" i="136" s="1"/>
  <c r="G318" i="136" s="1"/>
  <c r="K317" i="136"/>
  <c r="F317" i="136" s="1"/>
  <c r="C317" i="136"/>
  <c r="M317" i="136" s="1"/>
  <c r="G317" i="136" s="1"/>
  <c r="K316" i="136"/>
  <c r="F316" i="136" s="1"/>
  <c r="C316" i="136"/>
  <c r="M316" i="136" s="1"/>
  <c r="G316" i="136" s="1"/>
  <c r="K315" i="136"/>
  <c r="F315" i="136" s="1"/>
  <c r="C315" i="136"/>
  <c r="M315" i="136" s="1"/>
  <c r="G315" i="136" s="1"/>
  <c r="K314" i="136"/>
  <c r="F314" i="136" s="1"/>
  <c r="C314" i="136"/>
  <c r="M314" i="136" s="1"/>
  <c r="G314" i="136" s="1"/>
  <c r="K312" i="136"/>
  <c r="F312" i="136" s="1"/>
  <c r="N324" i="5"/>
  <c r="N319" i="5"/>
  <c r="P324" i="5"/>
  <c r="J324" i="5" s="1"/>
  <c r="P323" i="5"/>
  <c r="J323" i="5" s="1"/>
  <c r="N323" i="5"/>
  <c r="P322" i="5"/>
  <c r="J322" i="5" s="1"/>
  <c r="N322" i="5"/>
  <c r="P321" i="5"/>
  <c r="J321" i="5" s="1"/>
  <c r="N321" i="5"/>
  <c r="P320" i="5"/>
  <c r="J320" i="5" s="1"/>
  <c r="N320" i="5"/>
  <c r="P319" i="5"/>
  <c r="J319" i="5" s="1"/>
  <c r="L319" i="5" s="1"/>
  <c r="K324" i="192"/>
  <c r="F324" i="192" s="1"/>
  <c r="M319" i="192"/>
  <c r="G319" i="192" s="1"/>
  <c r="I319" i="192" s="1"/>
  <c r="K319" i="192"/>
  <c r="C324" i="192"/>
  <c r="M324" i="192" s="1"/>
  <c r="G324" i="192" s="1"/>
  <c r="K323" i="192"/>
  <c r="F323" i="192" s="1"/>
  <c r="C323" i="192"/>
  <c r="M323" i="192" s="1"/>
  <c r="G323" i="192" s="1"/>
  <c r="K322" i="192"/>
  <c r="F322" i="192" s="1"/>
  <c r="C322" i="192"/>
  <c r="M322" i="192" s="1"/>
  <c r="G322" i="192" s="1"/>
  <c r="K321" i="192"/>
  <c r="F321" i="192" s="1"/>
  <c r="C321" i="192"/>
  <c r="M321" i="192" s="1"/>
  <c r="G321" i="192" s="1"/>
  <c r="K320" i="192"/>
  <c r="F320" i="192" s="1"/>
  <c r="C320" i="192"/>
  <c r="M320" i="192" s="1"/>
  <c r="G320" i="192" s="1"/>
  <c r="K324" i="190"/>
  <c r="F324" i="190" s="1"/>
  <c r="M319" i="190"/>
  <c r="G319" i="190" s="1"/>
  <c r="I319" i="190" s="1"/>
  <c r="K319" i="190"/>
  <c r="C324" i="190"/>
  <c r="M324" i="190" s="1"/>
  <c r="G324" i="190" s="1"/>
  <c r="K323" i="190"/>
  <c r="F323" i="190" s="1"/>
  <c r="C323" i="190"/>
  <c r="M323" i="190" s="1"/>
  <c r="G323" i="190" s="1"/>
  <c r="K322" i="190"/>
  <c r="F322" i="190" s="1"/>
  <c r="C322" i="190"/>
  <c r="M322" i="190" s="1"/>
  <c r="G322" i="190" s="1"/>
  <c r="K321" i="190"/>
  <c r="F321" i="190" s="1"/>
  <c r="C321" i="190"/>
  <c r="M321" i="190" s="1"/>
  <c r="G321" i="190" s="1"/>
  <c r="K320" i="190"/>
  <c r="F320" i="190" s="1"/>
  <c r="C320" i="190"/>
  <c r="M320" i="190" s="1"/>
  <c r="G320" i="190" s="1"/>
  <c r="K324" i="136"/>
  <c r="F324" i="136" s="1"/>
  <c r="K323" i="136"/>
  <c r="F323" i="136" s="1"/>
  <c r="K322" i="136"/>
  <c r="F322" i="136" s="1"/>
  <c r="K321" i="136"/>
  <c r="F321" i="136" s="1"/>
  <c r="K320" i="136"/>
  <c r="F320" i="136" s="1"/>
  <c r="M319" i="136"/>
  <c r="G319" i="136" s="1"/>
  <c r="K319" i="136"/>
  <c r="C324" i="136"/>
  <c r="M324" i="136" s="1"/>
  <c r="G324" i="136" s="1"/>
  <c r="C323" i="136"/>
  <c r="M323" i="136" s="1"/>
  <c r="G323" i="136" s="1"/>
  <c r="C322" i="136"/>
  <c r="M322" i="136" s="1"/>
  <c r="G322" i="136" s="1"/>
  <c r="C321" i="136"/>
  <c r="M321" i="136" s="1"/>
  <c r="G321" i="136" s="1"/>
  <c r="C320" i="136"/>
  <c r="M320" i="136" s="1"/>
  <c r="G320" i="136" s="1"/>
  <c r="N312" i="5"/>
  <c r="O1102" i="1" s="1"/>
  <c r="P312" i="5"/>
  <c r="J312" i="5" s="1"/>
  <c r="P311" i="5"/>
  <c r="J311" i="5" s="1"/>
  <c r="N311" i="5"/>
  <c r="P310" i="5"/>
  <c r="J310" i="5" s="1"/>
  <c r="N310" i="5"/>
  <c r="P309" i="5"/>
  <c r="J309" i="5" s="1"/>
  <c r="N309" i="5"/>
  <c r="P308" i="5"/>
  <c r="J308" i="5" s="1"/>
  <c r="N308" i="5"/>
  <c r="P307" i="5"/>
  <c r="J307" i="5" s="1"/>
  <c r="N307" i="5"/>
  <c r="P306" i="5"/>
  <c r="J306" i="5" s="1"/>
  <c r="N306" i="5"/>
  <c r="P305" i="5"/>
  <c r="J305" i="5" s="1"/>
  <c r="N305" i="5"/>
  <c r="P304" i="5"/>
  <c r="J304" i="5" s="1"/>
  <c r="N304" i="5"/>
  <c r="P303" i="5"/>
  <c r="J303" i="5" s="1"/>
  <c r="N303" i="5"/>
  <c r="O1093" i="1" s="1"/>
  <c r="N302" i="5"/>
  <c r="I302" i="5" s="1"/>
  <c r="K312" i="192"/>
  <c r="F312" i="192" s="1"/>
  <c r="C312" i="192"/>
  <c r="M312" i="192" s="1"/>
  <c r="G312" i="192" s="1"/>
  <c r="K311" i="192"/>
  <c r="F311" i="192" s="1"/>
  <c r="C311" i="192"/>
  <c r="M311" i="192" s="1"/>
  <c r="G311" i="192" s="1"/>
  <c r="K310" i="192"/>
  <c r="F310" i="192" s="1"/>
  <c r="C310" i="192"/>
  <c r="M310" i="192" s="1"/>
  <c r="G310" i="192" s="1"/>
  <c r="K309" i="192"/>
  <c r="F309" i="192" s="1"/>
  <c r="C309" i="192"/>
  <c r="M309" i="192" s="1"/>
  <c r="G309" i="192" s="1"/>
  <c r="K308" i="192"/>
  <c r="F308" i="192" s="1"/>
  <c r="C308" i="192"/>
  <c r="M308" i="192" s="1"/>
  <c r="G308" i="192" s="1"/>
  <c r="K307" i="192"/>
  <c r="F307" i="192" s="1"/>
  <c r="C307" i="192"/>
  <c r="M307" i="192" s="1"/>
  <c r="G307" i="192" s="1"/>
  <c r="K306" i="192"/>
  <c r="F306" i="192" s="1"/>
  <c r="C306" i="192"/>
  <c r="M306" i="192" s="1"/>
  <c r="G306" i="192" s="1"/>
  <c r="K305" i="192"/>
  <c r="F305" i="192" s="1"/>
  <c r="C305" i="192"/>
  <c r="M305" i="192" s="1"/>
  <c r="G305" i="192" s="1"/>
  <c r="K304" i="192"/>
  <c r="F304" i="192" s="1"/>
  <c r="C304" i="192"/>
  <c r="M304" i="192" s="1"/>
  <c r="G304" i="192" s="1"/>
  <c r="K303" i="192"/>
  <c r="F303" i="192" s="1"/>
  <c r="C303" i="192"/>
  <c r="M303" i="192" s="1"/>
  <c r="G303" i="192" s="1"/>
  <c r="K312" i="190"/>
  <c r="F312" i="190" s="1"/>
  <c r="C312" i="190"/>
  <c r="M312" i="190" s="1"/>
  <c r="G312" i="190" s="1"/>
  <c r="K311" i="190"/>
  <c r="F311" i="190" s="1"/>
  <c r="C311" i="190"/>
  <c r="M311" i="190" s="1"/>
  <c r="G311" i="190" s="1"/>
  <c r="K310" i="190"/>
  <c r="F310" i="190" s="1"/>
  <c r="C310" i="190"/>
  <c r="M310" i="190" s="1"/>
  <c r="G310" i="190" s="1"/>
  <c r="K309" i="190"/>
  <c r="F309" i="190" s="1"/>
  <c r="C309" i="190"/>
  <c r="M309" i="190" s="1"/>
  <c r="G309" i="190" s="1"/>
  <c r="K308" i="190"/>
  <c r="F308" i="190" s="1"/>
  <c r="C308" i="190"/>
  <c r="M308" i="190" s="1"/>
  <c r="G308" i="190" s="1"/>
  <c r="K307" i="190"/>
  <c r="F307" i="190" s="1"/>
  <c r="C307" i="190"/>
  <c r="M307" i="190" s="1"/>
  <c r="G307" i="190" s="1"/>
  <c r="K306" i="190"/>
  <c r="F306" i="190" s="1"/>
  <c r="C306" i="190"/>
  <c r="M306" i="190" s="1"/>
  <c r="G306" i="190" s="1"/>
  <c r="K305" i="190"/>
  <c r="F305" i="190" s="1"/>
  <c r="C305" i="190"/>
  <c r="M305" i="190" s="1"/>
  <c r="G305" i="190" s="1"/>
  <c r="K304" i="190"/>
  <c r="F304" i="190" s="1"/>
  <c r="C304" i="190"/>
  <c r="M304" i="190" s="1"/>
  <c r="G304" i="190" s="1"/>
  <c r="K303" i="190"/>
  <c r="F303" i="190" s="1"/>
  <c r="C303" i="190"/>
  <c r="M303" i="190" s="1"/>
  <c r="G303" i="190" s="1"/>
  <c r="C312" i="136"/>
  <c r="M312" i="136" s="1"/>
  <c r="G312" i="136" s="1"/>
  <c r="K311" i="136"/>
  <c r="F311" i="136" s="1"/>
  <c r="C311" i="136"/>
  <c r="M311" i="136" s="1"/>
  <c r="G311" i="136" s="1"/>
  <c r="K310" i="136"/>
  <c r="F310" i="136" s="1"/>
  <c r="C310" i="136"/>
  <c r="M310" i="136" s="1"/>
  <c r="G310" i="136" s="1"/>
  <c r="K309" i="136"/>
  <c r="F309" i="136" s="1"/>
  <c r="C309" i="136"/>
  <c r="M309" i="136" s="1"/>
  <c r="G309" i="136" s="1"/>
  <c r="K308" i="136"/>
  <c r="F308" i="136" s="1"/>
  <c r="C308" i="136"/>
  <c r="M308" i="136" s="1"/>
  <c r="G308" i="136" s="1"/>
  <c r="K307" i="136"/>
  <c r="F307" i="136" s="1"/>
  <c r="C307" i="136"/>
  <c r="M307" i="136" s="1"/>
  <c r="G307" i="136" s="1"/>
  <c r="K306" i="136"/>
  <c r="F306" i="136" s="1"/>
  <c r="C306" i="136"/>
  <c r="M306" i="136" s="1"/>
  <c r="G306" i="136" s="1"/>
  <c r="K305" i="136"/>
  <c r="F305" i="136" s="1"/>
  <c r="C305" i="136"/>
  <c r="M305" i="136" s="1"/>
  <c r="G305" i="136" s="1"/>
  <c r="K304" i="136"/>
  <c r="F304" i="136" s="1"/>
  <c r="C304" i="136"/>
  <c r="M304" i="136" s="1"/>
  <c r="G304" i="136" s="1"/>
  <c r="K303" i="136"/>
  <c r="F303" i="136" s="1"/>
  <c r="C303" i="136"/>
  <c r="M303" i="136" s="1"/>
  <c r="G303" i="136" s="1"/>
  <c r="K302" i="136"/>
  <c r="F302" i="136" s="1"/>
  <c r="B1337" i="248" l="1"/>
  <c r="B1375" i="248" s="1"/>
  <c r="B1401" i="248" s="1"/>
  <c r="B1427" i="248" s="1"/>
  <c r="B1450" i="248" s="1"/>
  <c r="B1473" i="248" s="1"/>
  <c r="D836" i="248"/>
  <c r="B1358" i="1"/>
  <c r="B1396" i="1" s="1"/>
  <c r="B1422" i="1" s="1"/>
  <c r="B1448" i="1" s="1"/>
  <c r="B1471" i="1" s="1"/>
  <c r="B1494" i="1" s="1"/>
  <c r="K416" i="1" s="1"/>
  <c r="K394" i="248"/>
  <c r="M1147" i="1"/>
  <c r="R1147" i="1" s="1"/>
  <c r="O1126" i="248"/>
  <c r="R1126" i="248" s="1"/>
  <c r="M1145" i="1"/>
  <c r="R1145" i="1" s="1"/>
  <c r="O366" i="248"/>
  <c r="R366" i="248" s="1"/>
  <c r="M1146" i="1"/>
  <c r="R1146" i="1" s="1"/>
  <c r="O1125" i="248"/>
  <c r="R1125" i="248" s="1"/>
  <c r="I317" i="192"/>
  <c r="H317" i="5" s="1"/>
  <c r="I308" i="190"/>
  <c r="G308" i="5" s="1"/>
  <c r="I303" i="190"/>
  <c r="G303" i="5" s="1"/>
  <c r="I305" i="190"/>
  <c r="G305" i="5" s="1"/>
  <c r="I315" i="190"/>
  <c r="G315" i="5" s="1"/>
  <c r="I306" i="190"/>
  <c r="G306" i="5" s="1"/>
  <c r="I309" i="190"/>
  <c r="G309" i="5" s="1"/>
  <c r="I311" i="190"/>
  <c r="G311" i="5" s="1"/>
  <c r="I323" i="136"/>
  <c r="F323" i="5" s="1"/>
  <c r="I322" i="136"/>
  <c r="F322" i="5" s="1"/>
  <c r="I314" i="192"/>
  <c r="H314" i="5" s="1"/>
  <c r="I316" i="192"/>
  <c r="H316" i="5" s="1"/>
  <c r="I317" i="190"/>
  <c r="G317" i="5" s="1"/>
  <c r="I310" i="190"/>
  <c r="G310" i="5" s="1"/>
  <c r="I304" i="190"/>
  <c r="G304" i="5" s="1"/>
  <c r="I307" i="190"/>
  <c r="G307" i="5" s="1"/>
  <c r="I312" i="190"/>
  <c r="G312" i="5" s="1"/>
  <c r="I316" i="190"/>
  <c r="G316" i="5" s="1"/>
  <c r="I315" i="136"/>
  <c r="F315" i="5" s="1"/>
  <c r="I317" i="136"/>
  <c r="F317" i="5" s="1"/>
  <c r="M367" i="1"/>
  <c r="R367" i="1" s="1"/>
  <c r="I316" i="5"/>
  <c r="O1110" i="1"/>
  <c r="I318" i="5"/>
  <c r="O1112" i="1"/>
  <c r="I315" i="5"/>
  <c r="O1109" i="1"/>
  <c r="I317" i="5"/>
  <c r="O1111" i="1"/>
  <c r="I314" i="5"/>
  <c r="I321" i="5"/>
  <c r="O1119" i="1"/>
  <c r="I323" i="5"/>
  <c r="O1121" i="1"/>
  <c r="I324" i="5"/>
  <c r="O1122" i="1"/>
  <c r="I320" i="5"/>
  <c r="O1118" i="1"/>
  <c r="I322" i="5"/>
  <c r="O1120" i="1"/>
  <c r="I318" i="136"/>
  <c r="F318" i="5" s="1"/>
  <c r="I318" i="192"/>
  <c r="H318" i="5" s="1"/>
  <c r="I305" i="5"/>
  <c r="O1095" i="1"/>
  <c r="I307" i="5"/>
  <c r="O1097" i="1"/>
  <c r="I309" i="5"/>
  <c r="O1099" i="1"/>
  <c r="I311" i="5"/>
  <c r="O1101" i="1"/>
  <c r="I304" i="5"/>
  <c r="O1094" i="1"/>
  <c r="I306" i="5"/>
  <c r="O1096" i="1"/>
  <c r="I308" i="5"/>
  <c r="O1098" i="1"/>
  <c r="I310" i="5"/>
  <c r="O1100" i="1"/>
  <c r="I303" i="5"/>
  <c r="I312" i="5"/>
  <c r="I312" i="136"/>
  <c r="F312" i="5" s="1"/>
  <c r="I315" i="192"/>
  <c r="H315" i="5" s="1"/>
  <c r="I322" i="192"/>
  <c r="H322" i="5" s="1"/>
  <c r="I320" i="192"/>
  <c r="H320" i="5" s="1"/>
  <c r="I321" i="192"/>
  <c r="H321" i="5" s="1"/>
  <c r="I318" i="190"/>
  <c r="G318" i="5" s="1"/>
  <c r="I321" i="190"/>
  <c r="G321" i="5" s="1"/>
  <c r="I320" i="190"/>
  <c r="G320" i="5" s="1"/>
  <c r="I322" i="190"/>
  <c r="G322" i="5" s="1"/>
  <c r="I314" i="136"/>
  <c r="F314" i="5" s="1"/>
  <c r="I316" i="136"/>
  <c r="F316" i="5" s="1"/>
  <c r="I311" i="136"/>
  <c r="F311" i="5" s="1"/>
  <c r="I320" i="136"/>
  <c r="F320" i="5" s="1"/>
  <c r="I306" i="136"/>
  <c r="F306" i="5" s="1"/>
  <c r="I303" i="136"/>
  <c r="F303" i="5" s="1"/>
  <c r="I308" i="136"/>
  <c r="F308" i="5" s="1"/>
  <c r="I310" i="136"/>
  <c r="F310" i="5" s="1"/>
  <c r="I304" i="136"/>
  <c r="F304" i="5" s="1"/>
  <c r="I307" i="136"/>
  <c r="F307" i="5" s="1"/>
  <c r="I324" i="190"/>
  <c r="G324" i="5" s="1"/>
  <c r="I324" i="192"/>
  <c r="H324" i="5" s="1"/>
  <c r="I324" i="136"/>
  <c r="F324" i="5" s="1"/>
  <c r="I323" i="192"/>
  <c r="H323" i="5" s="1"/>
  <c r="I306" i="192"/>
  <c r="H306" i="5" s="1"/>
  <c r="I304" i="192"/>
  <c r="H304" i="5" s="1"/>
  <c r="I309" i="192"/>
  <c r="H309" i="5" s="1"/>
  <c r="I308" i="192"/>
  <c r="H308" i="5" s="1"/>
  <c r="I305" i="192"/>
  <c r="H305" i="5" s="1"/>
  <c r="I310" i="192"/>
  <c r="H310" i="5" s="1"/>
  <c r="I323" i="190"/>
  <c r="G323" i="5" s="1"/>
  <c r="I321" i="136"/>
  <c r="F321" i="5" s="1"/>
  <c r="I319" i="136"/>
  <c r="I312" i="192"/>
  <c r="H312" i="5" s="1"/>
  <c r="I303" i="192"/>
  <c r="H303" i="5" s="1"/>
  <c r="I307" i="192"/>
  <c r="H307" i="5" s="1"/>
  <c r="I311" i="192"/>
  <c r="H311" i="5" s="1"/>
  <c r="I305" i="136"/>
  <c r="F305" i="5" s="1"/>
  <c r="I309" i="136"/>
  <c r="F309" i="5" s="1"/>
  <c r="K377" i="248" l="1"/>
  <c r="K415" i="248"/>
  <c r="K378" i="1"/>
  <c r="M1150" i="1"/>
  <c r="R1150" i="1" s="1"/>
  <c r="O1129" i="248"/>
  <c r="R1129" i="248" s="1"/>
  <c r="L315" i="5"/>
  <c r="L317" i="5"/>
  <c r="O1105" i="1"/>
  <c r="U1105" i="1" s="1"/>
  <c r="L316" i="5"/>
  <c r="O1115" i="1"/>
  <c r="U1115" i="1" s="1"/>
  <c r="L320" i="5"/>
  <c r="L318" i="5"/>
  <c r="L322" i="5"/>
  <c r="L321" i="5"/>
  <c r="O1098" i="248" s="1"/>
  <c r="R1098" i="248" s="1"/>
  <c r="L306" i="5"/>
  <c r="L311" i="5"/>
  <c r="L307" i="5"/>
  <c r="L308" i="5"/>
  <c r="L303" i="5"/>
  <c r="L310" i="5"/>
  <c r="L304" i="5"/>
  <c r="L324" i="5"/>
  <c r="L323" i="5"/>
  <c r="L309" i="5"/>
  <c r="L305" i="5"/>
  <c r="L312" i="5"/>
  <c r="O1097" i="248" l="1"/>
  <c r="R1097" i="248" s="1"/>
  <c r="D1094" i="248"/>
  <c r="V367" i="1"/>
  <c r="M1121" i="1"/>
  <c r="R1121" i="1" s="1"/>
  <c r="O1100" i="248"/>
  <c r="R1100" i="248" s="1"/>
  <c r="M1096" i="1"/>
  <c r="R1096" i="1" s="1"/>
  <c r="O1075" i="248"/>
  <c r="R1075" i="248" s="1"/>
  <c r="M1102" i="1"/>
  <c r="R1102" i="1" s="1"/>
  <c r="O1081" i="248"/>
  <c r="R1081" i="248" s="1"/>
  <c r="M1122" i="1"/>
  <c r="R1122" i="1" s="1"/>
  <c r="O1101" i="248"/>
  <c r="R1101" i="248" s="1"/>
  <c r="M1098" i="1"/>
  <c r="R1098" i="1" s="1"/>
  <c r="O1077" i="248"/>
  <c r="R1077" i="248" s="1"/>
  <c r="M1095" i="1"/>
  <c r="R1095" i="1" s="1"/>
  <c r="O1074" i="248"/>
  <c r="R1074" i="248" s="1"/>
  <c r="M1094" i="1"/>
  <c r="R1094" i="1" s="1"/>
  <c r="O1073" i="248"/>
  <c r="R1073" i="248" s="1"/>
  <c r="M1097" i="1"/>
  <c r="R1097" i="1" s="1"/>
  <c r="O1076" i="248"/>
  <c r="R1076" i="248" s="1"/>
  <c r="M1120" i="1"/>
  <c r="R1120" i="1" s="1"/>
  <c r="O1099" i="248"/>
  <c r="R1099" i="248" s="1"/>
  <c r="M1110" i="1"/>
  <c r="R1110" i="1" s="1"/>
  <c r="O1089" i="248"/>
  <c r="R1089" i="248" s="1"/>
  <c r="M1111" i="1"/>
  <c r="R1111" i="1" s="1"/>
  <c r="O1090" i="248"/>
  <c r="R1090" i="248" s="1"/>
  <c r="U366" i="248"/>
  <c r="M1093" i="1"/>
  <c r="R1093" i="1" s="1"/>
  <c r="O1072" i="248"/>
  <c r="R1072" i="248" s="1"/>
  <c r="M1099" i="1"/>
  <c r="R1099" i="1" s="1"/>
  <c r="O1078" i="248"/>
  <c r="R1078" i="248" s="1"/>
  <c r="M1100" i="1"/>
  <c r="R1100" i="1" s="1"/>
  <c r="O1079" i="248"/>
  <c r="R1079" i="248" s="1"/>
  <c r="M1101" i="1"/>
  <c r="R1101" i="1" s="1"/>
  <c r="O1080" i="248"/>
  <c r="R1080" i="248" s="1"/>
  <c r="M1112" i="1"/>
  <c r="R1112" i="1" s="1"/>
  <c r="O1091" i="248"/>
  <c r="R1091" i="248" s="1"/>
  <c r="M1109" i="1"/>
  <c r="R1109" i="1" s="1"/>
  <c r="O1088" i="248"/>
  <c r="R1088" i="248" s="1"/>
  <c r="R1141" i="1"/>
  <c r="R1152" i="1"/>
  <c r="R1151" i="1"/>
  <c r="R1153" i="1"/>
  <c r="R1136" i="1"/>
  <c r="R1137" i="1"/>
  <c r="R1143" i="1"/>
  <c r="R1142" i="1"/>
  <c r="R1148" i="1"/>
  <c r="R1154" i="1"/>
  <c r="R1134" i="1"/>
  <c r="R1139" i="1"/>
  <c r="R1138" i="1"/>
  <c r="R1144" i="1"/>
  <c r="R1149" i="1"/>
  <c r="R1156" i="1"/>
  <c r="R1155" i="1"/>
  <c r="R1135" i="1"/>
  <c r="R1140" i="1"/>
  <c r="M1119" i="1"/>
  <c r="R1119" i="1" s="1"/>
  <c r="D1115" i="1"/>
  <c r="M1118" i="1"/>
  <c r="K185" i="192"/>
  <c r="F185" i="192" s="1"/>
  <c r="M185" i="192"/>
  <c r="G185" i="192" s="1"/>
  <c r="K185" i="190"/>
  <c r="F185" i="190" s="1"/>
  <c r="M185" i="190"/>
  <c r="G185" i="190" s="1"/>
  <c r="K185" i="136"/>
  <c r="F185" i="136" s="1"/>
  <c r="M185" i="136"/>
  <c r="G185" i="136" s="1"/>
  <c r="N185" i="5"/>
  <c r="I185" i="5" s="1"/>
  <c r="P185" i="5"/>
  <c r="R1132" i="248" l="1"/>
  <c r="R1119" i="248"/>
  <c r="R1121" i="248"/>
  <c r="R1134" i="248"/>
  <c r="R1116" i="248"/>
  <c r="R1122" i="248"/>
  <c r="R1127" i="248"/>
  <c r="R1135" i="248"/>
  <c r="R1115" i="248"/>
  <c r="R1117" i="248"/>
  <c r="R1118" i="248"/>
  <c r="R1128" i="248"/>
  <c r="R1114" i="248"/>
  <c r="R1120" i="248"/>
  <c r="R1113" i="248"/>
  <c r="R1123" i="248"/>
  <c r="R1131" i="248"/>
  <c r="R1133" i="248"/>
  <c r="R1130" i="248"/>
  <c r="O1094" i="248"/>
  <c r="R1094" i="248" s="1"/>
  <c r="O394" i="1"/>
  <c r="M1115" i="1"/>
  <c r="R1118" i="1"/>
  <c r="I185" i="192"/>
  <c r="I185" i="190"/>
  <c r="I185" i="136"/>
  <c r="K181" i="192"/>
  <c r="F181" i="192" s="1"/>
  <c r="K180" i="192"/>
  <c r="F180" i="192" s="1"/>
  <c r="K184" i="192"/>
  <c r="F184" i="192" s="1"/>
  <c r="K184" i="190"/>
  <c r="F184" i="190" s="1"/>
  <c r="K184" i="136"/>
  <c r="F184" i="136" s="1"/>
  <c r="S1094" i="248" l="1"/>
  <c r="S1115" i="1"/>
  <c r="R1115" i="1"/>
  <c r="R1096" i="248" l="1"/>
  <c r="R1095" i="248"/>
  <c r="R1102" i="248"/>
  <c r="R1123" i="1"/>
  <c r="R1117" i="1"/>
  <c r="R1116" i="1"/>
  <c r="K294" i="248" l="1"/>
  <c r="G956" i="1" l="1"/>
  <c r="D1708" i="1" l="1"/>
  <c r="M1708" i="1"/>
  <c r="R1708" i="1" s="1"/>
  <c r="D1709" i="1"/>
  <c r="M1709" i="1"/>
  <c r="R1709" i="1" s="1"/>
  <c r="O1713" i="1"/>
  <c r="R1713" i="1" s="1"/>
  <c r="R1712" i="1" s="1"/>
  <c r="R1711" i="1" s="1"/>
  <c r="R1710" i="1" s="1"/>
  <c r="S1713" i="1" l="1"/>
  <c r="J142" i="1" l="1"/>
  <c r="R142" i="1" s="1"/>
  <c r="J143" i="1"/>
  <c r="R143" i="1" s="1"/>
  <c r="G913" i="248" l="1"/>
  <c r="G934" i="1"/>
  <c r="C142" i="4"/>
  <c r="C139" i="4"/>
  <c r="C136" i="4"/>
  <c r="C133" i="4"/>
  <c r="C130" i="4"/>
  <c r="C127" i="4"/>
  <c r="C124" i="4"/>
  <c r="D1255" i="1" l="1"/>
  <c r="R1255" i="1" s="1"/>
  <c r="C25" i="5" l="1"/>
  <c r="D1523" i="248" s="1"/>
  <c r="P139" i="5" l="1"/>
  <c r="D614" i="248"/>
  <c r="D1185" i="1"/>
  <c r="D1177" i="1"/>
  <c r="D1173" i="1"/>
  <c r="D1172" i="1"/>
  <c r="K339" i="192"/>
  <c r="F339" i="192" s="1"/>
  <c r="C340" i="192"/>
  <c r="C339" i="192"/>
  <c r="M339" i="192" s="1"/>
  <c r="G339" i="192" s="1"/>
  <c r="K333" i="192"/>
  <c r="F333" i="192" s="1"/>
  <c r="C333" i="192"/>
  <c r="M333" i="192" s="1"/>
  <c r="G333" i="192" s="1"/>
  <c r="K329" i="192"/>
  <c r="F329" i="192" s="1"/>
  <c r="K328" i="192"/>
  <c r="F328" i="192" s="1"/>
  <c r="C329" i="192"/>
  <c r="M329" i="192" s="1"/>
  <c r="G329" i="192" s="1"/>
  <c r="C328" i="192"/>
  <c r="M328" i="192" s="1"/>
  <c r="G328" i="192" s="1"/>
  <c r="K339" i="190"/>
  <c r="F339" i="190" s="1"/>
  <c r="C340" i="190"/>
  <c r="C339" i="190"/>
  <c r="M339" i="190" s="1"/>
  <c r="G339" i="190" s="1"/>
  <c r="K333" i="190"/>
  <c r="F333" i="190" s="1"/>
  <c r="C333" i="190"/>
  <c r="M333" i="190" s="1"/>
  <c r="G333" i="190" s="1"/>
  <c r="K329" i="190"/>
  <c r="F329" i="190" s="1"/>
  <c r="K328" i="190"/>
  <c r="F328" i="190" s="1"/>
  <c r="C329" i="190"/>
  <c r="M329" i="190" s="1"/>
  <c r="G329" i="190" s="1"/>
  <c r="C328" i="190"/>
  <c r="M328" i="190" s="1"/>
  <c r="G328" i="190" s="1"/>
  <c r="K339" i="136"/>
  <c r="F339" i="136" s="1"/>
  <c r="C340" i="136"/>
  <c r="C339" i="136"/>
  <c r="M339" i="136" s="1"/>
  <c r="G339" i="136" s="1"/>
  <c r="K333" i="136"/>
  <c r="F333" i="136" s="1"/>
  <c r="C333" i="136"/>
  <c r="M333" i="136" s="1"/>
  <c r="G333" i="136" s="1"/>
  <c r="K329" i="136"/>
  <c r="F329" i="136" s="1"/>
  <c r="K328" i="136"/>
  <c r="F328" i="136" s="1"/>
  <c r="C329" i="136"/>
  <c r="M329" i="136" s="1"/>
  <c r="G329" i="136" s="1"/>
  <c r="C328" i="136"/>
  <c r="M328" i="136" s="1"/>
  <c r="G328" i="136" s="1"/>
  <c r="P340" i="5"/>
  <c r="J340" i="5" s="1"/>
  <c r="N340" i="5"/>
  <c r="P333" i="5"/>
  <c r="J333" i="5" s="1"/>
  <c r="N333" i="5"/>
  <c r="P329" i="5"/>
  <c r="J329" i="5" s="1"/>
  <c r="N329" i="5"/>
  <c r="P328" i="5"/>
  <c r="J328" i="5" s="1"/>
  <c r="N328" i="5"/>
  <c r="I340" i="5" l="1"/>
  <c r="H23" i="229"/>
  <c r="I329" i="5"/>
  <c r="H12" i="229"/>
  <c r="I328" i="5"/>
  <c r="H11" i="229"/>
  <c r="I333" i="5"/>
  <c r="H16" i="229"/>
  <c r="I328" i="136"/>
  <c r="F328" i="5" s="1"/>
  <c r="I339" i="136"/>
  <c r="F339" i="5" s="1"/>
  <c r="I333" i="136"/>
  <c r="F333" i="5" s="1"/>
  <c r="I329" i="192"/>
  <c r="H329" i="5" s="1"/>
  <c r="I333" i="192"/>
  <c r="H333" i="5" s="1"/>
  <c r="I328" i="192"/>
  <c r="H328" i="5" s="1"/>
  <c r="I339" i="192"/>
  <c r="H339" i="5" s="1"/>
  <c r="I339" i="190"/>
  <c r="G339" i="5" s="1"/>
  <c r="I333" i="190"/>
  <c r="G333" i="5" s="1"/>
  <c r="I329" i="190"/>
  <c r="G329" i="5" s="1"/>
  <c r="O1173" i="1"/>
  <c r="O1185" i="1"/>
  <c r="O1172" i="1"/>
  <c r="O1177" i="1"/>
  <c r="I328" i="190"/>
  <c r="G328" i="5" s="1"/>
  <c r="I329" i="136"/>
  <c r="F329" i="5" s="1"/>
  <c r="L333" i="5" l="1"/>
  <c r="L328" i="5"/>
  <c r="L329" i="5"/>
  <c r="M1185" i="1" l="1"/>
  <c r="R1185" i="1" s="1"/>
  <c r="O1164" i="248"/>
  <c r="R1164" i="248" s="1"/>
  <c r="G16" i="229"/>
  <c r="O1152" i="248"/>
  <c r="R1152" i="248" s="1"/>
  <c r="G12" i="229"/>
  <c r="O1151" i="248"/>
  <c r="R1151" i="248" s="1"/>
  <c r="G11" i="229"/>
  <c r="E127" i="4"/>
  <c r="E124" i="4"/>
  <c r="M1172" i="1"/>
  <c r="R1172" i="1" s="1"/>
  <c r="M1173" i="1"/>
  <c r="R1173" i="1" s="1"/>
  <c r="C34" i="5" l="1"/>
  <c r="C33" i="5"/>
  <c r="C32" i="5"/>
  <c r="D662" i="248"/>
  <c r="D646" i="248"/>
  <c r="D630" i="248"/>
  <c r="C25" i="192"/>
  <c r="D2144" i="248" s="1"/>
  <c r="C25" i="190"/>
  <c r="D1984" i="248" s="1"/>
  <c r="C25" i="136"/>
  <c r="D1824" i="248" s="1"/>
  <c r="D1690" i="1" l="1"/>
  <c r="D1692" i="1"/>
  <c r="M1692" i="1"/>
  <c r="R1692" i="1" s="1"/>
  <c r="D1693" i="1"/>
  <c r="M1693" i="1"/>
  <c r="R1693" i="1" s="1"/>
  <c r="D1694" i="1"/>
  <c r="M1694" i="1"/>
  <c r="R1694" i="1" s="1"/>
  <c r="D1695" i="1"/>
  <c r="M1695" i="1"/>
  <c r="R1695" i="1" s="1"/>
  <c r="D1701" i="1"/>
  <c r="D1702" i="1"/>
  <c r="D1703" i="1"/>
  <c r="D1622" i="1" l="1"/>
  <c r="D237" i="1" l="1"/>
  <c r="D269" i="1"/>
  <c r="Q170" i="1" l="1"/>
  <c r="O73" i="1" l="1"/>
  <c r="Q226" i="1"/>
  <c r="O75" i="1" s="1"/>
  <c r="D1186" i="1" l="1"/>
  <c r="D1187" i="1"/>
  <c r="D1188" i="1"/>
  <c r="D1189" i="1"/>
  <c r="D1190" i="1"/>
  <c r="D1191" i="1"/>
  <c r="D1192" i="1"/>
  <c r="D1174" i="1"/>
  <c r="D1175" i="1"/>
  <c r="D1176" i="1"/>
  <c r="D1178" i="1"/>
  <c r="D967" i="1" l="1"/>
  <c r="D968" i="1"/>
  <c r="D971" i="1"/>
  <c r="M974" i="1"/>
  <c r="D1275" i="1" l="1"/>
  <c r="D1274" i="1"/>
  <c r="D1273" i="1"/>
  <c r="D1272" i="1"/>
  <c r="D1271" i="1"/>
  <c r="D1270" i="1"/>
  <c r="K294" i="1" l="1"/>
  <c r="K295" i="1"/>
  <c r="J149" i="1" l="1"/>
  <c r="R149" i="1" s="1"/>
  <c r="J148" i="1"/>
  <c r="R148" i="1" s="1"/>
  <c r="J147" i="1"/>
  <c r="R147" i="1" s="1"/>
  <c r="K296" i="1" l="1"/>
  <c r="K300" i="1" l="1"/>
  <c r="D191" i="1" l="1"/>
  <c r="D60" i="1" l="1"/>
  <c r="H21" i="230" l="1"/>
  <c r="C375" i="192" l="1"/>
  <c r="C374" i="192"/>
  <c r="C373" i="192"/>
  <c r="C370" i="192"/>
  <c r="C369" i="192"/>
  <c r="C368" i="192"/>
  <c r="C367" i="192"/>
  <c r="C366" i="192"/>
  <c r="C365" i="192"/>
  <c r="C347" i="192"/>
  <c r="C346" i="192"/>
  <c r="C345" i="192"/>
  <c r="C344" i="192"/>
  <c r="C343" i="192"/>
  <c r="C341" i="192"/>
  <c r="C338" i="192"/>
  <c r="C335" i="192"/>
  <c r="C334" i="192"/>
  <c r="C332" i="192"/>
  <c r="C330" i="192"/>
  <c r="C327" i="192"/>
  <c r="C302" i="192"/>
  <c r="C301" i="192"/>
  <c r="C300" i="192"/>
  <c r="C299" i="192"/>
  <c r="C298" i="192"/>
  <c r="C296" i="192"/>
  <c r="C295" i="192"/>
  <c r="C294" i="192"/>
  <c r="C293" i="192"/>
  <c r="C292" i="192"/>
  <c r="C225" i="192"/>
  <c r="C224" i="192"/>
  <c r="C223" i="192"/>
  <c r="C222" i="192"/>
  <c r="C221" i="192"/>
  <c r="C220" i="192"/>
  <c r="C219" i="192"/>
  <c r="C218" i="192"/>
  <c r="C217" i="192"/>
  <c r="C216" i="192"/>
  <c r="C215" i="192"/>
  <c r="C214" i="192"/>
  <c r="C213" i="192"/>
  <c r="C212" i="192"/>
  <c r="C211" i="192"/>
  <c r="C210" i="192"/>
  <c r="C209" i="192"/>
  <c r="C206" i="192"/>
  <c r="C205" i="192"/>
  <c r="C204" i="192"/>
  <c r="C203" i="192"/>
  <c r="C202" i="192"/>
  <c r="C201" i="192"/>
  <c r="C200" i="192"/>
  <c r="C199" i="192"/>
  <c r="C198" i="192"/>
  <c r="C197" i="192"/>
  <c r="C196" i="192"/>
  <c r="C195" i="192"/>
  <c r="C194" i="192"/>
  <c r="C193" i="192"/>
  <c r="C192" i="192"/>
  <c r="C375" i="190"/>
  <c r="C374" i="190"/>
  <c r="C373" i="190"/>
  <c r="C370" i="190"/>
  <c r="C369" i="190"/>
  <c r="C368" i="190"/>
  <c r="C367" i="190"/>
  <c r="C366" i="190"/>
  <c r="C365" i="190"/>
  <c r="C347" i="190"/>
  <c r="C346" i="190"/>
  <c r="C345" i="190"/>
  <c r="C344" i="190"/>
  <c r="C343" i="190"/>
  <c r="C341" i="190"/>
  <c r="C338" i="190"/>
  <c r="C335" i="190"/>
  <c r="C334" i="190"/>
  <c r="C332" i="190"/>
  <c r="C330" i="190"/>
  <c r="C327" i="190"/>
  <c r="C302" i="190"/>
  <c r="C301" i="190"/>
  <c r="C300" i="190"/>
  <c r="C299" i="190"/>
  <c r="C298" i="190"/>
  <c r="C296" i="190"/>
  <c r="C295" i="190"/>
  <c r="C294" i="190"/>
  <c r="C293" i="190"/>
  <c r="C292" i="190"/>
  <c r="C225" i="190"/>
  <c r="C224" i="190"/>
  <c r="C223" i="190"/>
  <c r="C222" i="190"/>
  <c r="C221" i="190"/>
  <c r="C220" i="190"/>
  <c r="C219" i="190"/>
  <c r="C218" i="190"/>
  <c r="C217" i="190"/>
  <c r="C216" i="190"/>
  <c r="C215" i="190"/>
  <c r="C214" i="190"/>
  <c r="C213" i="190"/>
  <c r="C212" i="190"/>
  <c r="C211" i="190"/>
  <c r="C210" i="190"/>
  <c r="C209" i="190"/>
  <c r="C206" i="190"/>
  <c r="C205" i="190"/>
  <c r="C204" i="190"/>
  <c r="C203" i="190"/>
  <c r="C202" i="190"/>
  <c r="C201" i="190"/>
  <c r="C200" i="190"/>
  <c r="C199" i="190"/>
  <c r="C198" i="190"/>
  <c r="C197" i="190"/>
  <c r="C196" i="190"/>
  <c r="C195" i="190"/>
  <c r="C194" i="190"/>
  <c r="C193" i="190"/>
  <c r="C192" i="190"/>
  <c r="C375" i="136"/>
  <c r="C374" i="136"/>
  <c r="C373" i="136"/>
  <c r="C370" i="136"/>
  <c r="C369" i="136"/>
  <c r="C368" i="136"/>
  <c r="C367" i="136"/>
  <c r="C366" i="136"/>
  <c r="C365" i="136"/>
  <c r="C347" i="136"/>
  <c r="C346" i="136"/>
  <c r="C345" i="136"/>
  <c r="C344" i="136"/>
  <c r="C343" i="136"/>
  <c r="C341" i="136"/>
  <c r="C338" i="136"/>
  <c r="C335" i="136"/>
  <c r="C334" i="136"/>
  <c r="C332" i="136"/>
  <c r="C330" i="136"/>
  <c r="C327" i="136"/>
  <c r="C302" i="136"/>
  <c r="C301" i="136"/>
  <c r="C300" i="136"/>
  <c r="C299" i="136"/>
  <c r="C298" i="136"/>
  <c r="C296" i="136"/>
  <c r="C295" i="136"/>
  <c r="C294" i="136"/>
  <c r="C293" i="136"/>
  <c r="C292" i="136"/>
  <c r="C225" i="136"/>
  <c r="C224" i="136"/>
  <c r="C223" i="136"/>
  <c r="C222" i="136"/>
  <c r="C221" i="136"/>
  <c r="C220" i="136"/>
  <c r="C219" i="136"/>
  <c r="C218" i="136"/>
  <c r="C217" i="136"/>
  <c r="C216" i="136"/>
  <c r="C215" i="136"/>
  <c r="C214" i="136"/>
  <c r="C213" i="136"/>
  <c r="C212" i="136"/>
  <c r="C211" i="136"/>
  <c r="C210" i="136"/>
  <c r="C209" i="136"/>
  <c r="C206" i="136"/>
  <c r="C205" i="136"/>
  <c r="C204" i="136"/>
  <c r="C203" i="136"/>
  <c r="C202" i="136"/>
  <c r="C201" i="136"/>
  <c r="C200" i="136"/>
  <c r="C199" i="136"/>
  <c r="C198" i="136"/>
  <c r="C197" i="136"/>
  <c r="C196" i="136"/>
  <c r="C195" i="136"/>
  <c r="C194" i="136"/>
  <c r="C193" i="136"/>
  <c r="C192" i="136"/>
  <c r="C121" i="4" l="1"/>
  <c r="K32" i="89" l="1"/>
  <c r="X32" i="89" s="1"/>
  <c r="Z32" i="89" s="1"/>
  <c r="J128" i="1" l="1"/>
  <c r="R128" i="1" s="1"/>
  <c r="D171" i="1" l="1"/>
  <c r="R171" i="1" s="1"/>
  <c r="D170" i="1"/>
  <c r="V323" i="242" l="1"/>
  <c r="U323" i="242"/>
  <c r="V322" i="242"/>
  <c r="U322" i="242"/>
  <c r="V321" i="242"/>
  <c r="U321" i="242"/>
  <c r="V320" i="242"/>
  <c r="U320" i="242"/>
  <c r="V319" i="242"/>
  <c r="U319" i="242"/>
  <c r="V318" i="242"/>
  <c r="U318" i="242"/>
  <c r="V317" i="242"/>
  <c r="U317" i="242"/>
  <c r="V316" i="242"/>
  <c r="U316" i="242"/>
  <c r="V315" i="242"/>
  <c r="U315" i="242"/>
  <c r="V314" i="242"/>
  <c r="U314" i="242"/>
  <c r="V313" i="242"/>
  <c r="U313" i="242"/>
  <c r="V312" i="242"/>
  <c r="U312" i="242"/>
  <c r="V311" i="242"/>
  <c r="U311" i="242"/>
  <c r="V310" i="242"/>
  <c r="U310" i="242"/>
  <c r="V309" i="242"/>
  <c r="U309" i="242"/>
  <c r="V308" i="242"/>
  <c r="U308" i="242"/>
  <c r="V307" i="242"/>
  <c r="U307" i="242"/>
  <c r="V306" i="242"/>
  <c r="U306" i="242"/>
  <c r="V305" i="242"/>
  <c r="U305" i="242"/>
  <c r="V304" i="242"/>
  <c r="U304" i="242"/>
  <c r="V303" i="242"/>
  <c r="U303" i="242"/>
  <c r="V302" i="242"/>
  <c r="U302" i="242"/>
  <c r="V301" i="242"/>
  <c r="U301" i="242"/>
  <c r="V300" i="242"/>
  <c r="U300" i="242"/>
  <c r="V299" i="242"/>
  <c r="U299" i="242"/>
  <c r="V298" i="242"/>
  <c r="U298" i="242"/>
  <c r="V297" i="242"/>
  <c r="U297" i="242"/>
  <c r="V296" i="242"/>
  <c r="U296" i="242"/>
  <c r="V295" i="242"/>
  <c r="U295" i="242"/>
  <c r="V294" i="242"/>
  <c r="U294" i="242"/>
  <c r="V293" i="242"/>
  <c r="U293" i="242"/>
  <c r="V292" i="242"/>
  <c r="U292" i="242"/>
  <c r="V291" i="242"/>
  <c r="U291" i="242"/>
  <c r="V290" i="242"/>
  <c r="U290" i="242"/>
  <c r="V289" i="242"/>
  <c r="U289" i="242"/>
  <c r="V288" i="242"/>
  <c r="U288" i="242"/>
  <c r="V287" i="242"/>
  <c r="U287" i="242"/>
  <c r="V286" i="242"/>
  <c r="U286" i="242"/>
  <c r="V285" i="242"/>
  <c r="U285" i="242"/>
  <c r="V284" i="242"/>
  <c r="U284" i="242"/>
  <c r="V283" i="242"/>
  <c r="U283" i="242"/>
  <c r="V282" i="242"/>
  <c r="U282" i="242"/>
  <c r="V281" i="242"/>
  <c r="U281" i="242"/>
  <c r="V280" i="242"/>
  <c r="U280" i="242"/>
  <c r="V279" i="242"/>
  <c r="U279" i="242"/>
  <c r="V278" i="242"/>
  <c r="U278" i="242"/>
  <c r="V277" i="242"/>
  <c r="U277" i="242"/>
  <c r="V276" i="242"/>
  <c r="U276" i="242"/>
  <c r="V275" i="242"/>
  <c r="U275" i="242"/>
  <c r="V274" i="242"/>
  <c r="U274" i="242"/>
  <c r="V273" i="242"/>
  <c r="U273" i="242"/>
  <c r="V272" i="242"/>
  <c r="U272" i="242"/>
  <c r="V271" i="242"/>
  <c r="U271" i="242"/>
  <c r="V270" i="242"/>
  <c r="U270" i="242"/>
  <c r="V269" i="242"/>
  <c r="U269" i="242"/>
  <c r="V268" i="242"/>
  <c r="U268" i="242"/>
  <c r="V267" i="242"/>
  <c r="U267" i="242"/>
  <c r="V266" i="242"/>
  <c r="U266" i="242"/>
  <c r="V265" i="242"/>
  <c r="U265" i="242"/>
  <c r="V264" i="242"/>
  <c r="U264" i="242"/>
  <c r="V263" i="242"/>
  <c r="U263" i="242"/>
  <c r="V262" i="242"/>
  <c r="U262" i="242"/>
  <c r="V261" i="242"/>
  <c r="U261" i="242"/>
  <c r="V260" i="242"/>
  <c r="U260" i="242"/>
  <c r="V259" i="242"/>
  <c r="U259" i="242"/>
  <c r="V258" i="242"/>
  <c r="U258" i="242"/>
  <c r="V257" i="242"/>
  <c r="U257" i="242"/>
  <c r="V256" i="242"/>
  <c r="U256" i="242"/>
  <c r="V255" i="242"/>
  <c r="U255" i="242"/>
  <c r="V254" i="242"/>
  <c r="U254" i="242"/>
  <c r="V253" i="242"/>
  <c r="U253" i="242"/>
  <c r="V252" i="242"/>
  <c r="U252" i="242"/>
  <c r="V251" i="242"/>
  <c r="U251" i="242"/>
  <c r="V250" i="242"/>
  <c r="U250" i="242"/>
  <c r="V249" i="242"/>
  <c r="U249" i="242"/>
  <c r="V248" i="242"/>
  <c r="U248" i="242"/>
  <c r="V247" i="242"/>
  <c r="U247" i="242"/>
  <c r="V246" i="242"/>
  <c r="U246" i="242"/>
  <c r="V245" i="242"/>
  <c r="U245" i="242"/>
  <c r="V244" i="242"/>
  <c r="U244" i="242"/>
  <c r="V243" i="242"/>
  <c r="U243" i="242"/>
  <c r="V242" i="242"/>
  <c r="U242" i="242"/>
  <c r="V241" i="242"/>
  <c r="U241" i="242"/>
  <c r="V240" i="242"/>
  <c r="U240" i="242"/>
  <c r="V239" i="242"/>
  <c r="U239" i="242"/>
  <c r="V238" i="242"/>
  <c r="U238" i="242"/>
  <c r="V237" i="242"/>
  <c r="U237" i="242"/>
  <c r="V236" i="242"/>
  <c r="U236" i="242"/>
  <c r="V235" i="242"/>
  <c r="U235" i="242"/>
  <c r="V234" i="242"/>
  <c r="U234" i="242"/>
  <c r="V233" i="242"/>
  <c r="U233" i="242"/>
  <c r="V232" i="242"/>
  <c r="U232" i="242"/>
  <c r="V231" i="242"/>
  <c r="U231" i="242"/>
  <c r="V230" i="242"/>
  <c r="U230" i="242"/>
  <c r="V229" i="242"/>
  <c r="U229" i="242"/>
  <c r="V218" i="242"/>
  <c r="U218" i="242"/>
  <c r="V217" i="242"/>
  <c r="U217" i="242"/>
  <c r="V216" i="242"/>
  <c r="U216" i="242"/>
  <c r="V215" i="242"/>
  <c r="U215" i="242"/>
  <c r="V214" i="242"/>
  <c r="U214" i="242"/>
  <c r="V213" i="242"/>
  <c r="U213" i="242"/>
  <c r="V212" i="242"/>
  <c r="U212" i="242"/>
  <c r="V211" i="242"/>
  <c r="U211" i="242"/>
  <c r="V210" i="242"/>
  <c r="U210" i="242"/>
  <c r="V209" i="242"/>
  <c r="U209" i="242"/>
  <c r="V208" i="242"/>
  <c r="U208" i="242"/>
  <c r="V207" i="242"/>
  <c r="U207" i="242"/>
  <c r="V206" i="242"/>
  <c r="U206" i="242"/>
  <c r="V205" i="242"/>
  <c r="U205" i="242"/>
  <c r="V204" i="242"/>
  <c r="U204" i="242"/>
  <c r="V203" i="242"/>
  <c r="U203" i="242"/>
  <c r="V202" i="242"/>
  <c r="U202" i="242"/>
  <c r="V201" i="242"/>
  <c r="U201" i="242"/>
  <c r="V200" i="242"/>
  <c r="U200" i="242"/>
  <c r="V199" i="242"/>
  <c r="U199" i="242"/>
  <c r="V198" i="242"/>
  <c r="U198" i="242"/>
  <c r="V197" i="242"/>
  <c r="U197" i="242"/>
  <c r="V196" i="242"/>
  <c r="U196" i="242"/>
  <c r="V195" i="242"/>
  <c r="U195" i="242"/>
  <c r="V194" i="242"/>
  <c r="U194" i="242"/>
  <c r="V193" i="242"/>
  <c r="U193" i="242"/>
  <c r="V192" i="242"/>
  <c r="U192" i="242"/>
  <c r="V191" i="242"/>
  <c r="U191" i="242"/>
  <c r="V190" i="242"/>
  <c r="U190" i="242"/>
  <c r="V179" i="242"/>
  <c r="U179" i="242"/>
  <c r="V178" i="242"/>
  <c r="U178" i="242"/>
  <c r="V177" i="242"/>
  <c r="U177" i="242"/>
  <c r="V176" i="242"/>
  <c r="U176" i="242"/>
  <c r="V175" i="242"/>
  <c r="U175" i="242"/>
  <c r="V174" i="242"/>
  <c r="U174" i="242"/>
  <c r="V173" i="242"/>
  <c r="U173" i="242"/>
  <c r="V172" i="242"/>
  <c r="U172" i="242"/>
  <c r="V171" i="242"/>
  <c r="U171" i="242"/>
  <c r="V170" i="242"/>
  <c r="U170" i="242"/>
  <c r="V169" i="242"/>
  <c r="U169" i="242"/>
  <c r="V168" i="242"/>
  <c r="U168" i="242"/>
  <c r="V167" i="242"/>
  <c r="U167" i="242"/>
  <c r="V166" i="242"/>
  <c r="U166" i="242"/>
  <c r="V165" i="242"/>
  <c r="U165" i="242"/>
  <c r="V164" i="242"/>
  <c r="U164" i="242"/>
  <c r="V163" i="242"/>
  <c r="U163" i="242"/>
  <c r="V162" i="242"/>
  <c r="U162" i="242"/>
  <c r="V161" i="242"/>
  <c r="U161" i="242"/>
  <c r="V160" i="242"/>
  <c r="U160" i="242"/>
  <c r="V159" i="242"/>
  <c r="U159" i="242"/>
  <c r="V158" i="242"/>
  <c r="U158" i="242"/>
  <c r="V157" i="242"/>
  <c r="U157" i="242"/>
  <c r="V156" i="242"/>
  <c r="U156" i="242"/>
  <c r="V155" i="242"/>
  <c r="U155" i="242"/>
  <c r="V145" i="242"/>
  <c r="U145" i="242"/>
  <c r="V144" i="242"/>
  <c r="U144" i="242"/>
  <c r="V143" i="242"/>
  <c r="U143" i="242"/>
  <c r="V142" i="242"/>
  <c r="U142" i="242"/>
  <c r="V141" i="242"/>
  <c r="U141" i="242"/>
  <c r="V140" i="242"/>
  <c r="U140" i="242"/>
  <c r="V139" i="242"/>
  <c r="U139" i="242"/>
  <c r="V138" i="242"/>
  <c r="U138" i="242"/>
  <c r="V137" i="242"/>
  <c r="U137" i="242"/>
  <c r="V136" i="242"/>
  <c r="U136" i="242"/>
  <c r="V135" i="242"/>
  <c r="U135" i="242"/>
  <c r="V134" i="242"/>
  <c r="U134" i="242"/>
  <c r="V133" i="242"/>
  <c r="U133" i="242"/>
  <c r="V132" i="242"/>
  <c r="U132" i="242"/>
  <c r="V131" i="242"/>
  <c r="U131" i="242"/>
  <c r="V130" i="242"/>
  <c r="U130" i="242"/>
  <c r="V129" i="242"/>
  <c r="U129" i="242"/>
  <c r="V128" i="242"/>
  <c r="U128" i="242"/>
  <c r="V127" i="242"/>
  <c r="U127" i="242"/>
  <c r="V126" i="242"/>
  <c r="U126" i="242"/>
  <c r="V125" i="242"/>
  <c r="U125" i="242"/>
  <c r="V124" i="242"/>
  <c r="U124" i="242"/>
  <c r="V123" i="242"/>
  <c r="U123" i="242"/>
  <c r="V122" i="242"/>
  <c r="U122" i="242"/>
  <c r="V121" i="242"/>
  <c r="U121" i="242"/>
  <c r="V120" i="242"/>
  <c r="U120" i="242"/>
  <c r="V119" i="242"/>
  <c r="U119" i="242"/>
  <c r="V118" i="242"/>
  <c r="U118" i="242"/>
  <c r="V117" i="242"/>
  <c r="U117" i="242"/>
  <c r="V116" i="242"/>
  <c r="U116" i="242"/>
  <c r="V115" i="242"/>
  <c r="U115" i="242"/>
  <c r="V114" i="242"/>
  <c r="U114" i="242"/>
  <c r="V113" i="242"/>
  <c r="U113" i="242"/>
  <c r="V112" i="242"/>
  <c r="U112" i="242"/>
  <c r="V111" i="242"/>
  <c r="U111" i="242"/>
  <c r="V102" i="242"/>
  <c r="U102" i="242"/>
  <c r="V101" i="242"/>
  <c r="U101" i="242"/>
  <c r="V100" i="242"/>
  <c r="U100" i="242"/>
  <c r="V99" i="242"/>
  <c r="U99" i="242"/>
  <c r="V98" i="242"/>
  <c r="U98" i="242"/>
  <c r="V97" i="242"/>
  <c r="U97" i="242"/>
  <c r="V96" i="242"/>
  <c r="U96" i="242"/>
  <c r="V95" i="242"/>
  <c r="U95" i="242"/>
  <c r="V94" i="242"/>
  <c r="U94" i="242"/>
  <c r="V93" i="242"/>
  <c r="U93" i="242"/>
  <c r="V92" i="242"/>
  <c r="U92" i="242"/>
  <c r="V91" i="242"/>
  <c r="U91" i="242"/>
  <c r="V90" i="242"/>
  <c r="U90" i="242"/>
  <c r="V89" i="242"/>
  <c r="U89" i="242"/>
  <c r="V88" i="242"/>
  <c r="U88" i="242"/>
  <c r="V87" i="242"/>
  <c r="U87" i="242"/>
  <c r="V86" i="242"/>
  <c r="U86" i="242"/>
  <c r="V85" i="242"/>
  <c r="U85" i="242"/>
  <c r="V84" i="242"/>
  <c r="U84" i="242"/>
  <c r="V83" i="242"/>
  <c r="U83" i="242"/>
  <c r="V82" i="242"/>
  <c r="U82" i="242"/>
  <c r="V81" i="242"/>
  <c r="U81" i="242"/>
  <c r="V80" i="242"/>
  <c r="U80" i="242"/>
  <c r="V79" i="242"/>
  <c r="U79" i="242"/>
  <c r="V78" i="242"/>
  <c r="U78" i="242"/>
  <c r="V77" i="242"/>
  <c r="U77" i="242"/>
  <c r="V76" i="242"/>
  <c r="U76" i="242"/>
  <c r="V75" i="242"/>
  <c r="U75" i="242"/>
  <c r="V74" i="242"/>
  <c r="U74" i="242"/>
  <c r="V73" i="242"/>
  <c r="U73" i="242"/>
  <c r="V72" i="242"/>
  <c r="U72" i="242"/>
  <c r="V71" i="242"/>
  <c r="U71" i="242"/>
  <c r="V70" i="242"/>
  <c r="U70" i="242"/>
  <c r="V69" i="242"/>
  <c r="U69" i="242"/>
  <c r="V68" i="242"/>
  <c r="U68" i="242"/>
  <c r="V67" i="242"/>
  <c r="U67" i="242"/>
  <c r="V66" i="242"/>
  <c r="U66" i="242"/>
  <c r="V65" i="242"/>
  <c r="U65" i="242"/>
  <c r="V64" i="242"/>
  <c r="U64" i="242"/>
  <c r="V63" i="242"/>
  <c r="U63" i="242"/>
  <c r="V62" i="242"/>
  <c r="U62" i="242"/>
  <c r="V61" i="242"/>
  <c r="U61" i="242"/>
  <c r="V60" i="242"/>
  <c r="U60" i="242"/>
  <c r="V59" i="242"/>
  <c r="U59" i="242"/>
  <c r="V58" i="242"/>
  <c r="U58" i="242"/>
  <c r="V57" i="242"/>
  <c r="U57" i="242"/>
  <c r="V56" i="242"/>
  <c r="U56" i="242"/>
  <c r="V55" i="242"/>
  <c r="U55" i="242"/>
  <c r="V54" i="242"/>
  <c r="U54" i="242"/>
  <c r="V53" i="242"/>
  <c r="U53" i="242"/>
  <c r="V52" i="242"/>
  <c r="U52" i="242"/>
  <c r="V51" i="242"/>
  <c r="U51" i="242"/>
  <c r="V50" i="242"/>
  <c r="U50" i="242"/>
  <c r="V49" i="242"/>
  <c r="U49" i="242"/>
  <c r="V48" i="242"/>
  <c r="U48" i="242"/>
  <c r="V47" i="242"/>
  <c r="U47" i="242"/>
  <c r="V46" i="242"/>
  <c r="U46" i="242"/>
  <c r="V45" i="242"/>
  <c r="U45" i="242"/>
  <c r="V44" i="242"/>
  <c r="U44" i="242"/>
  <c r="V43" i="242"/>
  <c r="U43" i="242"/>
  <c r="V42" i="242"/>
  <c r="U42" i="242"/>
  <c r="V41" i="242"/>
  <c r="U41" i="242"/>
  <c r="V40" i="242"/>
  <c r="U40" i="242"/>
  <c r="V39" i="242"/>
  <c r="U39" i="242"/>
  <c r="V38" i="242"/>
  <c r="U38" i="242"/>
  <c r="V37" i="242"/>
  <c r="U37" i="242"/>
  <c r="V36" i="242"/>
  <c r="U36" i="242"/>
  <c r="V35" i="242"/>
  <c r="U35" i="242"/>
  <c r="V34" i="242"/>
  <c r="U34" i="242"/>
  <c r="V33" i="242"/>
  <c r="U33" i="242"/>
  <c r="V32" i="242"/>
  <c r="U32" i="242"/>
  <c r="V31" i="242"/>
  <c r="U31" i="242"/>
  <c r="V30" i="242"/>
  <c r="U30" i="242"/>
  <c r="V29" i="242"/>
  <c r="U29" i="242"/>
  <c r="V28" i="242"/>
  <c r="U28" i="242"/>
  <c r="V27" i="242"/>
  <c r="U27" i="242"/>
  <c r="V26" i="242"/>
  <c r="U26" i="242"/>
  <c r="V25" i="242"/>
  <c r="U25" i="242"/>
  <c r="V24" i="242"/>
  <c r="U24" i="242"/>
  <c r="X340" i="89"/>
  <c r="X339" i="89"/>
  <c r="X338" i="89"/>
  <c r="X337" i="89"/>
  <c r="X336" i="89"/>
  <c r="X335" i="89"/>
  <c r="X334" i="89"/>
  <c r="X333" i="89"/>
  <c r="X332" i="89"/>
  <c r="X331" i="89"/>
  <c r="X330" i="89"/>
  <c r="X329" i="89"/>
  <c r="X328" i="89"/>
  <c r="X327" i="89"/>
  <c r="X326" i="89"/>
  <c r="X325" i="89"/>
  <c r="X324" i="89"/>
  <c r="X323" i="89"/>
  <c r="X322" i="89"/>
  <c r="X321" i="89"/>
  <c r="X320" i="89"/>
  <c r="X319" i="89"/>
  <c r="X318" i="89"/>
  <c r="X317" i="89"/>
  <c r="X316" i="89"/>
  <c r="X315" i="89"/>
  <c r="X314" i="89"/>
  <c r="X313" i="89"/>
  <c r="X312" i="89"/>
  <c r="X311" i="89"/>
  <c r="X310" i="89"/>
  <c r="X309" i="89"/>
  <c r="X308" i="89"/>
  <c r="X307" i="89"/>
  <c r="X306" i="89"/>
  <c r="X305" i="89"/>
  <c r="X304" i="89"/>
  <c r="X303" i="89"/>
  <c r="X302" i="89"/>
  <c r="X301" i="89"/>
  <c r="X300" i="89"/>
  <c r="X299" i="89"/>
  <c r="X298" i="89"/>
  <c r="X297" i="89"/>
  <c r="X296" i="89"/>
  <c r="X295" i="89"/>
  <c r="X294" i="89"/>
  <c r="X293" i="89"/>
  <c r="X292" i="89"/>
  <c r="X291" i="89"/>
  <c r="X290" i="89"/>
  <c r="X289" i="89"/>
  <c r="X288" i="89"/>
  <c r="X287" i="89"/>
  <c r="X286" i="89"/>
  <c r="X285" i="89"/>
  <c r="X284" i="89"/>
  <c r="X283" i="89"/>
  <c r="X282" i="89"/>
  <c r="X281" i="89"/>
  <c r="X280" i="89"/>
  <c r="X279" i="89"/>
  <c r="X278" i="89"/>
  <c r="X277" i="89"/>
  <c r="X276" i="89"/>
  <c r="X275" i="89"/>
  <c r="X274" i="89"/>
  <c r="X273" i="89"/>
  <c r="X272" i="89"/>
  <c r="X271" i="89"/>
  <c r="X270" i="89"/>
  <c r="X269" i="89"/>
  <c r="X268" i="89"/>
  <c r="X267" i="89"/>
  <c r="X266" i="89"/>
  <c r="X265" i="89"/>
  <c r="X264" i="89"/>
  <c r="X263" i="89"/>
  <c r="X262" i="89"/>
  <c r="X261" i="89"/>
  <c r="X260" i="89"/>
  <c r="X259" i="89"/>
  <c r="X258" i="89"/>
  <c r="X257" i="89"/>
  <c r="X256" i="89"/>
  <c r="X255" i="89"/>
  <c r="X254" i="89"/>
  <c r="X253" i="89"/>
  <c r="X252" i="89"/>
  <c r="X251" i="89"/>
  <c r="X250" i="89"/>
  <c r="X249" i="89"/>
  <c r="X248" i="89"/>
  <c r="X247" i="89"/>
  <c r="X246" i="89"/>
  <c r="X245" i="89"/>
  <c r="X235" i="89"/>
  <c r="X234" i="89"/>
  <c r="X233" i="89"/>
  <c r="X232" i="89"/>
  <c r="X231" i="89"/>
  <c r="X230" i="89"/>
  <c r="X229" i="89"/>
  <c r="X228" i="89"/>
  <c r="X227" i="89"/>
  <c r="X226" i="89"/>
  <c r="X225" i="89"/>
  <c r="X224" i="89"/>
  <c r="X223" i="89"/>
  <c r="X222" i="89"/>
  <c r="X221" i="89"/>
  <c r="X220" i="89"/>
  <c r="X219" i="89"/>
  <c r="X218" i="89"/>
  <c r="X217" i="89"/>
  <c r="X216" i="89"/>
  <c r="X215" i="89"/>
  <c r="X214" i="89"/>
  <c r="X213" i="89"/>
  <c r="X212" i="89"/>
  <c r="X211" i="89"/>
  <c r="X210" i="89"/>
  <c r="X209" i="89"/>
  <c r="X208" i="89"/>
  <c r="X207" i="89"/>
  <c r="X206" i="89"/>
  <c r="X196" i="89"/>
  <c r="X195" i="89"/>
  <c r="X194" i="89"/>
  <c r="X193" i="89"/>
  <c r="X192" i="89"/>
  <c r="X191" i="89"/>
  <c r="X190" i="89"/>
  <c r="X189" i="89"/>
  <c r="X188" i="89"/>
  <c r="X187" i="89"/>
  <c r="X186" i="89"/>
  <c r="X185" i="89"/>
  <c r="X184" i="89"/>
  <c r="X183" i="89"/>
  <c r="X182" i="89"/>
  <c r="X181" i="89"/>
  <c r="X180" i="89"/>
  <c r="X179" i="89"/>
  <c r="X178" i="89"/>
  <c r="X177" i="89"/>
  <c r="X176" i="89"/>
  <c r="X175" i="89"/>
  <c r="X174" i="89"/>
  <c r="X173" i="89"/>
  <c r="X172" i="89"/>
  <c r="X162" i="89"/>
  <c r="X161" i="89"/>
  <c r="X160" i="89"/>
  <c r="X159" i="89"/>
  <c r="X158" i="89"/>
  <c r="X157" i="89"/>
  <c r="X156" i="89"/>
  <c r="X155" i="89"/>
  <c r="X154" i="89"/>
  <c r="X153" i="89"/>
  <c r="X152" i="89"/>
  <c r="X151" i="89"/>
  <c r="X150" i="89"/>
  <c r="X149" i="89"/>
  <c r="X148" i="89"/>
  <c r="X147" i="89"/>
  <c r="X146" i="89"/>
  <c r="X145" i="89"/>
  <c r="X144" i="89"/>
  <c r="X143" i="89"/>
  <c r="X142" i="89"/>
  <c r="X141" i="89"/>
  <c r="X140" i="89"/>
  <c r="X139" i="89"/>
  <c r="X138" i="89"/>
  <c r="X137" i="89"/>
  <c r="X136" i="89"/>
  <c r="X135" i="89"/>
  <c r="X134" i="89"/>
  <c r="X133" i="89"/>
  <c r="X132" i="89"/>
  <c r="X131" i="89"/>
  <c r="X130" i="89"/>
  <c r="X129" i="89"/>
  <c r="X128" i="89"/>
  <c r="X119" i="89"/>
  <c r="X118" i="89"/>
  <c r="X117" i="89"/>
  <c r="X116" i="89"/>
  <c r="X115" i="89"/>
  <c r="X114" i="89"/>
  <c r="X113" i="89"/>
  <c r="X112" i="89"/>
  <c r="X111" i="89"/>
  <c r="X110" i="89"/>
  <c r="X109" i="89"/>
  <c r="X108" i="89"/>
  <c r="X107" i="89"/>
  <c r="X106" i="89"/>
  <c r="X105" i="89"/>
  <c r="X104" i="89"/>
  <c r="X103" i="89"/>
  <c r="X102" i="89"/>
  <c r="X101" i="89"/>
  <c r="X100" i="89"/>
  <c r="X99" i="89"/>
  <c r="X98" i="89"/>
  <c r="X97" i="89"/>
  <c r="X96" i="89"/>
  <c r="X95" i="89"/>
  <c r="X94" i="89"/>
  <c r="X93" i="89"/>
  <c r="X92" i="89"/>
  <c r="X91" i="89"/>
  <c r="X90" i="89"/>
  <c r="X89" i="89"/>
  <c r="X88" i="89"/>
  <c r="X87" i="89"/>
  <c r="X86" i="89"/>
  <c r="X85" i="89"/>
  <c r="X84" i="89"/>
  <c r="X83" i="89"/>
  <c r="X82" i="89"/>
  <c r="X81" i="89"/>
  <c r="X80" i="89"/>
  <c r="X79" i="89"/>
  <c r="X78" i="89"/>
  <c r="X77" i="89"/>
  <c r="X76" i="89"/>
  <c r="X75" i="89"/>
  <c r="X74" i="89"/>
  <c r="X73" i="89"/>
  <c r="X72" i="89"/>
  <c r="X71" i="89"/>
  <c r="X70" i="89"/>
  <c r="X69" i="89"/>
  <c r="X68" i="89"/>
  <c r="X67" i="89"/>
  <c r="X66" i="89"/>
  <c r="X65" i="89"/>
  <c r="X64" i="89"/>
  <c r="X63" i="89"/>
  <c r="X62" i="89"/>
  <c r="X61" i="89"/>
  <c r="X60" i="89"/>
  <c r="X59" i="89"/>
  <c r="X58" i="89"/>
  <c r="X57" i="89"/>
  <c r="X56" i="89"/>
  <c r="X55" i="89"/>
  <c r="X54" i="89"/>
  <c r="X53" i="89"/>
  <c r="X52" i="89"/>
  <c r="X51" i="89"/>
  <c r="X50" i="89"/>
  <c r="X49" i="89"/>
  <c r="X48" i="89"/>
  <c r="X47" i="89"/>
  <c r="X46" i="89"/>
  <c r="X45" i="89"/>
  <c r="X44" i="89"/>
  <c r="X43" i="89"/>
  <c r="X42" i="89"/>
  <c r="X41" i="89"/>
  <c r="X40" i="89"/>
  <c r="M328" i="242"/>
  <c r="K323" i="242"/>
  <c r="K322" i="242"/>
  <c r="K321" i="242"/>
  <c r="K320" i="242"/>
  <c r="K319" i="242"/>
  <c r="K318" i="242"/>
  <c r="K317" i="242"/>
  <c r="K316" i="242"/>
  <c r="K315" i="242"/>
  <c r="K314" i="242"/>
  <c r="K313" i="242"/>
  <c r="K312" i="242"/>
  <c r="K311" i="242"/>
  <c r="K310" i="242"/>
  <c r="K309" i="242"/>
  <c r="K308" i="242"/>
  <c r="K307" i="242"/>
  <c r="K306" i="242"/>
  <c r="K305" i="242"/>
  <c r="K304" i="242"/>
  <c r="K303" i="242"/>
  <c r="K302" i="242"/>
  <c r="K301" i="242"/>
  <c r="K300" i="242"/>
  <c r="K299" i="242"/>
  <c r="K298" i="242"/>
  <c r="K297" i="242"/>
  <c r="K296" i="242"/>
  <c r="K295" i="242"/>
  <c r="K294" i="242"/>
  <c r="K293" i="242"/>
  <c r="K292" i="242"/>
  <c r="K291" i="242"/>
  <c r="K290" i="242"/>
  <c r="K289" i="242"/>
  <c r="K288" i="242"/>
  <c r="K287" i="242"/>
  <c r="K286" i="242"/>
  <c r="K285" i="242"/>
  <c r="K284" i="242"/>
  <c r="K283" i="242"/>
  <c r="K282" i="242"/>
  <c r="K281" i="242"/>
  <c r="K280" i="242"/>
  <c r="K279" i="242"/>
  <c r="K278" i="242"/>
  <c r="K277" i="242"/>
  <c r="K276" i="242"/>
  <c r="K275" i="242"/>
  <c r="K274" i="242"/>
  <c r="K273" i="242"/>
  <c r="K272" i="242"/>
  <c r="K271" i="242"/>
  <c r="K270" i="242"/>
  <c r="K269" i="242"/>
  <c r="K268" i="242"/>
  <c r="K267" i="242"/>
  <c r="K266" i="242"/>
  <c r="K265" i="242"/>
  <c r="K264" i="242"/>
  <c r="K263" i="242"/>
  <c r="K262" i="242"/>
  <c r="K261" i="242"/>
  <c r="K260" i="242"/>
  <c r="K259" i="242"/>
  <c r="K258" i="242"/>
  <c r="K257" i="242"/>
  <c r="K256" i="242"/>
  <c r="K255" i="242"/>
  <c r="K254" i="242"/>
  <c r="K253" i="242"/>
  <c r="K252" i="242"/>
  <c r="K251" i="242"/>
  <c r="K250" i="242"/>
  <c r="K249" i="242"/>
  <c r="K248" i="242"/>
  <c r="K247" i="242"/>
  <c r="K246" i="242"/>
  <c r="K245" i="242"/>
  <c r="K244" i="242"/>
  <c r="K243" i="242"/>
  <c r="K242" i="242"/>
  <c r="K241" i="242"/>
  <c r="K240" i="242"/>
  <c r="K239" i="242"/>
  <c r="K238" i="242"/>
  <c r="K237" i="242"/>
  <c r="K236" i="242"/>
  <c r="K235" i="242"/>
  <c r="K234" i="242"/>
  <c r="K233" i="242"/>
  <c r="K232" i="242"/>
  <c r="K231" i="242"/>
  <c r="K230" i="242"/>
  <c r="K229" i="242"/>
  <c r="U228" i="242"/>
  <c r="K228" i="242"/>
  <c r="V228" i="242" s="1"/>
  <c r="K218" i="242"/>
  <c r="K217" i="242"/>
  <c r="K216" i="242"/>
  <c r="K215" i="242"/>
  <c r="K214" i="242"/>
  <c r="K213" i="242"/>
  <c r="K212" i="242"/>
  <c r="K211" i="242"/>
  <c r="K210" i="242"/>
  <c r="K209" i="242"/>
  <c r="K208" i="242"/>
  <c r="K207" i="242"/>
  <c r="K206" i="242"/>
  <c r="K205" i="242"/>
  <c r="K204" i="242"/>
  <c r="K203" i="242"/>
  <c r="K202" i="242"/>
  <c r="K201" i="242"/>
  <c r="K200" i="242"/>
  <c r="K199" i="242"/>
  <c r="K198" i="242"/>
  <c r="K197" i="242"/>
  <c r="K196" i="242"/>
  <c r="K195" i="242"/>
  <c r="K194" i="242"/>
  <c r="K193" i="242"/>
  <c r="K192" i="242"/>
  <c r="K191" i="242"/>
  <c r="K190" i="242"/>
  <c r="V189" i="242"/>
  <c r="U189" i="242"/>
  <c r="K189" i="242"/>
  <c r="K179" i="242"/>
  <c r="K178" i="242"/>
  <c r="K177" i="242"/>
  <c r="K176" i="242"/>
  <c r="K175" i="242"/>
  <c r="K174" i="242"/>
  <c r="K173" i="242"/>
  <c r="K172" i="242"/>
  <c r="K171" i="242"/>
  <c r="K170" i="242"/>
  <c r="K169" i="242"/>
  <c r="K168" i="242"/>
  <c r="K167" i="242"/>
  <c r="K166" i="242"/>
  <c r="K165" i="242"/>
  <c r="K164" i="242"/>
  <c r="K163" i="242"/>
  <c r="K162" i="242"/>
  <c r="K161" i="242"/>
  <c r="K160" i="242"/>
  <c r="K159" i="242"/>
  <c r="K158" i="242"/>
  <c r="K157" i="242"/>
  <c r="K156" i="242"/>
  <c r="K155" i="242"/>
  <c r="K145" i="242"/>
  <c r="K144" i="242"/>
  <c r="K143" i="242"/>
  <c r="K142" i="242"/>
  <c r="K141" i="242"/>
  <c r="K140" i="242"/>
  <c r="K139" i="242"/>
  <c r="K138" i="242"/>
  <c r="K137" i="242"/>
  <c r="K136" i="242"/>
  <c r="K135" i="242"/>
  <c r="K134" i="242"/>
  <c r="K133" i="242"/>
  <c r="K132" i="242"/>
  <c r="K131" i="242"/>
  <c r="K130" i="242"/>
  <c r="K129" i="242"/>
  <c r="K128" i="242"/>
  <c r="K127" i="242"/>
  <c r="K126" i="242"/>
  <c r="K125" i="242"/>
  <c r="K124" i="242"/>
  <c r="K123" i="242"/>
  <c r="K122" i="242"/>
  <c r="K121" i="242"/>
  <c r="K120" i="242"/>
  <c r="K119" i="242"/>
  <c r="K118" i="242"/>
  <c r="K117" i="242"/>
  <c r="K116" i="242"/>
  <c r="K115" i="242"/>
  <c r="K114" i="242"/>
  <c r="K113" i="242"/>
  <c r="K112" i="242"/>
  <c r="K111" i="242"/>
  <c r="K102" i="242"/>
  <c r="K101" i="242"/>
  <c r="K100" i="242"/>
  <c r="K99" i="242"/>
  <c r="K98" i="242"/>
  <c r="K97" i="242"/>
  <c r="K96" i="242"/>
  <c r="K95" i="242"/>
  <c r="K94" i="242"/>
  <c r="K93" i="242"/>
  <c r="K92" i="242"/>
  <c r="K91" i="242"/>
  <c r="K90" i="242"/>
  <c r="K89" i="242"/>
  <c r="K88" i="242"/>
  <c r="K87" i="242"/>
  <c r="K86" i="242"/>
  <c r="K85" i="242"/>
  <c r="K84" i="242"/>
  <c r="K83" i="242"/>
  <c r="K82" i="242"/>
  <c r="K81" i="242"/>
  <c r="K80" i="242"/>
  <c r="K79" i="242"/>
  <c r="K78" i="242"/>
  <c r="K77" i="242"/>
  <c r="K76" i="242"/>
  <c r="K75" i="242"/>
  <c r="K74" i="242"/>
  <c r="K73" i="242"/>
  <c r="K72" i="242"/>
  <c r="K71" i="242"/>
  <c r="K70" i="242"/>
  <c r="K69" i="242"/>
  <c r="K68" i="242"/>
  <c r="K67" i="242"/>
  <c r="K66" i="242"/>
  <c r="K65" i="242"/>
  <c r="K64" i="242"/>
  <c r="K63" i="242"/>
  <c r="K62" i="242"/>
  <c r="K61" i="242"/>
  <c r="K60" i="242"/>
  <c r="K59" i="242"/>
  <c r="K58" i="242"/>
  <c r="K57" i="242"/>
  <c r="K56" i="242"/>
  <c r="K55" i="242"/>
  <c r="K54" i="242"/>
  <c r="K53" i="242"/>
  <c r="K52" i="242"/>
  <c r="K51" i="242"/>
  <c r="K50" i="242"/>
  <c r="K49" i="242"/>
  <c r="K48" i="242"/>
  <c r="K47" i="242"/>
  <c r="K46" i="242"/>
  <c r="K45" i="242"/>
  <c r="K44" i="242"/>
  <c r="K43" i="242"/>
  <c r="K42" i="242"/>
  <c r="K41" i="242"/>
  <c r="K40" i="242"/>
  <c r="K39" i="242"/>
  <c r="K38" i="242"/>
  <c r="K37" i="242"/>
  <c r="K36" i="242"/>
  <c r="K35" i="242"/>
  <c r="K34" i="242"/>
  <c r="K33" i="242"/>
  <c r="K32" i="242"/>
  <c r="K31" i="242"/>
  <c r="K30" i="242"/>
  <c r="K29" i="242"/>
  <c r="K28" i="242"/>
  <c r="K27" i="242"/>
  <c r="K26" i="242"/>
  <c r="K25" i="242"/>
  <c r="K24" i="242"/>
  <c r="M15" i="242"/>
  <c r="C14" i="242"/>
  <c r="C13" i="242"/>
  <c r="C12" i="242"/>
  <c r="C11" i="242"/>
  <c r="C10" i="242"/>
  <c r="D3" i="242"/>
  <c r="C2" i="242"/>
  <c r="T342" i="89"/>
  <c r="T15" i="89" s="1"/>
  <c r="T237" i="89"/>
  <c r="T14" i="89" s="1"/>
  <c r="T198" i="89"/>
  <c r="R154" i="242" s="1"/>
  <c r="R181" i="242" s="1"/>
  <c r="R12" i="242" s="1"/>
  <c r="T164" i="89"/>
  <c r="T12" i="89" s="1"/>
  <c r="T121" i="89"/>
  <c r="T33" i="89"/>
  <c r="T13" i="89"/>
  <c r="R23" i="242" l="1"/>
  <c r="R104" i="242" s="1"/>
  <c r="R10" i="242" s="1"/>
  <c r="W28" i="242"/>
  <c r="W54" i="242"/>
  <c r="W56" i="242"/>
  <c r="W62" i="242"/>
  <c r="W64" i="242"/>
  <c r="W66" i="242"/>
  <c r="W68" i="242"/>
  <c r="W70" i="242"/>
  <c r="W72" i="242"/>
  <c r="W78" i="242"/>
  <c r="W80" i="242"/>
  <c r="W82" i="242"/>
  <c r="W84" i="242"/>
  <c r="W86" i="242"/>
  <c r="W88" i="242"/>
  <c r="W92" i="242"/>
  <c r="W167" i="242"/>
  <c r="W171" i="242"/>
  <c r="W179" i="242"/>
  <c r="W191" i="242"/>
  <c r="W195" i="242"/>
  <c r="W309" i="242"/>
  <c r="W313" i="242"/>
  <c r="W321" i="242"/>
  <c r="W29" i="242"/>
  <c r="W308" i="242"/>
  <c r="W37" i="242"/>
  <c r="W45" i="242"/>
  <c r="W53" i="242"/>
  <c r="W73" i="242"/>
  <c r="W77" i="242"/>
  <c r="W89" i="242"/>
  <c r="W96" i="242"/>
  <c r="W118" i="242"/>
  <c r="W130" i="242"/>
  <c r="W93" i="242"/>
  <c r="W101" i="242"/>
  <c r="W111" i="242"/>
  <c r="W119" i="242"/>
  <c r="W166" i="242"/>
  <c r="W196" i="242"/>
  <c r="W198" i="242"/>
  <c r="W200" i="242"/>
  <c r="W202" i="242"/>
  <c r="W204" i="242"/>
  <c r="W206" i="242"/>
  <c r="W212" i="242"/>
  <c r="W214" i="242"/>
  <c r="W216" i="242"/>
  <c r="W218" i="242"/>
  <c r="W234" i="242"/>
  <c r="W238" i="242"/>
  <c r="W242" i="242"/>
  <c r="W244" i="242"/>
  <c r="W266" i="242"/>
  <c r="W270" i="242"/>
  <c r="W274" i="242"/>
  <c r="W276" i="242"/>
  <c r="W282" i="242"/>
  <c r="W286" i="242"/>
  <c r="W290" i="242"/>
  <c r="W292" i="242"/>
  <c r="W298" i="242"/>
  <c r="W302" i="242"/>
  <c r="W306" i="242"/>
  <c r="W203" i="242"/>
  <c r="W245" i="242"/>
  <c r="W249" i="242"/>
  <c r="W257" i="242"/>
  <c r="W261" i="242"/>
  <c r="W265" i="242"/>
  <c r="W273" i="242"/>
  <c r="W293" i="242"/>
  <c r="W297" i="242"/>
  <c r="W305" i="242"/>
  <c r="W312" i="242"/>
  <c r="W316" i="242"/>
  <c r="W320" i="242"/>
  <c r="R227" i="242"/>
  <c r="R325" i="242" s="1"/>
  <c r="R14" i="242" s="1"/>
  <c r="T11" i="89"/>
  <c r="T16" i="89" s="1"/>
  <c r="R188" i="242"/>
  <c r="R220" i="242" s="1"/>
  <c r="R13" i="242" s="1"/>
  <c r="W24" i="242"/>
  <c r="W67" i="242"/>
  <c r="W127" i="242"/>
  <c r="W131" i="242"/>
  <c r="W135" i="242"/>
  <c r="W143" i="242"/>
  <c r="W156" i="242"/>
  <c r="W158" i="242"/>
  <c r="W160" i="242"/>
  <c r="W162" i="242"/>
  <c r="W164" i="242"/>
  <c r="W217" i="242"/>
  <c r="W25" i="242"/>
  <c r="W32" i="242"/>
  <c r="W44" i="242"/>
  <c r="W48" i="242"/>
  <c r="W136" i="242"/>
  <c r="W138" i="242"/>
  <c r="W140" i="242"/>
  <c r="W142" i="242"/>
  <c r="W144" i="242"/>
  <c r="W155" i="242"/>
  <c r="W163" i="242"/>
  <c r="W170" i="242"/>
  <c r="W190" i="242"/>
  <c r="T345" i="89"/>
  <c r="R110" i="242"/>
  <c r="R147" i="242" s="1"/>
  <c r="R11" i="242" s="1"/>
  <c r="W83" i="242"/>
  <c r="W87" i="242"/>
  <c r="W134" i="242"/>
  <c r="W161" i="242"/>
  <c r="W194" i="242"/>
  <c r="W279" i="242"/>
  <c r="W283" i="242"/>
  <c r="W287" i="242"/>
  <c r="W291" i="242"/>
  <c r="W35" i="242"/>
  <c r="W43" i="242"/>
  <c r="W60" i="242"/>
  <c r="W99" i="242"/>
  <c r="W117" i="242"/>
  <c r="W125" i="242"/>
  <c r="W177" i="242"/>
  <c r="W210" i="242"/>
  <c r="W34" i="242"/>
  <c r="W36" i="242"/>
  <c r="W38" i="242"/>
  <c r="W40" i="242"/>
  <c r="W46" i="242"/>
  <c r="W51" i="242"/>
  <c r="W57" i="242"/>
  <c r="W61" i="242"/>
  <c r="W69" i="242"/>
  <c r="W76" i="242"/>
  <c r="W98" i="242"/>
  <c r="W100" i="242"/>
  <c r="W102" i="242"/>
  <c r="W112" i="242"/>
  <c r="W114" i="242"/>
  <c r="W120" i="242"/>
  <c r="W122" i="242"/>
  <c r="W124" i="242"/>
  <c r="W126" i="242"/>
  <c r="W128" i="242"/>
  <c r="W141" i="242"/>
  <c r="W172" i="242"/>
  <c r="W174" i="242"/>
  <c r="W176" i="242"/>
  <c r="W178" i="242"/>
  <c r="W201" i="242"/>
  <c r="W207" i="242"/>
  <c r="W211" i="242"/>
  <c r="W229" i="242"/>
  <c r="W233" i="242"/>
  <c r="W241" i="242"/>
  <c r="W248" i="242"/>
  <c r="W252" i="242"/>
  <c r="W256" i="242"/>
  <c r="W260" i="242"/>
  <c r="W27" i="242"/>
  <c r="W71" i="242"/>
  <c r="W91" i="242"/>
  <c r="W129" i="242"/>
  <c r="W165" i="242"/>
  <c r="W205" i="242"/>
  <c r="W295" i="242"/>
  <c r="W299" i="242"/>
  <c r="W303" i="242"/>
  <c r="W307" i="242"/>
  <c r="W55" i="242"/>
  <c r="W75" i="242"/>
  <c r="W30" i="242"/>
  <c r="W39" i="242"/>
  <c r="W41" i="242"/>
  <c r="W50" i="242"/>
  <c r="W52" i="242"/>
  <c r="W59" i="242"/>
  <c r="W85" i="242"/>
  <c r="W94" i="242"/>
  <c r="W113" i="242"/>
  <c r="W115" i="242"/>
  <c r="W145" i="242"/>
  <c r="W231" i="242"/>
  <c r="W235" i="242"/>
  <c r="W239" i="242"/>
  <c r="W243" i="242"/>
  <c r="W264" i="242"/>
  <c r="W268" i="242"/>
  <c r="W272" i="242"/>
  <c r="W133" i="242"/>
  <c r="W169" i="242"/>
  <c r="W193" i="242"/>
  <c r="W209" i="242"/>
  <c r="W247" i="242"/>
  <c r="W251" i="242"/>
  <c r="W255" i="242"/>
  <c r="W259" i="242"/>
  <c r="W280" i="242"/>
  <c r="W284" i="242"/>
  <c r="W288" i="242"/>
  <c r="W311" i="242"/>
  <c r="W315" i="242"/>
  <c r="W319" i="242"/>
  <c r="W323" i="242"/>
  <c r="W26" i="242"/>
  <c r="W31" i="242"/>
  <c r="W33" i="242"/>
  <c r="W42" i="242"/>
  <c r="W47" i="242"/>
  <c r="W49" i="242"/>
  <c r="W58" i="242"/>
  <c r="W63" i="242"/>
  <c r="W65" i="242"/>
  <c r="W74" i="242"/>
  <c r="W79" i="242"/>
  <c r="W81" i="242"/>
  <c r="W90" i="242"/>
  <c r="W95" i="242"/>
  <c r="W97" i="242"/>
  <c r="W116" i="242"/>
  <c r="W121" i="242"/>
  <c r="W123" i="242"/>
  <c r="W132" i="242"/>
  <c r="W137" i="242"/>
  <c r="W139" i="242"/>
  <c r="W157" i="242"/>
  <c r="W159" i="242"/>
  <c r="W168" i="242"/>
  <c r="W173" i="242"/>
  <c r="W175" i="242"/>
  <c r="W192" i="242"/>
  <c r="W197" i="242"/>
  <c r="W199" i="242"/>
  <c r="W208" i="242"/>
  <c r="W213" i="242"/>
  <c r="W215" i="242"/>
  <c r="W232" i="242"/>
  <c r="W236" i="242"/>
  <c r="W240" i="242"/>
  <c r="W250" i="242"/>
  <c r="W254" i="242"/>
  <c r="W258" i="242"/>
  <c r="W263" i="242"/>
  <c r="W267" i="242"/>
  <c r="W271" i="242"/>
  <c r="W275" i="242"/>
  <c r="W277" i="242"/>
  <c r="W281" i="242"/>
  <c r="W289" i="242"/>
  <c r="W296" i="242"/>
  <c r="W300" i="242"/>
  <c r="W304" i="242"/>
  <c r="W314" i="242"/>
  <c r="W318" i="242"/>
  <c r="W322" i="242"/>
  <c r="W230" i="242"/>
  <c r="W237" i="242"/>
  <c r="W246" i="242"/>
  <c r="W253" i="242"/>
  <c r="W262" i="242"/>
  <c r="W269" i="242"/>
  <c r="W278" i="242"/>
  <c r="W285" i="242"/>
  <c r="W294" i="242"/>
  <c r="W301" i="242"/>
  <c r="W310" i="242"/>
  <c r="W317" i="242"/>
  <c r="W189" i="242"/>
  <c r="W228" i="242"/>
  <c r="R15" i="242" l="1"/>
  <c r="G244" i="4" s="1"/>
  <c r="M1682" i="248" s="1"/>
  <c r="R1682" i="248" s="1"/>
  <c r="R328" i="242"/>
  <c r="R329" i="242" s="1"/>
  <c r="T346" i="89"/>
  <c r="M1703" i="1" l="1"/>
  <c r="R1703" i="1" s="1"/>
  <c r="K233" i="89" l="1"/>
  <c r="W233" i="89" s="1"/>
  <c r="Y233" i="89" s="1"/>
  <c r="Z233" i="89" s="1"/>
  <c r="K232" i="89"/>
  <c r="W232" i="89" s="1"/>
  <c r="Y232" i="89" s="1"/>
  <c r="Z232" i="89" s="1"/>
  <c r="K231" i="89"/>
  <c r="W231" i="89" s="1"/>
  <c r="Y231" i="89" s="1"/>
  <c r="Z231" i="89" s="1"/>
  <c r="K230" i="89"/>
  <c r="W230" i="89" s="1"/>
  <c r="Y230" i="89" s="1"/>
  <c r="Z230" i="89" s="1"/>
  <c r="K229" i="89"/>
  <c r="W229" i="89" s="1"/>
  <c r="Y229" i="89" s="1"/>
  <c r="Z229" i="89" s="1"/>
  <c r="K228" i="89"/>
  <c r="W228" i="89" s="1"/>
  <c r="Y228" i="89" s="1"/>
  <c r="Z228" i="89" s="1"/>
  <c r="K227" i="89"/>
  <c r="W227" i="89" s="1"/>
  <c r="Y227" i="89" s="1"/>
  <c r="Z227" i="89" s="1"/>
  <c r="K226" i="89"/>
  <c r="W226" i="89" s="1"/>
  <c r="Y226" i="89" s="1"/>
  <c r="Z226" i="89" s="1"/>
  <c r="K225" i="89"/>
  <c r="W225" i="89" s="1"/>
  <c r="Y225" i="89" s="1"/>
  <c r="Z225" i="89" s="1"/>
  <c r="K224" i="89"/>
  <c r="W224" i="89" s="1"/>
  <c r="Y224" i="89" s="1"/>
  <c r="Z224" i="89" s="1"/>
  <c r="K223" i="89"/>
  <c r="W223" i="89" s="1"/>
  <c r="Y223" i="89" s="1"/>
  <c r="Z223" i="89" s="1"/>
  <c r="K222" i="89"/>
  <c r="W222" i="89" s="1"/>
  <c r="Y222" i="89" s="1"/>
  <c r="Z222" i="89" s="1"/>
  <c r="K221" i="89"/>
  <c r="W221" i="89" s="1"/>
  <c r="Y221" i="89" s="1"/>
  <c r="Z221" i="89" s="1"/>
  <c r="K220" i="89"/>
  <c r="W220" i="89" s="1"/>
  <c r="Y220" i="89" s="1"/>
  <c r="Z220" i="89" s="1"/>
  <c r="K219" i="89"/>
  <c r="W219" i="89" s="1"/>
  <c r="Y219" i="89" s="1"/>
  <c r="Z219" i="89" s="1"/>
  <c r="K218" i="89"/>
  <c r="W218" i="89" s="1"/>
  <c r="Y218" i="89" s="1"/>
  <c r="Z218" i="89" s="1"/>
  <c r="K217" i="89"/>
  <c r="W217" i="89" s="1"/>
  <c r="Y217" i="89" s="1"/>
  <c r="Z217" i="89" s="1"/>
  <c r="K216" i="89"/>
  <c r="W216" i="89" s="1"/>
  <c r="Y216" i="89" s="1"/>
  <c r="Z216" i="89" s="1"/>
  <c r="K215" i="89"/>
  <c r="W215" i="89" s="1"/>
  <c r="Y215" i="89" s="1"/>
  <c r="Z215" i="89" s="1"/>
  <c r="K214" i="89"/>
  <c r="W214" i="89" s="1"/>
  <c r="Y214" i="89" s="1"/>
  <c r="Z214" i="89" s="1"/>
  <c r="K213" i="89"/>
  <c r="W213" i="89" s="1"/>
  <c r="Y213" i="89" s="1"/>
  <c r="Z213" i="89" s="1"/>
  <c r="K212" i="89"/>
  <c r="W212" i="89" s="1"/>
  <c r="Y212" i="89" s="1"/>
  <c r="Z212" i="89" s="1"/>
  <c r="K211" i="89"/>
  <c r="W211" i="89" s="1"/>
  <c r="Y211" i="89" s="1"/>
  <c r="Z211" i="89" s="1"/>
  <c r="K210" i="89"/>
  <c r="W210" i="89" s="1"/>
  <c r="Y210" i="89" s="1"/>
  <c r="Z210" i="89" s="1"/>
  <c r="K209" i="89"/>
  <c r="W209" i="89" s="1"/>
  <c r="Y209" i="89" s="1"/>
  <c r="Z209" i="89" s="1"/>
  <c r="K208" i="89"/>
  <c r="W208" i="89" s="1"/>
  <c r="Y208" i="89" s="1"/>
  <c r="Z208" i="89" s="1"/>
  <c r="K207" i="89"/>
  <c r="W207" i="89" s="1"/>
  <c r="Y207" i="89" s="1"/>
  <c r="Z207" i="89" s="1"/>
  <c r="K206" i="89"/>
  <c r="K195" i="89"/>
  <c r="W195" i="89" s="1"/>
  <c r="Y195" i="89" s="1"/>
  <c r="Z195" i="89" s="1"/>
  <c r="K194" i="89"/>
  <c r="W194" i="89" s="1"/>
  <c r="Y194" i="89" s="1"/>
  <c r="Z194" i="89" s="1"/>
  <c r="K193" i="89"/>
  <c r="W193" i="89" s="1"/>
  <c r="Y193" i="89" s="1"/>
  <c r="Z193" i="89" s="1"/>
  <c r="K192" i="89"/>
  <c r="W192" i="89" s="1"/>
  <c r="Y192" i="89" s="1"/>
  <c r="Z192" i="89" s="1"/>
  <c r="K191" i="89"/>
  <c r="W191" i="89" s="1"/>
  <c r="Y191" i="89" s="1"/>
  <c r="Z191" i="89" s="1"/>
  <c r="K190" i="89"/>
  <c r="W190" i="89" s="1"/>
  <c r="Y190" i="89" s="1"/>
  <c r="Z190" i="89" s="1"/>
  <c r="K189" i="89"/>
  <c r="W189" i="89" s="1"/>
  <c r="Y189" i="89" s="1"/>
  <c r="Z189" i="89" s="1"/>
  <c r="K188" i="89"/>
  <c r="W188" i="89" s="1"/>
  <c r="Y188" i="89" s="1"/>
  <c r="Z188" i="89" s="1"/>
  <c r="K187" i="89"/>
  <c r="W187" i="89" s="1"/>
  <c r="Y187" i="89" s="1"/>
  <c r="Z187" i="89" s="1"/>
  <c r="K186" i="89"/>
  <c r="W186" i="89" s="1"/>
  <c r="Y186" i="89" s="1"/>
  <c r="Z186" i="89" s="1"/>
  <c r="K185" i="89"/>
  <c r="W185" i="89" s="1"/>
  <c r="Y185" i="89" s="1"/>
  <c r="Z185" i="89" s="1"/>
  <c r="K184" i="89"/>
  <c r="W184" i="89" s="1"/>
  <c r="Y184" i="89" s="1"/>
  <c r="Z184" i="89" s="1"/>
  <c r="K183" i="89"/>
  <c r="W183" i="89" s="1"/>
  <c r="Y183" i="89" s="1"/>
  <c r="Z183" i="89" s="1"/>
  <c r="K182" i="89"/>
  <c r="W182" i="89" s="1"/>
  <c r="Y182" i="89" s="1"/>
  <c r="Z182" i="89" s="1"/>
  <c r="K181" i="89"/>
  <c r="W181" i="89" s="1"/>
  <c r="Y181" i="89" s="1"/>
  <c r="Z181" i="89" s="1"/>
  <c r="K180" i="89"/>
  <c r="W180" i="89" s="1"/>
  <c r="Y180" i="89" s="1"/>
  <c r="Z180" i="89" s="1"/>
  <c r="K179" i="89"/>
  <c r="W179" i="89" s="1"/>
  <c r="Y179" i="89" s="1"/>
  <c r="Z179" i="89" s="1"/>
  <c r="K178" i="89"/>
  <c r="W178" i="89" s="1"/>
  <c r="Y178" i="89" s="1"/>
  <c r="Z178" i="89" s="1"/>
  <c r="K177" i="89"/>
  <c r="W177" i="89" s="1"/>
  <c r="Y177" i="89" s="1"/>
  <c r="Z177" i="89" s="1"/>
  <c r="K176" i="89"/>
  <c r="K175" i="89"/>
  <c r="W175" i="89" s="1"/>
  <c r="Y175" i="89" s="1"/>
  <c r="Z175" i="89" s="1"/>
  <c r="K174" i="89"/>
  <c r="W174" i="89" s="1"/>
  <c r="Y174" i="89" s="1"/>
  <c r="Z174" i="89" s="1"/>
  <c r="K161" i="89"/>
  <c r="W161" i="89" s="1"/>
  <c r="Y161" i="89" s="1"/>
  <c r="Z161" i="89" s="1"/>
  <c r="K160" i="89"/>
  <c r="W160" i="89" s="1"/>
  <c r="Y160" i="89" s="1"/>
  <c r="Z160" i="89" s="1"/>
  <c r="K159" i="89"/>
  <c r="W159" i="89" s="1"/>
  <c r="Y159" i="89" s="1"/>
  <c r="Z159" i="89" s="1"/>
  <c r="K158" i="89"/>
  <c r="W158" i="89" s="1"/>
  <c r="Y158" i="89" s="1"/>
  <c r="Z158" i="89" s="1"/>
  <c r="K157" i="89"/>
  <c r="W157" i="89" s="1"/>
  <c r="Y157" i="89" s="1"/>
  <c r="Z157" i="89" s="1"/>
  <c r="K156" i="89"/>
  <c r="W156" i="89" s="1"/>
  <c r="Y156" i="89" s="1"/>
  <c r="Z156" i="89" s="1"/>
  <c r="K155" i="89"/>
  <c r="W155" i="89" s="1"/>
  <c r="Y155" i="89" s="1"/>
  <c r="Z155" i="89" s="1"/>
  <c r="K154" i="89"/>
  <c r="W154" i="89" s="1"/>
  <c r="Y154" i="89" s="1"/>
  <c r="Z154" i="89" s="1"/>
  <c r="K153" i="89"/>
  <c r="W153" i="89" s="1"/>
  <c r="Y153" i="89" s="1"/>
  <c r="Z153" i="89" s="1"/>
  <c r="K152" i="89"/>
  <c r="W152" i="89" s="1"/>
  <c r="Y152" i="89" s="1"/>
  <c r="Z152" i="89" s="1"/>
  <c r="K151" i="89"/>
  <c r="W151" i="89" s="1"/>
  <c r="Y151" i="89" s="1"/>
  <c r="Z151" i="89" s="1"/>
  <c r="K150" i="89"/>
  <c r="W150" i="89" s="1"/>
  <c r="Y150" i="89" s="1"/>
  <c r="Z150" i="89" s="1"/>
  <c r="K149" i="89"/>
  <c r="W149" i="89" s="1"/>
  <c r="Y149" i="89" s="1"/>
  <c r="Z149" i="89" s="1"/>
  <c r="K148" i="89"/>
  <c r="W148" i="89" s="1"/>
  <c r="Y148" i="89" s="1"/>
  <c r="Z148" i="89" s="1"/>
  <c r="K147" i="89"/>
  <c r="W147" i="89" s="1"/>
  <c r="Y147" i="89" s="1"/>
  <c r="Z147" i="89" s="1"/>
  <c r="K146" i="89"/>
  <c r="W146" i="89" s="1"/>
  <c r="Y146" i="89" s="1"/>
  <c r="Z146" i="89" s="1"/>
  <c r="V342" i="89"/>
  <c r="U342" i="89"/>
  <c r="S342" i="89"/>
  <c r="Q342" i="89"/>
  <c r="P342" i="89"/>
  <c r="P227" i="242" s="1"/>
  <c r="P325" i="242" s="1"/>
  <c r="O342" i="89"/>
  <c r="O227" i="242" s="1"/>
  <c r="O325" i="242" s="1"/>
  <c r="O14" i="242" s="1"/>
  <c r="N342" i="89"/>
  <c r="N227" i="242" s="1"/>
  <c r="N325" i="242" s="1"/>
  <c r="L342" i="89"/>
  <c r="L227" i="242" s="1"/>
  <c r="L325" i="242" s="1"/>
  <c r="J342" i="89"/>
  <c r="J227" i="242" s="1"/>
  <c r="V237" i="89"/>
  <c r="U237" i="89"/>
  <c r="S237" i="89"/>
  <c r="Q237" i="89"/>
  <c r="P237" i="89"/>
  <c r="P188" i="242" s="1"/>
  <c r="P220" i="242" s="1"/>
  <c r="O237" i="89"/>
  <c r="O188" i="242" s="1"/>
  <c r="O220" i="242" s="1"/>
  <c r="O13" i="242" s="1"/>
  <c r="N237" i="89"/>
  <c r="N188" i="242" s="1"/>
  <c r="N220" i="242" s="1"/>
  <c r="L237" i="89"/>
  <c r="L188" i="242" s="1"/>
  <c r="L220" i="242" s="1"/>
  <c r="J237" i="89"/>
  <c r="J188" i="242" s="1"/>
  <c r="V198" i="89"/>
  <c r="U198" i="89"/>
  <c r="S198" i="89"/>
  <c r="Q198" i="89"/>
  <c r="P198" i="89"/>
  <c r="P154" i="242" s="1"/>
  <c r="P181" i="242" s="1"/>
  <c r="O198" i="89"/>
  <c r="O154" i="242" s="1"/>
  <c r="O181" i="242" s="1"/>
  <c r="O12" i="242" s="1"/>
  <c r="N198" i="89"/>
  <c r="N154" i="242" s="1"/>
  <c r="N181" i="242" s="1"/>
  <c r="L198" i="89"/>
  <c r="L154" i="242" s="1"/>
  <c r="L181" i="242" s="1"/>
  <c r="J198" i="89"/>
  <c r="J154" i="242" s="1"/>
  <c r="J181" i="242" s="1"/>
  <c r="J12" i="242" s="1"/>
  <c r="I198" i="89"/>
  <c r="I154" i="242" s="1"/>
  <c r="V164" i="89"/>
  <c r="U164" i="89"/>
  <c r="S164" i="89"/>
  <c r="Q164" i="89"/>
  <c r="P164" i="89"/>
  <c r="P110" i="242" s="1"/>
  <c r="P147" i="242" s="1"/>
  <c r="O164" i="89"/>
  <c r="O110" i="242" s="1"/>
  <c r="O147" i="242" s="1"/>
  <c r="N164" i="89"/>
  <c r="N110" i="242" s="1"/>
  <c r="N147" i="242" s="1"/>
  <c r="L164" i="89"/>
  <c r="L110" i="242" s="1"/>
  <c r="L147" i="242" s="1"/>
  <c r="J164" i="89"/>
  <c r="J110" i="242" s="1"/>
  <c r="J147" i="242" s="1"/>
  <c r="J11" i="242" s="1"/>
  <c r="V121" i="89"/>
  <c r="U121" i="89"/>
  <c r="S23" i="242" s="1"/>
  <c r="P121" i="89"/>
  <c r="N121" i="89"/>
  <c r="L121" i="89"/>
  <c r="L104" i="242" s="1"/>
  <c r="J121" i="89"/>
  <c r="J23" i="242" s="1"/>
  <c r="I121" i="89"/>
  <c r="I23" i="242" s="1"/>
  <c r="U33" i="89"/>
  <c r="S33" i="89"/>
  <c r="Q2696" i="1"/>
  <c r="Q2536" i="1"/>
  <c r="Q2376" i="1"/>
  <c r="Q2216" i="1"/>
  <c r="Q2056" i="1"/>
  <c r="Q1896" i="1"/>
  <c r="P23" i="242" l="1"/>
  <c r="P104" i="242" s="1"/>
  <c r="N23" i="242"/>
  <c r="U23" i="242" s="1"/>
  <c r="U104" i="242" s="1"/>
  <c r="K23" i="242"/>
  <c r="K104" i="242" s="1"/>
  <c r="P14" i="242"/>
  <c r="P326" i="242"/>
  <c r="L14" i="242"/>
  <c r="L326" i="242"/>
  <c r="N14" i="242"/>
  <c r="N326" i="242"/>
  <c r="U11" i="89"/>
  <c r="S104" i="242"/>
  <c r="S10" i="242" s="1"/>
  <c r="P12" i="242"/>
  <c r="P182" i="242"/>
  <c r="U14" i="89"/>
  <c r="S188" i="242"/>
  <c r="S220" i="242" s="1"/>
  <c r="S13" i="242" s="1"/>
  <c r="S15" i="89"/>
  <c r="Q227" i="242"/>
  <c r="Q325" i="242" s="1"/>
  <c r="Q14" i="242" s="1"/>
  <c r="N13" i="242"/>
  <c r="N221" i="242"/>
  <c r="L12" i="242"/>
  <c r="L182" i="242"/>
  <c r="P13" i="242"/>
  <c r="P221" i="242"/>
  <c r="U15" i="89"/>
  <c r="S227" i="242"/>
  <c r="S325" i="242" s="1"/>
  <c r="S14" i="242" s="1"/>
  <c r="L11" i="242"/>
  <c r="L148" i="242"/>
  <c r="U13" i="89"/>
  <c r="S154" i="242"/>
  <c r="S181" i="242" s="1"/>
  <c r="S12" i="242" s="1"/>
  <c r="S14" i="89"/>
  <c r="Q188" i="242"/>
  <c r="Q220" i="242" s="1"/>
  <c r="Q13" i="242" s="1"/>
  <c r="N12" i="242"/>
  <c r="N182" i="242"/>
  <c r="S13" i="89"/>
  <c r="Q154" i="242"/>
  <c r="Q181" i="242" s="1"/>
  <c r="Q12" i="242" s="1"/>
  <c r="L221" i="242"/>
  <c r="L13" i="242"/>
  <c r="J325" i="242"/>
  <c r="J14" i="242" s="1"/>
  <c r="J220" i="242"/>
  <c r="J13" i="242" s="1"/>
  <c r="I181" i="242"/>
  <c r="K154" i="242"/>
  <c r="U154" i="242"/>
  <c r="O11" i="242"/>
  <c r="U12" i="89"/>
  <c r="S110" i="242"/>
  <c r="S147" i="242" s="1"/>
  <c r="P11" i="242"/>
  <c r="P148" i="242"/>
  <c r="N11" i="242"/>
  <c r="N148" i="242"/>
  <c r="S12" i="89"/>
  <c r="Q110" i="242"/>
  <c r="Q147" i="242" s="1"/>
  <c r="L10" i="242"/>
  <c r="L105" i="242"/>
  <c r="L328" i="242"/>
  <c r="J104" i="242"/>
  <c r="I104" i="242"/>
  <c r="W206" i="89"/>
  <c r="Y206" i="89" s="1"/>
  <c r="Z206" i="89" s="1"/>
  <c r="W176" i="89"/>
  <c r="Y176" i="89" s="1"/>
  <c r="Z176" i="89" s="1"/>
  <c r="U345" i="89"/>
  <c r="N104" i="242" l="1"/>
  <c r="P10" i="242"/>
  <c r="P105" i="242"/>
  <c r="P328" i="242"/>
  <c r="U16" i="89"/>
  <c r="U346" i="89" s="1"/>
  <c r="L15" i="242"/>
  <c r="P15" i="242"/>
  <c r="J328" i="242"/>
  <c r="U181" i="242"/>
  <c r="U12" i="242" s="1"/>
  <c r="K181" i="242"/>
  <c r="K12" i="242" s="1"/>
  <c r="I12" i="242"/>
  <c r="I182" i="242"/>
  <c r="Q11" i="242"/>
  <c r="S11" i="242"/>
  <c r="S15" i="242" s="1"/>
  <c r="G249" i="4" s="1"/>
  <c r="O1733" i="248" s="1"/>
  <c r="S328" i="242"/>
  <c r="I105" i="242"/>
  <c r="J10" i="242"/>
  <c r="J15" i="242" s="1"/>
  <c r="K10" i="242"/>
  <c r="I10" i="242"/>
  <c r="U10" i="242"/>
  <c r="N10" i="242" l="1"/>
  <c r="N15" i="242" s="1"/>
  <c r="N105" i="242"/>
  <c r="N328" i="242"/>
  <c r="W1733" i="248"/>
  <c r="P329" i="242"/>
  <c r="L329" i="242"/>
  <c r="J329" i="242"/>
  <c r="O1754" i="1"/>
  <c r="H249" i="4"/>
  <c r="O1739" i="248" s="1"/>
  <c r="R1744" i="248" s="1"/>
  <c r="S329" i="242"/>
  <c r="O1762" i="1"/>
  <c r="M202" i="1"/>
  <c r="N329" i="242" l="1"/>
  <c r="R1738" i="248"/>
  <c r="R1734" i="248"/>
  <c r="R1736" i="248"/>
  <c r="R1735" i="248"/>
  <c r="R1737" i="248"/>
  <c r="R1776" i="248"/>
  <c r="R1760" i="248"/>
  <c r="R1745" i="248"/>
  <c r="R1728" i="248"/>
  <c r="R1781" i="248"/>
  <c r="R1765" i="248"/>
  <c r="R1749" i="248"/>
  <c r="R1721" i="248"/>
  <c r="R87" i="248" s="1"/>
  <c r="R1758" i="248"/>
  <c r="R1783" i="248"/>
  <c r="R1751" i="248"/>
  <c r="R1786" i="248"/>
  <c r="R1724" i="248"/>
  <c r="R1787" i="248"/>
  <c r="R1747" i="248"/>
  <c r="R1762" i="248"/>
  <c r="R1788" i="248"/>
  <c r="R1772" i="248"/>
  <c r="R1756" i="248"/>
  <c r="R1743" i="248"/>
  <c r="R1725" i="248"/>
  <c r="R1777" i="248"/>
  <c r="R1761" i="248"/>
  <c r="R1746" i="248"/>
  <c r="R1782" i="248"/>
  <c r="R1750" i="248"/>
  <c r="R1775" i="248"/>
  <c r="R1733" i="248"/>
  <c r="R1770" i="248"/>
  <c r="R1779" i="248"/>
  <c r="R1771" i="248"/>
  <c r="R1778" i="248"/>
  <c r="R1784" i="248"/>
  <c r="R1768" i="248"/>
  <c r="R1752" i="248"/>
  <c r="R1740" i="248"/>
  <c r="R1722" i="248"/>
  <c r="R1773" i="248"/>
  <c r="R1757" i="248"/>
  <c r="R1774" i="248"/>
  <c r="R1739" i="248"/>
  <c r="R1767" i="248"/>
  <c r="R1727" i="248"/>
  <c r="R1754" i="248"/>
  <c r="R1763" i="248"/>
  <c r="R1755" i="248"/>
  <c r="R1730" i="248"/>
  <c r="R1780" i="248"/>
  <c r="R1764" i="248"/>
  <c r="R1748" i="248"/>
  <c r="R1732" i="248"/>
  <c r="R1785" i="248"/>
  <c r="R1769" i="248"/>
  <c r="R1753" i="248"/>
  <c r="R1729" i="248"/>
  <c r="R1766" i="248"/>
  <c r="R1726" i="248"/>
  <c r="R1759" i="248"/>
  <c r="R1723" i="248"/>
  <c r="R1741" i="248"/>
  <c r="R1731" i="248"/>
  <c r="R1742" i="248"/>
  <c r="M238" i="136"/>
  <c r="G238" i="136" s="1"/>
  <c r="I238" i="136" s="1"/>
  <c r="F238" i="5" s="1"/>
  <c r="K238" i="136"/>
  <c r="M237" i="136"/>
  <c r="G237" i="136" s="1"/>
  <c r="I237" i="136" s="1"/>
  <c r="F237" i="5" s="1"/>
  <c r="K237" i="136"/>
  <c r="M236" i="136"/>
  <c r="G236" i="136" s="1"/>
  <c r="K236" i="136"/>
  <c r="M235" i="136"/>
  <c r="G235" i="136" s="1"/>
  <c r="I235" i="136" s="1"/>
  <c r="K235" i="136"/>
  <c r="M238" i="190"/>
  <c r="G238" i="190" s="1"/>
  <c r="I238" i="190" s="1"/>
  <c r="G238" i="5" s="1"/>
  <c r="K238" i="190"/>
  <c r="M237" i="190"/>
  <c r="G237" i="190" s="1"/>
  <c r="I237" i="190" s="1"/>
  <c r="G237" i="5" s="1"/>
  <c r="K237" i="190"/>
  <c r="M236" i="190"/>
  <c r="G236" i="190" s="1"/>
  <c r="K236" i="190"/>
  <c r="M235" i="190"/>
  <c r="G235" i="190" s="1"/>
  <c r="I235" i="190" s="1"/>
  <c r="K235" i="190"/>
  <c r="M238" i="192"/>
  <c r="G238" i="192" s="1"/>
  <c r="I238" i="192" s="1"/>
  <c r="H238" i="5" s="1"/>
  <c r="K238" i="192"/>
  <c r="M237" i="192"/>
  <c r="G237" i="192" s="1"/>
  <c r="I237" i="192" s="1"/>
  <c r="H237" i="5" s="1"/>
  <c r="K237" i="192"/>
  <c r="M236" i="192"/>
  <c r="G236" i="192" s="1"/>
  <c r="K236" i="192"/>
  <c r="M235" i="192"/>
  <c r="G235" i="192" s="1"/>
  <c r="I235" i="192" s="1"/>
  <c r="K235" i="192"/>
  <c r="P238" i="5"/>
  <c r="P237" i="5"/>
  <c r="P236" i="5"/>
  <c r="J236" i="5" s="1"/>
  <c r="P235" i="5"/>
  <c r="J235" i="5" s="1"/>
  <c r="L235" i="5" s="1"/>
  <c r="I33" i="89"/>
  <c r="I10" i="89" s="1"/>
  <c r="M16" i="89"/>
  <c r="K31" i="89"/>
  <c r="X31" i="89" s="1"/>
  <c r="Z31" i="89" s="1"/>
  <c r="K30" i="89"/>
  <c r="X30" i="89" s="1"/>
  <c r="Z30" i="89" s="1"/>
  <c r="K29" i="89"/>
  <c r="X29" i="89" s="1"/>
  <c r="Z29" i="89" s="1"/>
  <c r="K28" i="89"/>
  <c r="X28" i="89" s="1"/>
  <c r="Z28" i="89" s="1"/>
  <c r="K27" i="89"/>
  <c r="X27" i="89" s="1"/>
  <c r="Z27" i="89" s="1"/>
  <c r="K26" i="89"/>
  <c r="X26" i="89" s="1"/>
  <c r="Z26" i="89" s="1"/>
  <c r="Y33" i="89"/>
  <c r="Y10" i="89" s="1"/>
  <c r="W33" i="89"/>
  <c r="W10" i="89" s="1"/>
  <c r="V33" i="89"/>
  <c r="Q33" i="89"/>
  <c r="P33" i="89"/>
  <c r="O33" i="89"/>
  <c r="N33" i="89"/>
  <c r="M33" i="89"/>
  <c r="L33" i="89"/>
  <c r="J33" i="89"/>
  <c r="G17" i="240"/>
  <c r="H17" i="240"/>
  <c r="H31" i="240"/>
  <c r="G31" i="240"/>
  <c r="F236" i="190" l="1"/>
  <c r="I236" i="190" s="1"/>
  <c r="F236" i="136"/>
  <c r="I236" i="136" s="1"/>
  <c r="F236" i="192"/>
  <c r="I236" i="192" s="1"/>
  <c r="I236" i="5"/>
  <c r="L236" i="5" s="1"/>
  <c r="N10" i="89"/>
  <c r="N345" i="89"/>
  <c r="V10" i="89"/>
  <c r="V345" i="89"/>
  <c r="L10" i="89"/>
  <c r="L345" i="89"/>
  <c r="P10" i="89"/>
  <c r="P345" i="89"/>
  <c r="Q10" i="89"/>
  <c r="J10" i="89"/>
  <c r="J345" i="89"/>
  <c r="O10" i="89"/>
  <c r="Z33" i="89"/>
  <c r="Z10" i="89" s="1"/>
  <c r="K33" i="89"/>
  <c r="K10" i="89" s="1"/>
  <c r="X33" i="89"/>
  <c r="X10" i="89" s="1"/>
  <c r="AA10" i="89" l="1"/>
  <c r="AC10" i="89"/>
  <c r="O805" i="248"/>
  <c r="G6" i="240"/>
  <c r="E3" i="240"/>
  <c r="C2" i="240"/>
  <c r="R805" i="248" l="1"/>
  <c r="S805" i="248"/>
  <c r="M807" i="1"/>
  <c r="C102" i="192"/>
  <c r="C101" i="192"/>
  <c r="C100" i="192"/>
  <c r="C99" i="192"/>
  <c r="C98" i="192"/>
  <c r="C102" i="190"/>
  <c r="C101" i="190"/>
  <c r="C100" i="190"/>
  <c r="C99" i="190"/>
  <c r="C98" i="190"/>
  <c r="C102" i="136"/>
  <c r="C101" i="136"/>
  <c r="C100" i="136"/>
  <c r="C99" i="136"/>
  <c r="C98" i="136"/>
  <c r="C102" i="5"/>
  <c r="D691" i="248" s="1"/>
  <c r="C101" i="5"/>
  <c r="D690" i="248" s="1"/>
  <c r="C100" i="5"/>
  <c r="D689" i="248" s="1"/>
  <c r="C99" i="5"/>
  <c r="D688" i="248" s="1"/>
  <c r="C98" i="5"/>
  <c r="D687" i="248" s="1"/>
  <c r="P2" i="5"/>
  <c r="R807" i="1" l="1"/>
  <c r="S807" i="1"/>
  <c r="V807" i="1"/>
  <c r="D2613" i="1"/>
  <c r="D2614" i="1"/>
  <c r="D2617" i="1"/>
  <c r="D2700" i="1" s="1"/>
  <c r="O2620" i="1"/>
  <c r="D2631" i="1"/>
  <c r="D2632" i="1"/>
  <c r="D2633" i="1"/>
  <c r="D2634" i="1"/>
  <c r="D2635" i="1"/>
  <c r="D2646" i="1"/>
  <c r="D2647" i="1"/>
  <c r="D2648" i="1"/>
  <c r="D2649" i="1"/>
  <c r="D2676" i="1"/>
  <c r="D2677" i="1"/>
  <c r="D2678" i="1"/>
  <c r="D2679" i="1"/>
  <c r="D2680" i="1"/>
  <c r="D2681" i="1"/>
  <c r="D2682" i="1"/>
  <c r="D2683" i="1"/>
  <c r="D2684" i="1"/>
  <c r="D2685" i="1"/>
  <c r="D2696" i="1"/>
  <c r="D2697" i="1"/>
  <c r="O2703" i="1"/>
  <c r="D2732" i="1"/>
  <c r="D2733" i="1"/>
  <c r="D2734" i="1"/>
  <c r="D2735" i="1"/>
  <c r="D2736" i="1"/>
  <c r="D2737" i="1"/>
  <c r="D2738" i="1"/>
  <c r="D2739" i="1"/>
  <c r="D2740" i="1"/>
  <c r="D2741" i="1"/>
  <c r="D2453" i="1"/>
  <c r="D2454" i="1"/>
  <c r="D2457" i="1"/>
  <c r="D2540" i="1" s="1"/>
  <c r="M2460" i="1"/>
  <c r="D2471" i="1"/>
  <c r="D2472" i="1"/>
  <c r="D2473" i="1"/>
  <c r="D2474" i="1"/>
  <c r="D2475" i="1"/>
  <c r="D2486" i="1"/>
  <c r="D2487" i="1"/>
  <c r="D2488" i="1"/>
  <c r="D2489" i="1"/>
  <c r="D2516" i="1"/>
  <c r="D2517" i="1"/>
  <c r="D2518" i="1"/>
  <c r="D2519" i="1"/>
  <c r="D2520" i="1"/>
  <c r="D2521" i="1"/>
  <c r="D2522" i="1"/>
  <c r="D2523" i="1"/>
  <c r="D2524" i="1"/>
  <c r="D2525" i="1"/>
  <c r="D2536" i="1"/>
  <c r="D2537" i="1"/>
  <c r="M2543" i="1"/>
  <c r="D2572" i="1"/>
  <c r="D2573" i="1"/>
  <c r="D2574" i="1"/>
  <c r="D2575" i="1"/>
  <c r="D2576" i="1"/>
  <c r="D2577" i="1"/>
  <c r="D2578" i="1"/>
  <c r="D2579" i="1"/>
  <c r="D2580" i="1"/>
  <c r="D2581" i="1"/>
  <c r="K6" i="190"/>
  <c r="K7" i="190"/>
  <c r="K8" i="190"/>
  <c r="K9" i="190"/>
  <c r="K10" i="190"/>
  <c r="K11" i="190"/>
  <c r="K12" i="190"/>
  <c r="K13" i="190"/>
  <c r="K14" i="190"/>
  <c r="O2150" i="1" s="1"/>
  <c r="K15" i="190"/>
  <c r="O2151" i="1" s="1"/>
  <c r="K16" i="190"/>
  <c r="O2152" i="1" s="1"/>
  <c r="K17" i="190"/>
  <c r="O2153" i="1" s="1"/>
  <c r="K18" i="190"/>
  <c r="O2154" i="1" s="1"/>
  <c r="K19" i="190"/>
  <c r="O2155" i="1" s="1"/>
  <c r="K20" i="190"/>
  <c r="K21" i="190"/>
  <c r="K22" i="190"/>
  <c r="K23" i="190"/>
  <c r="K24" i="190"/>
  <c r="K25" i="190"/>
  <c r="O2165" i="1" s="1"/>
  <c r="K26" i="190"/>
  <c r="O2166" i="1" s="1"/>
  <c r="K27" i="190"/>
  <c r="O2167" i="1" s="1"/>
  <c r="K28" i="190"/>
  <c r="O2168" i="1" s="1"/>
  <c r="K29" i="190"/>
  <c r="O2169" i="1" s="1"/>
  <c r="K31" i="190"/>
  <c r="K32" i="190"/>
  <c r="K33" i="190"/>
  <c r="K34" i="190"/>
  <c r="K35" i="190"/>
  <c r="K36" i="190"/>
  <c r="K37" i="190"/>
  <c r="O2179" i="1" s="1"/>
  <c r="K38" i="190"/>
  <c r="O2180" i="1" s="1"/>
  <c r="K39" i="190"/>
  <c r="O2181" i="1" s="1"/>
  <c r="K40" i="190"/>
  <c r="K41" i="190"/>
  <c r="K42" i="190"/>
  <c r="K43" i="190"/>
  <c r="K44" i="190"/>
  <c r="O2183" i="1" s="1"/>
  <c r="K45" i="190"/>
  <c r="O2184" i="1" s="1"/>
  <c r="K46" i="190"/>
  <c r="O2185" i="1" s="1"/>
  <c r="K47" i="190"/>
  <c r="O2186" i="1" s="1"/>
  <c r="K48" i="190"/>
  <c r="K49" i="190"/>
  <c r="K50" i="190"/>
  <c r="O2188" i="1" s="1"/>
  <c r="K51" i="190"/>
  <c r="K52" i="190"/>
  <c r="K53" i="190"/>
  <c r="K54" i="190"/>
  <c r="K55" i="190"/>
  <c r="K56" i="190"/>
  <c r="K57" i="190"/>
  <c r="K58" i="190"/>
  <c r="K59" i="190"/>
  <c r="K60" i="190"/>
  <c r="K61" i="190"/>
  <c r="O2191" i="1" s="1"/>
  <c r="K62" i="190"/>
  <c r="K63" i="190"/>
  <c r="K64" i="190"/>
  <c r="K65" i="190"/>
  <c r="K66" i="190"/>
  <c r="K67" i="190"/>
  <c r="O2194" i="1" s="1"/>
  <c r="K68" i="190"/>
  <c r="O2195" i="1" s="1"/>
  <c r="K69" i="190"/>
  <c r="O2196" i="1" s="1"/>
  <c r="K70" i="190"/>
  <c r="O2197" i="1" s="1"/>
  <c r="K71" i="190"/>
  <c r="O2198" i="1" s="1"/>
  <c r="K72" i="190"/>
  <c r="O2199" i="1" s="1"/>
  <c r="K73" i="190"/>
  <c r="O2200" i="1" s="1"/>
  <c r="K74" i="190"/>
  <c r="O2201" i="1" s="1"/>
  <c r="K75" i="190"/>
  <c r="O2202" i="1" s="1"/>
  <c r="K76" i="190"/>
  <c r="O2203" i="1" s="1"/>
  <c r="K77" i="190"/>
  <c r="O2204" i="1" s="1"/>
  <c r="K78" i="190"/>
  <c r="O2205" i="1" s="1"/>
  <c r="K79" i="190"/>
  <c r="K80" i="190"/>
  <c r="O2274" i="1" s="1"/>
  <c r="K81" i="190"/>
  <c r="K82" i="190"/>
  <c r="O2271" i="1" s="1"/>
  <c r="K83" i="190"/>
  <c r="O2272" i="1" s="1"/>
  <c r="K84" i="190"/>
  <c r="K85" i="190"/>
  <c r="K86" i="190"/>
  <c r="K87" i="190"/>
  <c r="K88" i="190"/>
  <c r="K89" i="190"/>
  <c r="O2233" i="1" s="1"/>
  <c r="K90" i="190"/>
  <c r="O2232" i="1" s="1"/>
  <c r="K91" i="190"/>
  <c r="O2234" i="1" s="1"/>
  <c r="K92" i="190"/>
  <c r="O2235" i="1" s="1"/>
  <c r="K93" i="190"/>
  <c r="O2236" i="1" s="1"/>
  <c r="K94" i="190"/>
  <c r="K95" i="190"/>
  <c r="K96" i="190"/>
  <c r="K97" i="190"/>
  <c r="K98" i="190"/>
  <c r="K99" i="190"/>
  <c r="K100" i="190"/>
  <c r="K101" i="190"/>
  <c r="K102" i="190"/>
  <c r="K103" i="190"/>
  <c r="O2238" i="1" s="1"/>
  <c r="K104" i="190"/>
  <c r="O2239" i="1" s="1"/>
  <c r="K105" i="190"/>
  <c r="O2240" i="1" s="1"/>
  <c r="K106" i="190"/>
  <c r="O2241" i="1" s="1"/>
  <c r="K107" i="190"/>
  <c r="K108" i="190"/>
  <c r="K109" i="190"/>
  <c r="O2245" i="1" s="1"/>
  <c r="K110" i="190"/>
  <c r="O2246" i="1" s="1"/>
  <c r="K111" i="190"/>
  <c r="K112" i="190"/>
  <c r="K113" i="190"/>
  <c r="O2248" i="1" s="1"/>
  <c r="K114" i="190"/>
  <c r="O2249" i="1" s="1"/>
  <c r="K115" i="190"/>
  <c r="O2250" i="1" s="1"/>
  <c r="K116" i="190"/>
  <c r="O2252" i="1" s="1"/>
  <c r="K117" i="190"/>
  <c r="O2253" i="1" s="1"/>
  <c r="K118" i="190"/>
  <c r="O2254" i="1" s="1"/>
  <c r="K119" i="190"/>
  <c r="O2255" i="1" s="1"/>
  <c r="K120" i="190"/>
  <c r="O2256" i="1" s="1"/>
  <c r="K121" i="190"/>
  <c r="O2257" i="1" s="1"/>
  <c r="K122" i="190"/>
  <c r="O2258" i="1" s="1"/>
  <c r="K123" i="190"/>
  <c r="O2259" i="1" s="1"/>
  <c r="K124" i="190"/>
  <c r="O2260" i="1" s="1"/>
  <c r="K125" i="190"/>
  <c r="O2261" i="1" s="1"/>
  <c r="K127" i="190"/>
  <c r="K128" i="190"/>
  <c r="K129" i="190"/>
  <c r="K130" i="190"/>
  <c r="K131" i="190"/>
  <c r="K132" i="190"/>
  <c r="K133" i="190"/>
  <c r="K134" i="190"/>
  <c r="K135" i="190"/>
  <c r="K136" i="190"/>
  <c r="K137" i="190"/>
  <c r="K138" i="190"/>
  <c r="K139" i="190"/>
  <c r="K140" i="190"/>
  <c r="O2242" i="1"/>
  <c r="K172" i="190"/>
  <c r="K173" i="190"/>
  <c r="K174" i="190"/>
  <c r="K6" i="136"/>
  <c r="K7" i="136"/>
  <c r="K8" i="136"/>
  <c r="O1824" i="1" s="1"/>
  <c r="U1824" i="1" s="1"/>
  <c r="K9" i="136"/>
  <c r="K10" i="136"/>
  <c r="K11" i="136"/>
  <c r="K12" i="136"/>
  <c r="K13" i="136"/>
  <c r="K14" i="136"/>
  <c r="O1830" i="1" s="1"/>
  <c r="K15" i="136"/>
  <c r="O1831" i="1" s="1"/>
  <c r="K16" i="136"/>
  <c r="O1832" i="1" s="1"/>
  <c r="K17" i="136"/>
  <c r="O1833" i="1" s="1"/>
  <c r="K18" i="136"/>
  <c r="O1834" i="1" s="1"/>
  <c r="K19" i="136"/>
  <c r="O1835" i="1" s="1"/>
  <c r="K20" i="136"/>
  <c r="K21" i="136"/>
  <c r="K22" i="136"/>
  <c r="K23" i="136"/>
  <c r="K24" i="136"/>
  <c r="K25" i="136"/>
  <c r="O1845" i="1" s="1"/>
  <c r="K26" i="136"/>
  <c r="O1846" i="1" s="1"/>
  <c r="K27" i="136"/>
  <c r="O1847" i="1" s="1"/>
  <c r="K28" i="136"/>
  <c r="O1848" i="1" s="1"/>
  <c r="K29" i="136"/>
  <c r="O1849" i="1" s="1"/>
  <c r="K31" i="136"/>
  <c r="K32" i="136"/>
  <c r="K33" i="136"/>
  <c r="K34" i="136"/>
  <c r="K35" i="136"/>
  <c r="K36" i="136"/>
  <c r="K37" i="136"/>
  <c r="O1859" i="1" s="1"/>
  <c r="K38" i="136"/>
  <c r="O1860" i="1" s="1"/>
  <c r="K39" i="136"/>
  <c r="O1861" i="1" s="1"/>
  <c r="K40" i="136"/>
  <c r="K41" i="136"/>
  <c r="K42" i="136"/>
  <c r="K43" i="136"/>
  <c r="K44" i="136"/>
  <c r="O1863" i="1" s="1"/>
  <c r="K45" i="136"/>
  <c r="O1864" i="1" s="1"/>
  <c r="K46" i="136"/>
  <c r="O1865" i="1" s="1"/>
  <c r="K47" i="136"/>
  <c r="O1866" i="1" s="1"/>
  <c r="K48" i="136"/>
  <c r="K49" i="136"/>
  <c r="K50" i="136"/>
  <c r="O1868" i="1" s="1"/>
  <c r="K51" i="136"/>
  <c r="K52" i="136"/>
  <c r="K53" i="136"/>
  <c r="K54" i="136"/>
  <c r="K55" i="136"/>
  <c r="K56" i="136"/>
  <c r="K57" i="136"/>
  <c r="K58" i="136"/>
  <c r="K59" i="136"/>
  <c r="K60" i="136"/>
  <c r="K61" i="136"/>
  <c r="O1871" i="1" s="1"/>
  <c r="K62" i="136"/>
  <c r="K63" i="136"/>
  <c r="K64" i="136"/>
  <c r="K65" i="136"/>
  <c r="K66" i="136"/>
  <c r="K67" i="136"/>
  <c r="O1874" i="1" s="1"/>
  <c r="K68" i="136"/>
  <c r="O1875" i="1" s="1"/>
  <c r="K69" i="136"/>
  <c r="O1876" i="1" s="1"/>
  <c r="K70" i="136"/>
  <c r="O1877" i="1" s="1"/>
  <c r="K71" i="136"/>
  <c r="O1878" i="1" s="1"/>
  <c r="K72" i="136"/>
  <c r="O1879" i="1" s="1"/>
  <c r="K73" i="136"/>
  <c r="O1880" i="1" s="1"/>
  <c r="K74" i="136"/>
  <c r="O1881" i="1" s="1"/>
  <c r="K75" i="136"/>
  <c r="O1882" i="1" s="1"/>
  <c r="K76" i="136"/>
  <c r="O1883" i="1" s="1"/>
  <c r="K77" i="136"/>
  <c r="O1884" i="1" s="1"/>
  <c r="K78" i="136"/>
  <c r="O1885" i="1" s="1"/>
  <c r="K79" i="136"/>
  <c r="K80" i="136"/>
  <c r="O1954" i="1" s="1"/>
  <c r="K81" i="136"/>
  <c r="O1924" i="1" s="1"/>
  <c r="K82" i="136"/>
  <c r="O1951" i="1" s="1"/>
  <c r="K83" i="136"/>
  <c r="O1952" i="1" s="1"/>
  <c r="K84" i="136"/>
  <c r="K85" i="136"/>
  <c r="K86" i="136"/>
  <c r="K87" i="136"/>
  <c r="K88" i="136"/>
  <c r="K89" i="136"/>
  <c r="O1913" i="1" s="1"/>
  <c r="K90" i="136"/>
  <c r="O1912" i="1" s="1"/>
  <c r="K91" i="136"/>
  <c r="O1914" i="1" s="1"/>
  <c r="K92" i="136"/>
  <c r="O1915" i="1" s="1"/>
  <c r="K93" i="136"/>
  <c r="O1916" i="1" s="1"/>
  <c r="K94" i="136"/>
  <c r="K95" i="136"/>
  <c r="K96" i="136"/>
  <c r="K97" i="136"/>
  <c r="K98" i="136"/>
  <c r="K99" i="136"/>
  <c r="K100" i="136"/>
  <c r="K101" i="136"/>
  <c r="K102" i="136"/>
  <c r="K103" i="136"/>
  <c r="O1918" i="1" s="1"/>
  <c r="K104" i="136"/>
  <c r="O1919" i="1" s="1"/>
  <c r="K105" i="136"/>
  <c r="O1920" i="1" s="1"/>
  <c r="K106" i="136"/>
  <c r="O1921" i="1" s="1"/>
  <c r="K107" i="136"/>
  <c r="K108" i="136"/>
  <c r="K109" i="136"/>
  <c r="O1925" i="1" s="1"/>
  <c r="K110" i="136"/>
  <c r="O1926" i="1" s="1"/>
  <c r="K111" i="136"/>
  <c r="K112" i="136"/>
  <c r="K113" i="136"/>
  <c r="O1928" i="1" s="1"/>
  <c r="K114" i="136"/>
  <c r="O1929" i="1" s="1"/>
  <c r="K115" i="136"/>
  <c r="O1930" i="1" s="1"/>
  <c r="K116" i="136"/>
  <c r="O1932" i="1" s="1"/>
  <c r="K117" i="136"/>
  <c r="K118" i="136"/>
  <c r="O1934" i="1" s="1"/>
  <c r="K119" i="136"/>
  <c r="O1935" i="1" s="1"/>
  <c r="K120" i="136"/>
  <c r="O1936" i="1" s="1"/>
  <c r="K121" i="136"/>
  <c r="O1937" i="1" s="1"/>
  <c r="K122" i="136"/>
  <c r="O1938" i="1" s="1"/>
  <c r="K123" i="136"/>
  <c r="O1939" i="1" s="1"/>
  <c r="K124" i="136"/>
  <c r="O1940" i="1" s="1"/>
  <c r="K125" i="136"/>
  <c r="O1941" i="1" s="1"/>
  <c r="K127" i="136"/>
  <c r="K128" i="136"/>
  <c r="K129" i="136"/>
  <c r="K130" i="136"/>
  <c r="K131" i="136"/>
  <c r="K132" i="136"/>
  <c r="K133" i="136"/>
  <c r="K134" i="136"/>
  <c r="K135" i="136"/>
  <c r="K136" i="136"/>
  <c r="K137" i="136"/>
  <c r="K138" i="136"/>
  <c r="K139" i="136"/>
  <c r="K140" i="136"/>
  <c r="O1922" i="1"/>
  <c r="K172" i="136"/>
  <c r="K173" i="136"/>
  <c r="K174" i="136"/>
  <c r="D2293" i="1"/>
  <c r="D2294" i="1"/>
  <c r="D2297" i="1"/>
  <c r="D2380" i="1" s="1"/>
  <c r="O2300" i="1"/>
  <c r="D2311" i="1"/>
  <c r="D2312" i="1"/>
  <c r="D2313" i="1"/>
  <c r="D2314" i="1"/>
  <c r="D2315" i="1"/>
  <c r="D2326" i="1"/>
  <c r="D2327" i="1"/>
  <c r="D2328" i="1"/>
  <c r="D2329" i="1"/>
  <c r="D2356" i="1"/>
  <c r="D2357" i="1"/>
  <c r="D2358" i="1"/>
  <c r="D2359" i="1"/>
  <c r="D2360" i="1"/>
  <c r="D2361" i="1"/>
  <c r="D2362" i="1"/>
  <c r="D2363" i="1"/>
  <c r="D2364" i="1"/>
  <c r="D2365" i="1"/>
  <c r="D2376" i="1"/>
  <c r="D2377" i="1"/>
  <c r="O2383" i="1"/>
  <c r="D2412" i="1"/>
  <c r="D2413" i="1"/>
  <c r="D2414" i="1"/>
  <c r="D2415" i="1"/>
  <c r="D2416" i="1"/>
  <c r="D2417" i="1"/>
  <c r="D2418" i="1"/>
  <c r="D2419" i="1"/>
  <c r="D2420" i="1"/>
  <c r="D2421" i="1"/>
  <c r="D2133" i="1"/>
  <c r="D2134" i="1"/>
  <c r="D2137" i="1"/>
  <c r="D2220" i="1" s="1"/>
  <c r="M2140" i="1"/>
  <c r="D2151" i="1"/>
  <c r="D2152" i="1"/>
  <c r="D2153" i="1"/>
  <c r="D2154" i="1"/>
  <c r="D2155" i="1"/>
  <c r="D2166" i="1"/>
  <c r="D2167" i="1"/>
  <c r="D2168" i="1"/>
  <c r="D2169" i="1"/>
  <c r="D2196" i="1"/>
  <c r="D2197" i="1"/>
  <c r="D2198" i="1"/>
  <c r="D2199" i="1"/>
  <c r="D2200" i="1"/>
  <c r="D2201" i="1"/>
  <c r="D2202" i="1"/>
  <c r="D2203" i="1"/>
  <c r="D2204" i="1"/>
  <c r="D2205" i="1"/>
  <c r="D2216" i="1"/>
  <c r="D2217" i="1"/>
  <c r="M2223" i="1"/>
  <c r="D2252" i="1"/>
  <c r="D2253" i="1"/>
  <c r="D2254" i="1"/>
  <c r="D2255" i="1"/>
  <c r="D2256" i="1"/>
  <c r="D2257" i="1"/>
  <c r="D2258" i="1"/>
  <c r="D2259" i="1"/>
  <c r="D2260" i="1"/>
  <c r="D2261" i="1"/>
  <c r="D1973" i="1"/>
  <c r="D1974" i="1"/>
  <c r="D1977" i="1"/>
  <c r="D2060" i="1" s="1"/>
  <c r="O1980" i="1"/>
  <c r="D1991" i="1"/>
  <c r="D1992" i="1"/>
  <c r="D1993" i="1"/>
  <c r="D1994" i="1"/>
  <c r="D1995" i="1"/>
  <c r="D2006" i="1"/>
  <c r="D2007" i="1"/>
  <c r="D2008" i="1"/>
  <c r="D2009" i="1"/>
  <c r="D2036" i="1"/>
  <c r="D2037" i="1"/>
  <c r="D2038" i="1"/>
  <c r="D2039" i="1"/>
  <c r="D2040" i="1"/>
  <c r="D2041" i="1"/>
  <c r="D2042" i="1"/>
  <c r="D2043" i="1"/>
  <c r="D2044" i="1"/>
  <c r="D2045" i="1"/>
  <c r="D2056" i="1"/>
  <c r="D2057" i="1"/>
  <c r="O2063" i="1"/>
  <c r="D2092" i="1"/>
  <c r="D2093" i="1"/>
  <c r="D2094" i="1"/>
  <c r="D2095" i="1"/>
  <c r="D2096" i="1"/>
  <c r="D2097" i="1"/>
  <c r="D2098" i="1"/>
  <c r="D2099" i="1"/>
  <c r="D2100" i="1"/>
  <c r="D2101" i="1"/>
  <c r="D1813" i="1"/>
  <c r="D1814" i="1"/>
  <c r="D1817" i="1"/>
  <c r="D1900" i="1" s="1"/>
  <c r="M1820" i="1"/>
  <c r="D1831" i="1"/>
  <c r="D1832" i="1"/>
  <c r="D1833" i="1"/>
  <c r="D1834" i="1"/>
  <c r="D1835" i="1"/>
  <c r="D1846" i="1"/>
  <c r="D1847" i="1"/>
  <c r="D1848" i="1"/>
  <c r="D1849" i="1"/>
  <c r="D1876" i="1"/>
  <c r="D1877" i="1"/>
  <c r="D1878" i="1"/>
  <c r="D1879" i="1"/>
  <c r="D1880" i="1"/>
  <c r="D1881" i="1"/>
  <c r="D1882" i="1"/>
  <c r="D1883" i="1"/>
  <c r="D1884" i="1"/>
  <c r="D1885" i="1"/>
  <c r="D1896" i="1"/>
  <c r="D1897" i="1"/>
  <c r="M1903" i="1"/>
  <c r="D1932" i="1"/>
  <c r="D1933" i="1"/>
  <c r="D1934" i="1"/>
  <c r="D1935" i="1"/>
  <c r="D1936" i="1"/>
  <c r="D1937" i="1"/>
  <c r="D1938" i="1"/>
  <c r="D1939" i="1"/>
  <c r="D1940" i="1"/>
  <c r="D1941" i="1"/>
  <c r="O2162" i="1" l="1"/>
  <c r="O1842" i="1"/>
  <c r="O307" i="1"/>
  <c r="O309" i="1"/>
  <c r="O1931" i="1"/>
  <c r="O1917" i="1"/>
  <c r="O1822" i="1"/>
  <c r="U1822" i="1" s="1"/>
  <c r="O1867" i="1"/>
  <c r="O2192" i="1"/>
  <c r="O2142" i="1"/>
  <c r="U2142" i="1" s="1"/>
  <c r="O2187" i="1"/>
  <c r="O2144" i="1"/>
  <c r="U2144" i="1" s="1"/>
  <c r="O1872" i="1"/>
  <c r="O1870" i="1"/>
  <c r="O1873" i="1"/>
  <c r="O1869" i="1"/>
  <c r="O1927" i="1"/>
  <c r="O1923" i="1"/>
  <c r="O2237" i="1"/>
  <c r="O2231" i="1"/>
  <c r="O2193" i="1"/>
  <c r="O2189" i="1"/>
  <c r="O2182" i="1"/>
  <c r="O2280" i="1"/>
  <c r="U2280" i="1" s="1"/>
  <c r="O2273" i="1"/>
  <c r="O2251" i="1"/>
  <c r="O2156" i="1"/>
  <c r="O2244" i="1"/>
  <c r="O2247" i="1"/>
  <c r="O2243" i="1"/>
  <c r="O2190" i="1"/>
  <c r="O2149" i="1"/>
  <c r="O1960" i="1"/>
  <c r="U1960" i="1" s="1"/>
  <c r="O1862" i="1"/>
  <c r="O1829" i="1"/>
  <c r="O1911" i="1"/>
  <c r="O1836" i="1"/>
  <c r="O1933" i="1"/>
  <c r="U2162" i="1"/>
  <c r="O1953" i="1"/>
  <c r="U1842" i="1"/>
  <c r="K175" i="190"/>
  <c r="O3" i="190" s="1"/>
  <c r="K175" i="136"/>
  <c r="O3" i="136" s="1"/>
  <c r="U307" i="1" l="1"/>
  <c r="U309" i="1"/>
  <c r="O1856" i="1"/>
  <c r="U1856" i="1" s="1"/>
  <c r="O2176" i="1"/>
  <c r="U2176" i="1" s="1"/>
  <c r="O2268" i="1"/>
  <c r="U2268" i="1" s="1"/>
  <c r="O1908" i="1"/>
  <c r="U1908" i="1" s="1"/>
  <c r="O1826" i="1"/>
  <c r="U1826" i="1" s="1"/>
  <c r="O1840" i="1" s="1"/>
  <c r="O2146" i="1"/>
  <c r="U2146" i="1" s="1"/>
  <c r="O2228" i="1"/>
  <c r="U2228" i="1" s="1"/>
  <c r="O1948" i="1"/>
  <c r="U1948" i="1" s="1"/>
  <c r="O2160" i="1" l="1"/>
  <c r="O1958" i="1"/>
  <c r="O1854" i="1"/>
  <c r="O1905" i="1"/>
  <c r="O1946" i="1"/>
  <c r="O2283" i="1"/>
  <c r="X2283" i="1" s="1"/>
  <c r="O1889" i="1"/>
  <c r="O2266" i="1"/>
  <c r="O2278" i="1"/>
  <c r="O2225" i="1"/>
  <c r="O2209" i="1"/>
  <c r="O2174" i="1"/>
  <c r="O1963" i="1"/>
  <c r="X1963" i="1" s="1"/>
  <c r="X1905" i="1" l="1"/>
  <c r="X2225" i="1"/>
  <c r="M93" i="192"/>
  <c r="G93" i="192" s="1"/>
  <c r="I93" i="192" s="1"/>
  <c r="O2215" i="248" s="1"/>
  <c r="K93" i="192"/>
  <c r="O2556" i="1" s="1"/>
  <c r="M93" i="190"/>
  <c r="G93" i="190" s="1"/>
  <c r="I93" i="190" s="1"/>
  <c r="O2055" i="248" s="1"/>
  <c r="M93" i="136"/>
  <c r="G93" i="136" s="1"/>
  <c r="I93" i="136" s="1"/>
  <c r="O1895" i="248" s="1"/>
  <c r="P93" i="5"/>
  <c r="J93" i="5" s="1"/>
  <c r="L93" i="5" s="1"/>
  <c r="N93" i="5"/>
  <c r="O1616" i="1" s="1"/>
  <c r="O1595" i="248" l="1"/>
  <c r="R1595" i="248" s="1"/>
  <c r="O2396" i="1"/>
  <c r="M2236" i="1"/>
  <c r="O2076" i="1"/>
  <c r="M1916" i="1"/>
  <c r="M1616" i="1"/>
  <c r="O2716" i="1"/>
  <c r="M2556" i="1"/>
  <c r="D1184" i="1" l="1"/>
  <c r="P342" i="5"/>
  <c r="J342" i="5" s="1"/>
  <c r="N342" i="5"/>
  <c r="P337" i="5"/>
  <c r="J337" i="5" s="1"/>
  <c r="N337" i="5"/>
  <c r="M342" i="192"/>
  <c r="G342" i="192" s="1"/>
  <c r="I342" i="192" s="1"/>
  <c r="K342" i="192"/>
  <c r="M337" i="192"/>
  <c r="G337" i="192" s="1"/>
  <c r="I337" i="192" s="1"/>
  <c r="K337" i="192"/>
  <c r="M342" i="190"/>
  <c r="G342" i="190" s="1"/>
  <c r="I342" i="190" s="1"/>
  <c r="K342" i="190"/>
  <c r="M337" i="190"/>
  <c r="G337" i="190" s="1"/>
  <c r="I337" i="190" s="1"/>
  <c r="K337" i="190"/>
  <c r="M342" i="136"/>
  <c r="G342" i="136" s="1"/>
  <c r="I342" i="136" s="1"/>
  <c r="K342" i="136"/>
  <c r="M337" i="136"/>
  <c r="G337" i="136" s="1"/>
  <c r="I337" i="136" s="1"/>
  <c r="K337" i="136"/>
  <c r="L342" i="5" l="1"/>
  <c r="L337" i="5"/>
  <c r="P331" i="5"/>
  <c r="J331" i="5" s="1"/>
  <c r="N331" i="5"/>
  <c r="P326" i="5"/>
  <c r="J326" i="5" s="1"/>
  <c r="N326" i="5"/>
  <c r="M331" i="192"/>
  <c r="G331" i="192" s="1"/>
  <c r="I331" i="192" s="1"/>
  <c r="K331" i="192"/>
  <c r="M326" i="192"/>
  <c r="G326" i="192" s="1"/>
  <c r="I326" i="192" s="1"/>
  <c r="K326" i="192"/>
  <c r="M331" i="190"/>
  <c r="G331" i="190" s="1"/>
  <c r="I331" i="190" s="1"/>
  <c r="K331" i="190"/>
  <c r="M326" i="190"/>
  <c r="G326" i="190" s="1"/>
  <c r="I326" i="190" s="1"/>
  <c r="K326" i="190"/>
  <c r="M331" i="136"/>
  <c r="G331" i="136" s="1"/>
  <c r="I331" i="136" s="1"/>
  <c r="K331" i="136"/>
  <c r="M326" i="136"/>
  <c r="G326" i="136" s="1"/>
  <c r="I326" i="136" s="1"/>
  <c r="K326" i="136"/>
  <c r="L326" i="5" l="1"/>
  <c r="L331" i="5"/>
  <c r="D1325" i="1"/>
  <c r="D1326" i="1"/>
  <c r="D1327" i="1"/>
  <c r="D1328" i="1"/>
  <c r="D1329" i="1"/>
  <c r="D1330" i="1"/>
  <c r="D1331" i="1"/>
  <c r="D1332" i="1"/>
  <c r="D1333" i="1"/>
  <c r="D1334" i="1"/>
  <c r="D206" i="1" l="1"/>
  <c r="F49" i="80" l="1"/>
  <c r="F40" i="80"/>
  <c r="K82" i="89" l="1"/>
  <c r="W82" i="89" l="1"/>
  <c r="K87" i="89"/>
  <c r="W87" i="89" s="1"/>
  <c r="K86" i="89"/>
  <c r="W86" i="89" s="1"/>
  <c r="Y86" i="89" l="1"/>
  <c r="Z86" i="89" s="1"/>
  <c r="Y87" i="89"/>
  <c r="Z87" i="89" s="1"/>
  <c r="Y82" i="89"/>
  <c r="Z82" i="89" s="1"/>
  <c r="K119" i="89"/>
  <c r="W119" i="89" s="1"/>
  <c r="Y119" i="89" l="1"/>
  <c r="Z119" i="89" s="1"/>
  <c r="E62" i="80"/>
  <c r="C61" i="80"/>
  <c r="C256" i="231"/>
  <c r="C255" i="231"/>
  <c r="C254" i="231"/>
  <c r="C253" i="231"/>
  <c r="C252" i="231"/>
  <c r="C251" i="231"/>
  <c r="C250" i="231"/>
  <c r="C249" i="231"/>
  <c r="C248" i="231"/>
  <c r="C247" i="231"/>
  <c r="C246" i="231"/>
  <c r="C245" i="231"/>
  <c r="C244" i="231"/>
  <c r="C243" i="231"/>
  <c r="C242" i="231"/>
  <c r="C241" i="231"/>
  <c r="C240" i="231"/>
  <c r="C239" i="231"/>
  <c r="C238" i="231"/>
  <c r="C237" i="231"/>
  <c r="C236" i="231"/>
  <c r="C235" i="231"/>
  <c r="C234" i="231"/>
  <c r="C233" i="231"/>
  <c r="C232" i="231"/>
  <c r="C231" i="231"/>
  <c r="C230" i="231"/>
  <c r="C229" i="231"/>
  <c r="C228" i="231"/>
  <c r="C227" i="231"/>
  <c r="C226" i="231"/>
  <c r="C225" i="231"/>
  <c r="C224" i="231"/>
  <c r="C223" i="231"/>
  <c r="C222" i="231"/>
  <c r="C221" i="231"/>
  <c r="C220" i="231"/>
  <c r="C219" i="231"/>
  <c r="C218" i="231"/>
  <c r="C217" i="231"/>
  <c r="C216" i="231"/>
  <c r="C215" i="231"/>
  <c r="C214" i="231"/>
  <c r="C213" i="231"/>
  <c r="C212" i="231"/>
  <c r="C211" i="231"/>
  <c r="C210" i="231"/>
  <c r="C209" i="231"/>
  <c r="C208" i="231"/>
  <c r="C207" i="231"/>
  <c r="C206" i="231"/>
  <c r="C205" i="231"/>
  <c r="C204" i="231"/>
  <c r="C203" i="231"/>
  <c r="C202" i="231"/>
  <c r="C201" i="231"/>
  <c r="C200" i="231"/>
  <c r="C199" i="231"/>
  <c r="C198" i="231"/>
  <c r="C197" i="231"/>
  <c r="C196" i="231"/>
  <c r="C195" i="231"/>
  <c r="C194" i="231"/>
  <c r="C193" i="231"/>
  <c r="C192" i="231"/>
  <c r="C191" i="231"/>
  <c r="C190" i="231"/>
  <c r="C189" i="231"/>
  <c r="C188" i="231"/>
  <c r="C187" i="231"/>
  <c r="C186" i="231"/>
  <c r="C185" i="231"/>
  <c r="C184" i="231"/>
  <c r="C183" i="231"/>
  <c r="C182" i="231"/>
  <c r="C181" i="231"/>
  <c r="C180" i="231"/>
  <c r="C179" i="231"/>
  <c r="C178" i="231"/>
  <c r="C177" i="231"/>
  <c r="C176" i="231"/>
  <c r="C175" i="231"/>
  <c r="C174" i="231"/>
  <c r="C173" i="231"/>
  <c r="C172" i="231"/>
  <c r="C171" i="231"/>
  <c r="C170" i="231"/>
  <c r="C169" i="231"/>
  <c r="C168" i="231"/>
  <c r="C167" i="231"/>
  <c r="C166" i="231"/>
  <c r="C165" i="231"/>
  <c r="C164" i="231"/>
  <c r="C163" i="231"/>
  <c r="C162" i="231"/>
  <c r="C161" i="231"/>
  <c r="C160" i="231"/>
  <c r="C159" i="231"/>
  <c r="C158" i="231"/>
  <c r="C157" i="231"/>
  <c r="C156" i="231"/>
  <c r="C155" i="231"/>
  <c r="C154" i="231"/>
  <c r="C153" i="231"/>
  <c r="C152" i="231"/>
  <c r="C151" i="231"/>
  <c r="C150" i="231"/>
  <c r="C149" i="231"/>
  <c r="C148" i="231"/>
  <c r="C147" i="231"/>
  <c r="C146" i="231"/>
  <c r="C145" i="231"/>
  <c r="C144" i="231"/>
  <c r="C143" i="231"/>
  <c r="C142" i="231"/>
  <c r="C141" i="231"/>
  <c r="C140" i="231"/>
  <c r="C139" i="231"/>
  <c r="C138" i="231"/>
  <c r="C137" i="231"/>
  <c r="C136" i="231"/>
  <c r="C135" i="231"/>
  <c r="C134" i="231"/>
  <c r="C133" i="231"/>
  <c r="C132" i="231"/>
  <c r="C131" i="231"/>
  <c r="C130" i="231"/>
  <c r="C129" i="231"/>
  <c r="C128" i="231"/>
  <c r="C127" i="231"/>
  <c r="C126" i="231"/>
  <c r="C125" i="231"/>
  <c r="C124" i="231"/>
  <c r="C123" i="231"/>
  <c r="C122" i="231"/>
  <c r="C121" i="231"/>
  <c r="C120" i="231"/>
  <c r="C119" i="231"/>
  <c r="C118" i="231"/>
  <c r="C117" i="231"/>
  <c r="C116" i="231"/>
  <c r="C115" i="231"/>
  <c r="C114" i="231"/>
  <c r="C113" i="231"/>
  <c r="C112" i="231"/>
  <c r="C111" i="231"/>
  <c r="C110" i="231"/>
  <c r="C109" i="231"/>
  <c r="C108" i="231"/>
  <c r="C107" i="231"/>
  <c r="C106" i="231"/>
  <c r="C105" i="231"/>
  <c r="C104" i="231"/>
  <c r="C103" i="231"/>
  <c r="C102" i="231"/>
  <c r="C101" i="231"/>
  <c r="C100" i="231"/>
  <c r="C99" i="231"/>
  <c r="C98" i="231"/>
  <c r="C97" i="231"/>
  <c r="C96" i="231"/>
  <c r="C95" i="231"/>
  <c r="C94" i="231"/>
  <c r="C93" i="231"/>
  <c r="C92" i="231"/>
  <c r="C91" i="231"/>
  <c r="C90" i="231"/>
  <c r="C89" i="231"/>
  <c r="C88" i="231"/>
  <c r="C87" i="231"/>
  <c r="C86" i="231"/>
  <c r="C85" i="231"/>
  <c r="C84" i="231"/>
  <c r="C83" i="231"/>
  <c r="C82" i="231"/>
  <c r="C81" i="231"/>
  <c r="C80" i="231"/>
  <c r="C79" i="231"/>
  <c r="C78" i="231"/>
  <c r="C77" i="231"/>
  <c r="C76" i="231"/>
  <c r="C75" i="231"/>
  <c r="C74" i="231"/>
  <c r="C73" i="231"/>
  <c r="C72" i="231"/>
  <c r="C71" i="231"/>
  <c r="C70" i="231"/>
  <c r="C69" i="231"/>
  <c r="C68" i="231"/>
  <c r="C67" i="231"/>
  <c r="C66" i="231"/>
  <c r="C65" i="231"/>
  <c r="C64" i="231"/>
  <c r="C63" i="231"/>
  <c r="C62" i="231"/>
  <c r="C61" i="231"/>
  <c r="C60" i="231"/>
  <c r="C59" i="231"/>
  <c r="C58" i="231"/>
  <c r="C57" i="231"/>
  <c r="C56" i="231"/>
  <c r="C55" i="231"/>
  <c r="C54" i="231"/>
  <c r="C53" i="231"/>
  <c r="C52" i="231"/>
  <c r="C51" i="231"/>
  <c r="C50" i="231"/>
  <c r="C49" i="231"/>
  <c r="C48" i="231"/>
  <c r="C47" i="231"/>
  <c r="C46" i="231"/>
  <c r="C45" i="231"/>
  <c r="C44" i="231"/>
  <c r="C43" i="231"/>
  <c r="C42" i="231"/>
  <c r="C41" i="231"/>
  <c r="C40" i="231"/>
  <c r="C39" i="231"/>
  <c r="C38" i="231"/>
  <c r="C37" i="231"/>
  <c r="C36" i="231"/>
  <c r="C35" i="231"/>
  <c r="C34" i="231"/>
  <c r="C33" i="231"/>
  <c r="C32" i="231"/>
  <c r="C31" i="231"/>
  <c r="C30" i="231"/>
  <c r="C29" i="231"/>
  <c r="C28" i="231"/>
  <c r="C27" i="231"/>
  <c r="C26" i="231"/>
  <c r="C25" i="231"/>
  <c r="C24" i="231"/>
  <c r="C23" i="231"/>
  <c r="C22" i="231"/>
  <c r="C21" i="231"/>
  <c r="C20" i="231"/>
  <c r="C19" i="231"/>
  <c r="C18" i="231"/>
  <c r="C17" i="231"/>
  <c r="B18" i="231"/>
  <c r="B19" i="231" s="1"/>
  <c r="B20" i="231" s="1"/>
  <c r="B21" i="231" s="1"/>
  <c r="B22" i="231" s="1"/>
  <c r="B23" i="231" s="1"/>
  <c r="B24" i="231" s="1"/>
  <c r="B25" i="231" s="1"/>
  <c r="B26" i="231" s="1"/>
  <c r="B27" i="231" s="1"/>
  <c r="B28" i="231" s="1"/>
  <c r="B29" i="231" s="1"/>
  <c r="B30" i="231" s="1"/>
  <c r="B31" i="231" s="1"/>
  <c r="B32" i="231" s="1"/>
  <c r="B33" i="231" s="1"/>
  <c r="B34" i="231" s="1"/>
  <c r="B35" i="231" s="1"/>
  <c r="B36" i="231" s="1"/>
  <c r="B37" i="231" s="1"/>
  <c r="B38" i="231" s="1"/>
  <c r="B39" i="231" s="1"/>
  <c r="B40" i="231" s="1"/>
  <c r="B41" i="231" s="1"/>
  <c r="B42" i="231" s="1"/>
  <c r="B43" i="231" s="1"/>
  <c r="B44" i="231" s="1"/>
  <c r="B45" i="231" s="1"/>
  <c r="B46" i="231" s="1"/>
  <c r="B47" i="231" s="1"/>
  <c r="B48" i="231" s="1"/>
  <c r="B49" i="231" s="1"/>
  <c r="B50" i="231" s="1"/>
  <c r="B51" i="231" s="1"/>
  <c r="B52" i="231" s="1"/>
  <c r="B53" i="231" s="1"/>
  <c r="B54" i="231" s="1"/>
  <c r="B55" i="231" s="1"/>
  <c r="B56" i="231" s="1"/>
  <c r="B57" i="231" s="1"/>
  <c r="B58" i="231" s="1"/>
  <c r="B59" i="231" s="1"/>
  <c r="B60" i="231" s="1"/>
  <c r="B61" i="231" s="1"/>
  <c r="B62" i="231" s="1"/>
  <c r="B63" i="231" s="1"/>
  <c r="B64" i="231" s="1"/>
  <c r="B65" i="231" s="1"/>
  <c r="B66" i="231" s="1"/>
  <c r="B67" i="231" s="1"/>
  <c r="B68" i="231" s="1"/>
  <c r="B69" i="231" s="1"/>
  <c r="B70" i="231" s="1"/>
  <c r="B71" i="231" s="1"/>
  <c r="B72" i="231" s="1"/>
  <c r="B73" i="231" s="1"/>
  <c r="B74" i="231" s="1"/>
  <c r="B75" i="231" s="1"/>
  <c r="B76" i="231" s="1"/>
  <c r="B77" i="231" s="1"/>
  <c r="B78" i="231" s="1"/>
  <c r="B79" i="231" s="1"/>
  <c r="B80" i="231" s="1"/>
  <c r="B81" i="231" s="1"/>
  <c r="B82" i="231" s="1"/>
  <c r="B83" i="231" s="1"/>
  <c r="B84" i="231" s="1"/>
  <c r="B85" i="231" s="1"/>
  <c r="B86" i="231" s="1"/>
  <c r="B87" i="231" s="1"/>
  <c r="B88" i="231" s="1"/>
  <c r="B89" i="231" s="1"/>
  <c r="B90" i="231" s="1"/>
  <c r="B91" i="231" s="1"/>
  <c r="B92" i="231" s="1"/>
  <c r="B93" i="231" s="1"/>
  <c r="B94" i="231" s="1"/>
  <c r="B95" i="231" s="1"/>
  <c r="B96" i="231" s="1"/>
  <c r="B97" i="231" s="1"/>
  <c r="B98" i="231" s="1"/>
  <c r="B99" i="231" s="1"/>
  <c r="B100" i="231" s="1"/>
  <c r="B101" i="231" s="1"/>
  <c r="B102" i="231" s="1"/>
  <c r="B103" i="231" s="1"/>
  <c r="B104" i="231" s="1"/>
  <c r="B105" i="231" s="1"/>
  <c r="B106" i="231" s="1"/>
  <c r="B107" i="231" s="1"/>
  <c r="B108" i="231" s="1"/>
  <c r="B109" i="231" s="1"/>
  <c r="B110" i="231" s="1"/>
  <c r="B111" i="231" s="1"/>
  <c r="B112" i="231" s="1"/>
  <c r="B113" i="231" s="1"/>
  <c r="B114" i="231" s="1"/>
  <c r="B115" i="231" s="1"/>
  <c r="B116" i="231" s="1"/>
  <c r="B117" i="231" s="1"/>
  <c r="B118" i="231" s="1"/>
  <c r="B119" i="231" s="1"/>
  <c r="B120" i="231" s="1"/>
  <c r="B121" i="231" s="1"/>
  <c r="B122" i="231" s="1"/>
  <c r="B123" i="231" s="1"/>
  <c r="B124" i="231" s="1"/>
  <c r="B125" i="231" s="1"/>
  <c r="B126" i="231" s="1"/>
  <c r="B127" i="231" s="1"/>
  <c r="B128" i="231" s="1"/>
  <c r="B129" i="231" s="1"/>
  <c r="B130" i="231" s="1"/>
  <c r="B131" i="231" s="1"/>
  <c r="B132" i="231" s="1"/>
  <c r="B133" i="231" s="1"/>
  <c r="B134" i="231" s="1"/>
  <c r="B135" i="231" s="1"/>
  <c r="B136" i="231" s="1"/>
  <c r="B137" i="231" s="1"/>
  <c r="B138" i="231" s="1"/>
  <c r="B139" i="231" s="1"/>
  <c r="B140" i="231" s="1"/>
  <c r="B141" i="231" s="1"/>
  <c r="B142" i="231" s="1"/>
  <c r="B143" i="231" s="1"/>
  <c r="B144" i="231" s="1"/>
  <c r="B145" i="231" s="1"/>
  <c r="B146" i="231" s="1"/>
  <c r="B147" i="231" s="1"/>
  <c r="B148" i="231" s="1"/>
  <c r="B149" i="231" s="1"/>
  <c r="B150" i="231" s="1"/>
  <c r="B151" i="231" s="1"/>
  <c r="B152" i="231" s="1"/>
  <c r="B153" i="231" s="1"/>
  <c r="B154" i="231" s="1"/>
  <c r="B155" i="231" s="1"/>
  <c r="B156" i="231" s="1"/>
  <c r="B157" i="231" s="1"/>
  <c r="B158" i="231" s="1"/>
  <c r="B159" i="231" s="1"/>
  <c r="B160" i="231" s="1"/>
  <c r="B161" i="231" s="1"/>
  <c r="B162" i="231" s="1"/>
  <c r="B163" i="231" s="1"/>
  <c r="B164" i="231" s="1"/>
  <c r="B165" i="231" s="1"/>
  <c r="B166" i="231" s="1"/>
  <c r="B167" i="231" s="1"/>
  <c r="B168" i="231" s="1"/>
  <c r="B169" i="231" s="1"/>
  <c r="B170" i="231" s="1"/>
  <c r="B171" i="231" s="1"/>
  <c r="B172" i="231" s="1"/>
  <c r="B173" i="231" s="1"/>
  <c r="B174" i="231" s="1"/>
  <c r="B175" i="231" s="1"/>
  <c r="B176" i="231" s="1"/>
  <c r="B177" i="231" s="1"/>
  <c r="B178" i="231" s="1"/>
  <c r="B179" i="231" s="1"/>
  <c r="B180" i="231" s="1"/>
  <c r="B181" i="231" s="1"/>
  <c r="B182" i="231" s="1"/>
  <c r="B183" i="231" s="1"/>
  <c r="B184" i="231" s="1"/>
  <c r="B185" i="231" s="1"/>
  <c r="B186" i="231" s="1"/>
  <c r="B187" i="231" s="1"/>
  <c r="B188" i="231" s="1"/>
  <c r="B189" i="231" s="1"/>
  <c r="B190" i="231" s="1"/>
  <c r="B191" i="231" s="1"/>
  <c r="B192" i="231" s="1"/>
  <c r="B193" i="231" s="1"/>
  <c r="B194" i="231" s="1"/>
  <c r="B195" i="231" s="1"/>
  <c r="B196" i="231" s="1"/>
  <c r="B197" i="231" s="1"/>
  <c r="B198" i="231" s="1"/>
  <c r="B199" i="231" s="1"/>
  <c r="B200" i="231" s="1"/>
  <c r="B201" i="231" s="1"/>
  <c r="B202" i="231" s="1"/>
  <c r="B203" i="231" s="1"/>
  <c r="B204" i="231" s="1"/>
  <c r="B205" i="231" s="1"/>
  <c r="B206" i="231" s="1"/>
  <c r="B207" i="231" s="1"/>
  <c r="B208" i="231" s="1"/>
  <c r="B209" i="231" s="1"/>
  <c r="B210" i="231" s="1"/>
  <c r="B211" i="231" s="1"/>
  <c r="B212" i="231" s="1"/>
  <c r="B213" i="231" s="1"/>
  <c r="B214" i="231" s="1"/>
  <c r="B215" i="231" s="1"/>
  <c r="B216" i="231" s="1"/>
  <c r="B217" i="231" s="1"/>
  <c r="B218" i="231" s="1"/>
  <c r="B219" i="231" s="1"/>
  <c r="B220" i="231" s="1"/>
  <c r="B221" i="231" s="1"/>
  <c r="B222" i="231" s="1"/>
  <c r="B223" i="231" s="1"/>
  <c r="B224" i="231" s="1"/>
  <c r="B225" i="231" s="1"/>
  <c r="B226" i="231" s="1"/>
  <c r="B227" i="231" s="1"/>
  <c r="B228" i="231" s="1"/>
  <c r="B229" i="231" s="1"/>
  <c r="B230" i="231" s="1"/>
  <c r="B231" i="231" s="1"/>
  <c r="B232" i="231" s="1"/>
  <c r="B233" i="231" s="1"/>
  <c r="B234" i="231" s="1"/>
  <c r="B235" i="231" s="1"/>
  <c r="B236" i="231" s="1"/>
  <c r="B237" i="231" s="1"/>
  <c r="B238" i="231" s="1"/>
  <c r="B239" i="231" s="1"/>
  <c r="B240" i="231" s="1"/>
  <c r="B241" i="231" s="1"/>
  <c r="B242" i="231" s="1"/>
  <c r="B243" i="231" s="1"/>
  <c r="B244" i="231" s="1"/>
  <c r="B245" i="231" s="1"/>
  <c r="B246" i="231" s="1"/>
  <c r="B247" i="231" s="1"/>
  <c r="B248" i="231" s="1"/>
  <c r="B249" i="231" s="1"/>
  <c r="B250" i="231" s="1"/>
  <c r="B251" i="231" s="1"/>
  <c r="B252" i="231" s="1"/>
  <c r="B253" i="231" s="1"/>
  <c r="B254" i="231" s="1"/>
  <c r="B255" i="231" s="1"/>
  <c r="B256" i="231" s="1"/>
  <c r="G16" i="231"/>
  <c r="E17" i="231" s="1"/>
  <c r="E3" i="231"/>
  <c r="C2" i="231"/>
  <c r="F18" i="230"/>
  <c r="G6" i="230"/>
  <c r="E3" i="230"/>
  <c r="C2" i="230"/>
  <c r="H89" i="167"/>
  <c r="G89" i="167"/>
  <c r="H72" i="167"/>
  <c r="G72" i="167"/>
  <c r="H52" i="167"/>
  <c r="G52" i="167"/>
  <c r="H35" i="167"/>
  <c r="G35" i="167"/>
  <c r="H18" i="167"/>
  <c r="G18" i="167"/>
  <c r="G37" i="178"/>
  <c r="H37" i="178"/>
  <c r="H22" i="187"/>
  <c r="G22" i="187"/>
  <c r="C258" i="231" l="1"/>
  <c r="G18" i="230"/>
  <c r="G6" i="229"/>
  <c r="E3" i="229"/>
  <c r="C2" i="229"/>
  <c r="H17" i="124"/>
  <c r="G17" i="124"/>
  <c r="G60" i="187"/>
  <c r="H60" i="187"/>
  <c r="H43" i="187"/>
  <c r="G43" i="187"/>
  <c r="G17" i="206"/>
  <c r="G21" i="230" l="1"/>
  <c r="F17" i="231"/>
  <c r="G17" i="231" l="1"/>
  <c r="E18" i="231" s="1"/>
  <c r="F18" i="231" s="1"/>
  <c r="G18" i="231" s="1"/>
  <c r="E19" i="231" s="1"/>
  <c r="F19" i="231" s="1"/>
  <c r="G19" i="231" s="1"/>
  <c r="E20" i="231" l="1"/>
  <c r="F20" i="231" s="1"/>
  <c r="G20" i="231" s="1"/>
  <c r="D352" i="1"/>
  <c r="E21" i="231" l="1"/>
  <c r="F21" i="231" s="1"/>
  <c r="G21" i="231" s="1"/>
  <c r="H91" i="187"/>
  <c r="G91" i="187"/>
  <c r="H74" i="187"/>
  <c r="G74" i="187"/>
  <c r="H17" i="206"/>
  <c r="E22" i="231" l="1"/>
  <c r="F22" i="231" s="1"/>
  <c r="G22" i="231" s="1"/>
  <c r="E23" i="231" l="1"/>
  <c r="F23" i="231" s="1"/>
  <c r="G23" i="231" s="1"/>
  <c r="E24" i="231" l="1"/>
  <c r="F24" i="231" s="1"/>
  <c r="G24" i="231" s="1"/>
  <c r="E25" i="231" l="1"/>
  <c r="F25" i="231" s="1"/>
  <c r="G25" i="231" s="1"/>
  <c r="E26" i="231" l="1"/>
  <c r="F26" i="231" s="1"/>
  <c r="G26" i="231" s="1"/>
  <c r="E27" i="231" l="1"/>
  <c r="F27" i="231" s="1"/>
  <c r="G27" i="231" s="1"/>
  <c r="E28" i="231" l="1"/>
  <c r="F28" i="231" s="1"/>
  <c r="G28" i="231" s="1"/>
  <c r="E29" i="231" l="1"/>
  <c r="F29" i="231" s="1"/>
  <c r="G29" i="231" s="1"/>
  <c r="E30" i="231" s="1"/>
  <c r="F30" i="231" s="1"/>
  <c r="G30" i="231" s="1"/>
  <c r="E31" i="231" l="1"/>
  <c r="F31" i="231" s="1"/>
  <c r="G31" i="231" s="1"/>
  <c r="E32" i="231" l="1"/>
  <c r="F32" i="231" s="1"/>
  <c r="G32" i="231" s="1"/>
  <c r="E33" i="231" s="1"/>
  <c r="F33" i="231" s="1"/>
  <c r="G33" i="231" s="1"/>
  <c r="E34" i="231" l="1"/>
  <c r="F34" i="231" s="1"/>
  <c r="G34" i="231" s="1"/>
  <c r="J21" i="80"/>
  <c r="J20" i="80"/>
  <c r="J19" i="80"/>
  <c r="J18" i="80"/>
  <c r="J17" i="80"/>
  <c r="J16" i="80"/>
  <c r="J15" i="80"/>
  <c r="E35" i="231" l="1"/>
  <c r="F35" i="231" s="1"/>
  <c r="G35" i="231" s="1"/>
  <c r="E36" i="231" l="1"/>
  <c r="F36" i="231" s="1"/>
  <c r="G36" i="231" s="1"/>
  <c r="E37" i="231" l="1"/>
  <c r="F37" i="231" s="1"/>
  <c r="G37" i="231" s="1"/>
  <c r="E38" i="231" l="1"/>
  <c r="F38" i="231" s="1"/>
  <c r="G38" i="231" s="1"/>
  <c r="E39" i="231" l="1"/>
  <c r="F39" i="231" s="1"/>
  <c r="G39" i="231" s="1"/>
  <c r="E40" i="231" l="1"/>
  <c r="F40" i="231" s="1"/>
  <c r="G40" i="231" s="1"/>
  <c r="E41" i="231" l="1"/>
  <c r="F41" i="231" s="1"/>
  <c r="G41" i="231" s="1"/>
  <c r="E42" i="231" l="1"/>
  <c r="F42" i="231" s="1"/>
  <c r="G42" i="231" s="1"/>
  <c r="E43" i="231" l="1"/>
  <c r="F43" i="231" s="1"/>
  <c r="G43" i="231" s="1"/>
  <c r="X244" i="89"/>
  <c r="X205" i="89"/>
  <c r="X171" i="89"/>
  <c r="X127" i="89"/>
  <c r="X39" i="89"/>
  <c r="X342" i="89" l="1"/>
  <c r="X237" i="89"/>
  <c r="X164" i="89"/>
  <c r="X121" i="89"/>
  <c r="U105" i="242" s="1"/>
  <c r="E44" i="231"/>
  <c r="F44" i="231" s="1"/>
  <c r="G44" i="231" s="1"/>
  <c r="E45" i="231" l="1"/>
  <c r="F45" i="231" s="1"/>
  <c r="G45" i="231" s="1"/>
  <c r="E46" i="231" l="1"/>
  <c r="F46" i="231" s="1"/>
  <c r="G46" i="231" s="1"/>
  <c r="E47" i="231" l="1"/>
  <c r="F47" i="231" s="1"/>
  <c r="G47" i="231" s="1"/>
  <c r="M21" i="80"/>
  <c r="E48" i="231" l="1"/>
  <c r="F48" i="231" s="1"/>
  <c r="G48" i="231" s="1"/>
  <c r="E49" i="231" l="1"/>
  <c r="F49" i="231" s="1"/>
  <c r="G49" i="231" s="1"/>
  <c r="E50" i="231" l="1"/>
  <c r="F50" i="231" s="1"/>
  <c r="G50" i="231" s="1"/>
  <c r="E51" i="231" l="1"/>
  <c r="F51" i="231" s="1"/>
  <c r="G51" i="231" s="1"/>
  <c r="E52" i="231" l="1"/>
  <c r="F52" i="231" s="1"/>
  <c r="G52" i="231" s="1"/>
  <c r="E53" i="231" l="1"/>
  <c r="F53" i="231" s="1"/>
  <c r="G53" i="231" s="1"/>
  <c r="E54" i="231" l="1"/>
  <c r="F54" i="231" s="1"/>
  <c r="G54" i="231" s="1"/>
  <c r="E55" i="231" l="1"/>
  <c r="F55" i="231" s="1"/>
  <c r="G55" i="231" s="1"/>
  <c r="E56" i="231" l="1"/>
  <c r="F56" i="231" s="1"/>
  <c r="G56" i="231" s="1"/>
  <c r="E57" i="231" l="1"/>
  <c r="F57" i="231" s="1"/>
  <c r="G57" i="231" s="1"/>
  <c r="E58" i="231" l="1"/>
  <c r="F58" i="231" s="1"/>
  <c r="G58" i="231" s="1"/>
  <c r="E59" i="231" l="1"/>
  <c r="F59" i="231" s="1"/>
  <c r="G59" i="231" s="1"/>
  <c r="R1596" i="1"/>
  <c r="R1513" i="1"/>
  <c r="D1596" i="1"/>
  <c r="D1513" i="1"/>
  <c r="E60" i="231" l="1"/>
  <c r="F60" i="231" s="1"/>
  <c r="G60" i="231" s="1"/>
  <c r="C3" i="80"/>
  <c r="C22" i="168"/>
  <c r="C21" i="168"/>
  <c r="C20" i="168"/>
  <c r="C19" i="168"/>
  <c r="G6" i="206"/>
  <c r="E3" i="206"/>
  <c r="C2" i="206"/>
  <c r="E61" i="231" l="1"/>
  <c r="F61" i="231" s="1"/>
  <c r="G61" i="231" s="1"/>
  <c r="M205" i="192"/>
  <c r="G205" i="192" s="1"/>
  <c r="K205" i="192"/>
  <c r="F205" i="192" s="1"/>
  <c r="M204" i="192"/>
  <c r="G204" i="192" s="1"/>
  <c r="K204" i="192"/>
  <c r="F204" i="192" s="1"/>
  <c r="M205" i="190"/>
  <c r="G205" i="190" s="1"/>
  <c r="K205" i="190"/>
  <c r="F205" i="190" s="1"/>
  <c r="M204" i="190"/>
  <c r="G204" i="190" s="1"/>
  <c r="K204" i="190"/>
  <c r="F204" i="190" s="1"/>
  <c r="M205" i="136"/>
  <c r="G205" i="136" s="1"/>
  <c r="K205" i="136"/>
  <c r="F205" i="136" s="1"/>
  <c r="M204" i="136"/>
  <c r="G204" i="136" s="1"/>
  <c r="K204" i="136"/>
  <c r="F204" i="136" s="1"/>
  <c r="E62" i="231" l="1"/>
  <c r="F62" i="231" s="1"/>
  <c r="G62" i="231" s="1"/>
  <c r="I204" i="136"/>
  <c r="F204" i="5" s="1"/>
  <c r="I205" i="136"/>
  <c r="F205" i="5" s="1"/>
  <c r="I204" i="192"/>
  <c r="H204" i="5" s="1"/>
  <c r="I205" i="192"/>
  <c r="H205" i="5" s="1"/>
  <c r="I205" i="190"/>
  <c r="G205" i="5" s="1"/>
  <c r="I204" i="190"/>
  <c r="G204" i="5" s="1"/>
  <c r="D662" i="1"/>
  <c r="D661" i="1"/>
  <c r="D660" i="1"/>
  <c r="D646" i="1"/>
  <c r="D645" i="1"/>
  <c r="D644" i="1"/>
  <c r="D630" i="1"/>
  <c r="D629" i="1"/>
  <c r="D628" i="1"/>
  <c r="M137" i="192"/>
  <c r="G137" i="192" s="1"/>
  <c r="I137" i="192" s="1"/>
  <c r="O660" i="248" s="1"/>
  <c r="R660" i="248" s="1"/>
  <c r="K137" i="192"/>
  <c r="O662" i="1" s="1"/>
  <c r="M136" i="192"/>
  <c r="G136" i="192" s="1"/>
  <c r="I136" i="192" s="1"/>
  <c r="O659" i="248" s="1"/>
  <c r="R659" i="248" s="1"/>
  <c r="K136" i="192"/>
  <c r="O661" i="1" s="1"/>
  <c r="M135" i="192"/>
  <c r="G135" i="192" s="1"/>
  <c r="I135" i="192" s="1"/>
  <c r="O658" i="248" s="1"/>
  <c r="R658" i="248" s="1"/>
  <c r="K135" i="192"/>
  <c r="O660" i="1" s="1"/>
  <c r="M137" i="136"/>
  <c r="G137" i="136" s="1"/>
  <c r="I137" i="136" s="1"/>
  <c r="O628" i="248" s="1"/>
  <c r="R628" i="248" s="1"/>
  <c r="O630" i="1"/>
  <c r="M136" i="136"/>
  <c r="G136" i="136" s="1"/>
  <c r="I136" i="136" s="1"/>
  <c r="O627" i="248" s="1"/>
  <c r="R627" i="248" s="1"/>
  <c r="O629" i="1"/>
  <c r="M135" i="136"/>
  <c r="G135" i="136" s="1"/>
  <c r="I135" i="136" s="1"/>
  <c r="O626" i="248" s="1"/>
  <c r="R626" i="248" s="1"/>
  <c r="O628" i="1"/>
  <c r="M137" i="190"/>
  <c r="G137" i="190" s="1"/>
  <c r="I137" i="190" s="1"/>
  <c r="O644" i="248" s="1"/>
  <c r="R644" i="248" s="1"/>
  <c r="O646" i="1"/>
  <c r="M136" i="190"/>
  <c r="G136" i="190" s="1"/>
  <c r="I136" i="190" s="1"/>
  <c r="O643" i="248" s="1"/>
  <c r="R643" i="248" s="1"/>
  <c r="O645" i="1"/>
  <c r="M135" i="190"/>
  <c r="G135" i="190" s="1"/>
  <c r="I135" i="190" s="1"/>
  <c r="O642" i="248" s="1"/>
  <c r="R642" i="248" s="1"/>
  <c r="O644" i="1"/>
  <c r="M644" i="1" l="1"/>
  <c r="R644" i="1" s="1"/>
  <c r="M646" i="1"/>
  <c r="R646" i="1" s="1"/>
  <c r="M660" i="1"/>
  <c r="R660" i="1" s="1"/>
  <c r="M662" i="1"/>
  <c r="R662" i="1" s="1"/>
  <c r="M645" i="1"/>
  <c r="R645" i="1" s="1"/>
  <c r="M661" i="1"/>
  <c r="R661" i="1" s="1"/>
  <c r="E63" i="231"/>
  <c r="F63" i="231" s="1"/>
  <c r="G63" i="231" s="1"/>
  <c r="M629" i="1"/>
  <c r="R629" i="1" s="1"/>
  <c r="M628" i="1"/>
  <c r="R628" i="1" s="1"/>
  <c r="M630" i="1"/>
  <c r="R630" i="1" s="1"/>
  <c r="E64" i="231" l="1"/>
  <c r="F64" i="231" s="1"/>
  <c r="G64" i="231" s="1"/>
  <c r="E65" i="231" l="1"/>
  <c r="F65" i="231" s="1"/>
  <c r="G65" i="231" s="1"/>
  <c r="E66" i="231" l="1"/>
  <c r="F66" i="231" s="1"/>
  <c r="G66" i="231" s="1"/>
  <c r="K338" i="89"/>
  <c r="W338" i="89" s="1"/>
  <c r="Y338" i="89" s="1"/>
  <c r="Z338" i="89" s="1"/>
  <c r="K337" i="89"/>
  <c r="K336" i="89"/>
  <c r="K335" i="89"/>
  <c r="K334" i="89"/>
  <c r="W334" i="89" s="1"/>
  <c r="Y334" i="89" s="1"/>
  <c r="Z334" i="89" s="1"/>
  <c r="K333" i="89"/>
  <c r="K332" i="89"/>
  <c r="K331" i="89"/>
  <c r="K330" i="89"/>
  <c r="W330" i="89" s="1"/>
  <c r="Y330" i="89" s="1"/>
  <c r="Z330" i="89" s="1"/>
  <c r="K329" i="89"/>
  <c r="K328" i="89"/>
  <c r="K327" i="89"/>
  <c r="K326" i="89"/>
  <c r="W326" i="89" s="1"/>
  <c r="Y326" i="89" s="1"/>
  <c r="Z326" i="89" s="1"/>
  <c r="K325" i="89"/>
  <c r="K324" i="89"/>
  <c r="K323" i="89"/>
  <c r="K322" i="89"/>
  <c r="W322" i="89" s="1"/>
  <c r="Y322" i="89" s="1"/>
  <c r="Z322" i="89" s="1"/>
  <c r="K321" i="89"/>
  <c r="K320" i="89"/>
  <c r="K319" i="89"/>
  <c r="K318" i="89"/>
  <c r="W318" i="89" s="1"/>
  <c r="Y318" i="89" s="1"/>
  <c r="Z318" i="89" s="1"/>
  <c r="K317" i="89"/>
  <c r="K316" i="89"/>
  <c r="K315" i="89"/>
  <c r="K314" i="89"/>
  <c r="W314" i="89" s="1"/>
  <c r="Y314" i="89" s="1"/>
  <c r="Z314" i="89" s="1"/>
  <c r="K313" i="89"/>
  <c r="K312" i="89"/>
  <c r="K311" i="89"/>
  <c r="K310" i="89"/>
  <c r="K309" i="89"/>
  <c r="K308" i="89"/>
  <c r="K307" i="89"/>
  <c r="K306" i="89"/>
  <c r="W306" i="89" s="1"/>
  <c r="Y306" i="89" s="1"/>
  <c r="Z306" i="89" s="1"/>
  <c r="K305" i="89"/>
  <c r="K304" i="89"/>
  <c r="K303" i="89"/>
  <c r="K302" i="89"/>
  <c r="W302" i="89" s="1"/>
  <c r="Y302" i="89" s="1"/>
  <c r="Z302" i="89" s="1"/>
  <c r="K301" i="89"/>
  <c r="K300" i="89"/>
  <c r="K299" i="89"/>
  <c r="K298" i="89"/>
  <c r="W298" i="89" s="1"/>
  <c r="Y298" i="89" s="1"/>
  <c r="Z298" i="89" s="1"/>
  <c r="K297" i="89"/>
  <c r="K296" i="89"/>
  <c r="K295" i="89"/>
  <c r="K294" i="89"/>
  <c r="W294" i="89" s="1"/>
  <c r="Y294" i="89" s="1"/>
  <c r="Z294" i="89" s="1"/>
  <c r="K293" i="89"/>
  <c r="W293" i="89" s="1"/>
  <c r="Y293" i="89" s="1"/>
  <c r="Z293" i="89" s="1"/>
  <c r="K292" i="89"/>
  <c r="K291" i="89"/>
  <c r="K290" i="89"/>
  <c r="K289" i="89"/>
  <c r="K288" i="89"/>
  <c r="K287" i="89"/>
  <c r="K286" i="89"/>
  <c r="W286" i="89" s="1"/>
  <c r="Y286" i="89" s="1"/>
  <c r="Z286" i="89" s="1"/>
  <c r="K285" i="89"/>
  <c r="K284" i="89"/>
  <c r="K283" i="89"/>
  <c r="K282" i="89"/>
  <c r="K281" i="89"/>
  <c r="K280" i="89"/>
  <c r="K279" i="89"/>
  <c r="K278" i="89"/>
  <c r="K277" i="89"/>
  <c r="K276" i="89"/>
  <c r="K275" i="89"/>
  <c r="K274" i="89"/>
  <c r="K273" i="89"/>
  <c r="K272" i="89"/>
  <c r="K271" i="89"/>
  <c r="K270" i="89"/>
  <c r="K269" i="89"/>
  <c r="K268" i="89"/>
  <c r="K267" i="89"/>
  <c r="K266" i="89"/>
  <c r="K118" i="89"/>
  <c r="K117" i="89"/>
  <c r="K116" i="89"/>
  <c r="K115" i="89"/>
  <c r="K114" i="89"/>
  <c r="K113" i="89"/>
  <c r="K112" i="89"/>
  <c r="K111" i="89"/>
  <c r="K110" i="89"/>
  <c r="K109" i="89"/>
  <c r="K108" i="89"/>
  <c r="K107" i="89"/>
  <c r="K106" i="89"/>
  <c r="K105" i="89"/>
  <c r="K104" i="89"/>
  <c r="K103" i="89"/>
  <c r="K102" i="89"/>
  <c r="K101" i="89"/>
  <c r="K90" i="89"/>
  <c r="W90" i="89" s="1"/>
  <c r="K89" i="89"/>
  <c r="W89" i="89" s="1"/>
  <c r="K88" i="89"/>
  <c r="W88" i="89" s="1"/>
  <c r="K85" i="89"/>
  <c r="W85" i="89" s="1"/>
  <c r="K84" i="89"/>
  <c r="W84" i="89" s="1"/>
  <c r="K83" i="89"/>
  <c r="W83" i="89" s="1"/>
  <c r="K81" i="89"/>
  <c r="W81" i="89" s="1"/>
  <c r="C214" i="4"/>
  <c r="C209" i="4"/>
  <c r="P204" i="5"/>
  <c r="N204" i="5"/>
  <c r="O1332" i="1" s="1"/>
  <c r="P203" i="5"/>
  <c r="N203" i="5"/>
  <c r="O1331" i="1" s="1"/>
  <c r="Y85" i="89" l="1"/>
  <c r="Z85" i="89" s="1"/>
  <c r="Y81" i="89"/>
  <c r="Z81" i="89" s="1"/>
  <c r="Y88" i="89"/>
  <c r="Z88" i="89" s="1"/>
  <c r="Y83" i="89"/>
  <c r="Z83" i="89" s="1"/>
  <c r="Y89" i="89"/>
  <c r="Z89" i="89" s="1"/>
  <c r="Y84" i="89"/>
  <c r="Z84" i="89" s="1"/>
  <c r="Y90" i="89"/>
  <c r="Z90" i="89" s="1"/>
  <c r="W277" i="89"/>
  <c r="Y277" i="89" s="1"/>
  <c r="Z277" i="89" s="1"/>
  <c r="W285" i="89"/>
  <c r="Y285" i="89" s="1"/>
  <c r="Z285" i="89" s="1"/>
  <c r="W297" i="89"/>
  <c r="Y297" i="89" s="1"/>
  <c r="Z297" i="89" s="1"/>
  <c r="W321" i="89"/>
  <c r="Y321" i="89" s="1"/>
  <c r="Z321" i="89" s="1"/>
  <c r="W274" i="89"/>
  <c r="Y274" i="89" s="1"/>
  <c r="Z274" i="89" s="1"/>
  <c r="W282" i="89"/>
  <c r="Y282" i="89" s="1"/>
  <c r="Z282" i="89" s="1"/>
  <c r="W290" i="89"/>
  <c r="Y290" i="89" s="1"/>
  <c r="Z290" i="89" s="1"/>
  <c r="W269" i="89"/>
  <c r="Y269" i="89" s="1"/>
  <c r="Z269" i="89" s="1"/>
  <c r="W281" i="89"/>
  <c r="Y281" i="89" s="1"/>
  <c r="Z281" i="89" s="1"/>
  <c r="W289" i="89"/>
  <c r="Y289" i="89" s="1"/>
  <c r="Z289" i="89" s="1"/>
  <c r="W305" i="89"/>
  <c r="Y305" i="89" s="1"/>
  <c r="Z305" i="89" s="1"/>
  <c r="W325" i="89"/>
  <c r="Y325" i="89" s="1"/>
  <c r="Z325" i="89" s="1"/>
  <c r="W270" i="89"/>
  <c r="Y270" i="89" s="1"/>
  <c r="Z270" i="89" s="1"/>
  <c r="W278" i="89"/>
  <c r="Y278" i="89" s="1"/>
  <c r="Z278" i="89" s="1"/>
  <c r="W267" i="89"/>
  <c r="Y267" i="89" s="1"/>
  <c r="Z267" i="89" s="1"/>
  <c r="W271" i="89"/>
  <c r="Y271" i="89" s="1"/>
  <c r="Z271" i="89" s="1"/>
  <c r="W275" i="89"/>
  <c r="Y275" i="89" s="1"/>
  <c r="Z275" i="89" s="1"/>
  <c r="W279" i="89"/>
  <c r="Y279" i="89" s="1"/>
  <c r="Z279" i="89" s="1"/>
  <c r="W283" i="89"/>
  <c r="Y283" i="89" s="1"/>
  <c r="Z283" i="89" s="1"/>
  <c r="W287" i="89"/>
  <c r="Y287" i="89" s="1"/>
  <c r="Z287" i="89" s="1"/>
  <c r="W291" i="89"/>
  <c r="Y291" i="89" s="1"/>
  <c r="Z291" i="89" s="1"/>
  <c r="W295" i="89"/>
  <c r="Y295" i="89" s="1"/>
  <c r="Z295" i="89" s="1"/>
  <c r="W299" i="89"/>
  <c r="Y299" i="89" s="1"/>
  <c r="Z299" i="89" s="1"/>
  <c r="W303" i="89"/>
  <c r="Y303" i="89" s="1"/>
  <c r="Z303" i="89" s="1"/>
  <c r="W307" i="89"/>
  <c r="Y307" i="89" s="1"/>
  <c r="Z307" i="89" s="1"/>
  <c r="W311" i="89"/>
  <c r="Y311" i="89" s="1"/>
  <c r="Z311" i="89" s="1"/>
  <c r="W315" i="89"/>
  <c r="Y315" i="89" s="1"/>
  <c r="Z315" i="89" s="1"/>
  <c r="W319" i="89"/>
  <c r="Y319" i="89" s="1"/>
  <c r="Z319" i="89" s="1"/>
  <c r="W323" i="89"/>
  <c r="Y323" i="89" s="1"/>
  <c r="Z323" i="89" s="1"/>
  <c r="W327" i="89"/>
  <c r="Y327" i="89" s="1"/>
  <c r="Z327" i="89" s="1"/>
  <c r="W331" i="89"/>
  <c r="Y331" i="89" s="1"/>
  <c r="Z331" i="89" s="1"/>
  <c r="W335" i="89"/>
  <c r="Y335" i="89" s="1"/>
  <c r="Z335" i="89" s="1"/>
  <c r="W273" i="89"/>
  <c r="Y273" i="89" s="1"/>
  <c r="Z273" i="89" s="1"/>
  <c r="W301" i="89"/>
  <c r="Y301" i="89" s="1"/>
  <c r="Z301" i="89" s="1"/>
  <c r="W309" i="89"/>
  <c r="Y309" i="89" s="1"/>
  <c r="Z309" i="89" s="1"/>
  <c r="W313" i="89"/>
  <c r="Y313" i="89" s="1"/>
  <c r="Z313" i="89" s="1"/>
  <c r="W317" i="89"/>
  <c r="Y317" i="89" s="1"/>
  <c r="Z317" i="89" s="1"/>
  <c r="W329" i="89"/>
  <c r="Y329" i="89" s="1"/>
  <c r="Z329" i="89" s="1"/>
  <c r="W333" i="89"/>
  <c r="Y333" i="89" s="1"/>
  <c r="Z333" i="89" s="1"/>
  <c r="W337" i="89"/>
  <c r="Y337" i="89" s="1"/>
  <c r="Z337" i="89" s="1"/>
  <c r="W266" i="89"/>
  <c r="Y266" i="89" s="1"/>
  <c r="Z266" i="89" s="1"/>
  <c r="W310" i="89"/>
  <c r="Y310" i="89" s="1"/>
  <c r="Z310" i="89" s="1"/>
  <c r="W268" i="89"/>
  <c r="Y268" i="89" s="1"/>
  <c r="Z268" i="89" s="1"/>
  <c r="W272" i="89"/>
  <c r="Y272" i="89" s="1"/>
  <c r="Z272" i="89" s="1"/>
  <c r="W276" i="89"/>
  <c r="Y276" i="89" s="1"/>
  <c r="Z276" i="89" s="1"/>
  <c r="W280" i="89"/>
  <c r="Y280" i="89" s="1"/>
  <c r="Z280" i="89" s="1"/>
  <c r="W284" i="89"/>
  <c r="Y284" i="89" s="1"/>
  <c r="Z284" i="89" s="1"/>
  <c r="W288" i="89"/>
  <c r="Y288" i="89" s="1"/>
  <c r="Z288" i="89" s="1"/>
  <c r="W292" i="89"/>
  <c r="Y292" i="89" s="1"/>
  <c r="Z292" i="89" s="1"/>
  <c r="W296" i="89"/>
  <c r="Y296" i="89" s="1"/>
  <c r="Z296" i="89" s="1"/>
  <c r="W300" i="89"/>
  <c r="Y300" i="89" s="1"/>
  <c r="Z300" i="89" s="1"/>
  <c r="W304" i="89"/>
  <c r="Y304" i="89" s="1"/>
  <c r="Z304" i="89" s="1"/>
  <c r="W308" i="89"/>
  <c r="Y308" i="89" s="1"/>
  <c r="Z308" i="89" s="1"/>
  <c r="W312" i="89"/>
  <c r="Y312" i="89" s="1"/>
  <c r="Z312" i="89" s="1"/>
  <c r="W316" i="89"/>
  <c r="Y316" i="89" s="1"/>
  <c r="Z316" i="89" s="1"/>
  <c r="W320" i="89"/>
  <c r="Y320" i="89" s="1"/>
  <c r="Z320" i="89" s="1"/>
  <c r="W324" i="89"/>
  <c r="Y324" i="89" s="1"/>
  <c r="Z324" i="89" s="1"/>
  <c r="W328" i="89"/>
  <c r="Y328" i="89" s="1"/>
  <c r="Z328" i="89" s="1"/>
  <c r="W332" i="89"/>
  <c r="Y332" i="89" s="1"/>
  <c r="Z332" i="89" s="1"/>
  <c r="W336" i="89"/>
  <c r="Y336" i="89" s="1"/>
  <c r="Z336" i="89" s="1"/>
  <c r="W102" i="89"/>
  <c r="W106" i="89"/>
  <c r="W110" i="89"/>
  <c r="W114" i="89"/>
  <c r="W118" i="89"/>
  <c r="W103" i="89"/>
  <c r="W107" i="89"/>
  <c r="W111" i="89"/>
  <c r="W115" i="89"/>
  <c r="W104" i="89"/>
  <c r="W108" i="89"/>
  <c r="W112" i="89"/>
  <c r="W116" i="89"/>
  <c r="W101" i="89"/>
  <c r="W105" i="89"/>
  <c r="W109" i="89"/>
  <c r="W113" i="89"/>
  <c r="W117" i="89"/>
  <c r="E67" i="231"/>
  <c r="F67" i="231" s="1"/>
  <c r="G67" i="231" s="1"/>
  <c r="I203" i="5"/>
  <c r="H19" i="168"/>
  <c r="I204" i="5"/>
  <c r="H20" i="168"/>
  <c r="Y117" i="89" l="1"/>
  <c r="Z117" i="89" s="1"/>
  <c r="Y113" i="89"/>
  <c r="Z113" i="89" s="1"/>
  <c r="Y116" i="89"/>
  <c r="Z116" i="89" s="1"/>
  <c r="Y115" i="89"/>
  <c r="Z115" i="89" s="1"/>
  <c r="Y118" i="89"/>
  <c r="Z118" i="89" s="1"/>
  <c r="Y104" i="89"/>
  <c r="Z104" i="89" s="1"/>
  <c r="Y112" i="89"/>
  <c r="Z112" i="89" s="1"/>
  <c r="Y114" i="89"/>
  <c r="Z114" i="89" s="1"/>
  <c r="Y106" i="89"/>
  <c r="Z106" i="89" s="1"/>
  <c r="Y109" i="89"/>
  <c r="Z109" i="89" s="1"/>
  <c r="Y111" i="89"/>
  <c r="Z111" i="89" s="1"/>
  <c r="Y105" i="89"/>
  <c r="Z105" i="89" s="1"/>
  <c r="Y108" i="89"/>
  <c r="Z108" i="89" s="1"/>
  <c r="Y107" i="89"/>
  <c r="Z107" i="89" s="1"/>
  <c r="Y110" i="89"/>
  <c r="Z110" i="89" s="1"/>
  <c r="Y101" i="89"/>
  <c r="Z101" i="89" s="1"/>
  <c r="Y103" i="89"/>
  <c r="Z103" i="89" s="1"/>
  <c r="Y102" i="89"/>
  <c r="Z102" i="89" s="1"/>
  <c r="E68" i="231"/>
  <c r="F68" i="231" s="1"/>
  <c r="G68" i="231" s="1"/>
  <c r="D611" i="1"/>
  <c r="D610" i="1"/>
  <c r="D609" i="1"/>
  <c r="E69" i="231" l="1"/>
  <c r="F69" i="231" s="1"/>
  <c r="G69" i="231" s="1"/>
  <c r="M609" i="1"/>
  <c r="O610" i="1"/>
  <c r="O609" i="1"/>
  <c r="O611" i="1"/>
  <c r="E70" i="231" l="1"/>
  <c r="F70" i="231" s="1"/>
  <c r="G70" i="231" s="1"/>
  <c r="R609" i="1"/>
  <c r="N384" i="5"/>
  <c r="O1495" i="1" s="1"/>
  <c r="E71" i="231" l="1"/>
  <c r="F71" i="231" s="1"/>
  <c r="G71" i="231" s="1"/>
  <c r="E72" i="231" l="1"/>
  <c r="F72" i="231" s="1"/>
  <c r="G72" i="231" s="1"/>
  <c r="E73" i="231" l="1"/>
  <c r="F73" i="231" s="1"/>
  <c r="G73" i="231" s="1"/>
  <c r="E74" i="231" l="1"/>
  <c r="F74" i="231" s="1"/>
  <c r="G74" i="231" s="1"/>
  <c r="E75" i="231" l="1"/>
  <c r="F75" i="231" s="1"/>
  <c r="G75" i="231" s="1"/>
  <c r="K80" i="89"/>
  <c r="W80" i="89" s="1"/>
  <c r="K79" i="89"/>
  <c r="W79" i="89" s="1"/>
  <c r="K78" i="89"/>
  <c r="W78" i="89" s="1"/>
  <c r="K77" i="89"/>
  <c r="W77" i="89" s="1"/>
  <c r="K76" i="89"/>
  <c r="W76" i="89" s="1"/>
  <c r="K75" i="89"/>
  <c r="W75" i="89" s="1"/>
  <c r="K74" i="89"/>
  <c r="W74" i="89" s="1"/>
  <c r="K73" i="89"/>
  <c r="W73" i="89" s="1"/>
  <c r="K72" i="89"/>
  <c r="W72" i="89" s="1"/>
  <c r="K71" i="89"/>
  <c r="W71" i="89" s="1"/>
  <c r="K70" i="89"/>
  <c r="W70" i="89" s="1"/>
  <c r="K69" i="89"/>
  <c r="W69" i="89" s="1"/>
  <c r="K68" i="89"/>
  <c r="W68" i="89" s="1"/>
  <c r="K67" i="89"/>
  <c r="W67" i="89" s="1"/>
  <c r="K66" i="89"/>
  <c r="W66" i="89" s="1"/>
  <c r="K65" i="89"/>
  <c r="W65" i="89" s="1"/>
  <c r="K64" i="89"/>
  <c r="W64" i="89" s="1"/>
  <c r="K63" i="89"/>
  <c r="W63" i="89" s="1"/>
  <c r="K62" i="89"/>
  <c r="W62" i="89" s="1"/>
  <c r="K61" i="89"/>
  <c r="W61" i="89" s="1"/>
  <c r="K60" i="89"/>
  <c r="W60" i="89" s="1"/>
  <c r="K59" i="89"/>
  <c r="W59" i="89" s="1"/>
  <c r="K58" i="89"/>
  <c r="W58" i="89" s="1"/>
  <c r="K57" i="89"/>
  <c r="W57" i="89" s="1"/>
  <c r="K56" i="89"/>
  <c r="W56" i="89" s="1"/>
  <c r="K55" i="89"/>
  <c r="W55" i="89" s="1"/>
  <c r="K54" i="89"/>
  <c r="W54" i="89" s="1"/>
  <c r="Y62" i="89" l="1"/>
  <c r="Z62" i="89" s="1"/>
  <c r="Y74" i="89"/>
  <c r="Z74" i="89" s="1"/>
  <c r="Y55" i="89"/>
  <c r="Z55" i="89" s="1"/>
  <c r="Y59" i="89"/>
  <c r="Z59" i="89" s="1"/>
  <c r="Y63" i="89"/>
  <c r="Z63" i="89" s="1"/>
  <c r="Y67" i="89"/>
  <c r="Z67" i="89" s="1"/>
  <c r="Y71" i="89"/>
  <c r="Z71" i="89" s="1"/>
  <c r="Y75" i="89"/>
  <c r="Z75" i="89" s="1"/>
  <c r="Y79" i="89"/>
  <c r="Z79" i="89" s="1"/>
  <c r="Y54" i="89"/>
  <c r="Z54" i="89" s="1"/>
  <c r="Y66" i="89"/>
  <c r="Z66" i="89" s="1"/>
  <c r="Y56" i="89"/>
  <c r="Z56" i="89" s="1"/>
  <c r="Y60" i="89"/>
  <c r="Z60" i="89" s="1"/>
  <c r="Y64" i="89"/>
  <c r="Z64" i="89" s="1"/>
  <c r="Y68" i="89"/>
  <c r="Z68" i="89" s="1"/>
  <c r="Y72" i="89"/>
  <c r="Z72" i="89" s="1"/>
  <c r="Y76" i="89"/>
  <c r="Z76" i="89" s="1"/>
  <c r="Y80" i="89"/>
  <c r="Z80" i="89" s="1"/>
  <c r="Y58" i="89"/>
  <c r="Z58" i="89" s="1"/>
  <c r="Y70" i="89"/>
  <c r="Z70" i="89" s="1"/>
  <c r="Y78" i="89"/>
  <c r="Z78" i="89" s="1"/>
  <c r="Y57" i="89"/>
  <c r="Z57" i="89" s="1"/>
  <c r="Y61" i="89"/>
  <c r="Z61" i="89" s="1"/>
  <c r="Y65" i="89"/>
  <c r="Z65" i="89" s="1"/>
  <c r="Y69" i="89"/>
  <c r="Z69" i="89" s="1"/>
  <c r="Y73" i="89"/>
  <c r="Z73" i="89" s="1"/>
  <c r="Y77" i="89"/>
  <c r="Z77" i="89" s="1"/>
  <c r="E76" i="231"/>
  <c r="F76" i="231" s="1"/>
  <c r="G76" i="231" s="1"/>
  <c r="D1428" i="1"/>
  <c r="D1427" i="1"/>
  <c r="E77" i="231" l="1"/>
  <c r="F77" i="231" s="1"/>
  <c r="G77" i="231" s="1"/>
  <c r="E78" i="231" l="1"/>
  <c r="F78" i="231" s="1"/>
  <c r="G78" i="231" s="1"/>
  <c r="K93" i="89"/>
  <c r="W93" i="89" l="1"/>
  <c r="E79" i="231"/>
  <c r="F79" i="231" s="1"/>
  <c r="G79" i="231" s="1"/>
  <c r="Y93" i="89" l="1"/>
  <c r="Z93" i="89" s="1"/>
  <c r="E80" i="231"/>
  <c r="F80" i="231" s="1"/>
  <c r="G80" i="231" s="1"/>
  <c r="E81" i="231" l="1"/>
  <c r="F81" i="231" s="1"/>
  <c r="G81" i="231" s="1"/>
  <c r="G24" i="4"/>
  <c r="D242" i="1" l="1"/>
  <c r="D242" i="248"/>
  <c r="D181" i="248"/>
  <c r="D181" i="1"/>
  <c r="E82" i="231"/>
  <c r="F82" i="231" s="1"/>
  <c r="G82" i="231" s="1"/>
  <c r="E83" i="231" l="1"/>
  <c r="F83" i="231" s="1"/>
  <c r="G83" i="231" s="1"/>
  <c r="O1760" i="1"/>
  <c r="R1765" i="1" l="1"/>
  <c r="E84" i="231"/>
  <c r="F84" i="231" s="1"/>
  <c r="G84" i="231" s="1"/>
  <c r="K92" i="89"/>
  <c r="K91" i="89"/>
  <c r="K53" i="89"/>
  <c r="W53" i="89" s="1"/>
  <c r="K52" i="89"/>
  <c r="W52" i="89" s="1"/>
  <c r="K51" i="89"/>
  <c r="W51" i="89" s="1"/>
  <c r="R1755" i="1" l="1"/>
  <c r="R1759" i="1"/>
  <c r="R1757" i="1"/>
  <c r="R1756" i="1"/>
  <c r="Y51" i="89"/>
  <c r="Z51" i="89" s="1"/>
  <c r="Y52" i="89"/>
  <c r="Z52" i="89" s="1"/>
  <c r="Y53" i="89"/>
  <c r="Z53" i="89" s="1"/>
  <c r="R1804" i="1"/>
  <c r="R1772" i="1"/>
  <c r="W91" i="89"/>
  <c r="W92" i="89"/>
  <c r="E85" i="231"/>
  <c r="F85" i="231" s="1"/>
  <c r="G85" i="231" s="1"/>
  <c r="Y92" i="89" l="1"/>
  <c r="Z92" i="89" s="1"/>
  <c r="Y91" i="89"/>
  <c r="Z91" i="89" s="1"/>
  <c r="E86" i="231"/>
  <c r="F86" i="231" s="1"/>
  <c r="G86" i="231" s="1"/>
  <c r="E87" i="231" l="1"/>
  <c r="F87" i="231" s="1"/>
  <c r="G87" i="231" s="1"/>
  <c r="E88" i="231" l="1"/>
  <c r="F88" i="231" s="1"/>
  <c r="G88" i="231" s="1"/>
  <c r="E89" i="231" l="1"/>
  <c r="F89" i="231" s="1"/>
  <c r="G89" i="231" s="1"/>
  <c r="E90" i="231" l="1"/>
  <c r="F90" i="231" s="1"/>
  <c r="G90" i="231" s="1"/>
  <c r="R89" i="1"/>
  <c r="R90" i="1"/>
  <c r="R91" i="1"/>
  <c r="R92" i="1"/>
  <c r="F92" i="1"/>
  <c r="E91" i="231" l="1"/>
  <c r="F91" i="231" s="1"/>
  <c r="G91" i="231" s="1"/>
  <c r="K100" i="89"/>
  <c r="K99" i="89"/>
  <c r="K98" i="89"/>
  <c r="K97" i="89"/>
  <c r="K96" i="89"/>
  <c r="W96" i="89" s="1"/>
  <c r="K95" i="89"/>
  <c r="K94" i="89"/>
  <c r="K50" i="89"/>
  <c r="W50" i="89" s="1"/>
  <c r="K49" i="89"/>
  <c r="W49" i="89" s="1"/>
  <c r="K48" i="89"/>
  <c r="W48" i="89" s="1"/>
  <c r="K47" i="89"/>
  <c r="W47" i="89" s="1"/>
  <c r="K46" i="89"/>
  <c r="W46" i="89" s="1"/>
  <c r="K45" i="89"/>
  <c r="W45" i="89" s="1"/>
  <c r="K44" i="89"/>
  <c r="W44" i="89" s="1"/>
  <c r="K43" i="89"/>
  <c r="K42" i="89"/>
  <c r="K41" i="89"/>
  <c r="K40" i="89"/>
  <c r="K245" i="89"/>
  <c r="K244" i="89"/>
  <c r="S121" i="89" l="1"/>
  <c r="Y47" i="89"/>
  <c r="Z47" i="89" s="1"/>
  <c r="Y44" i="89"/>
  <c r="Z44" i="89" s="1"/>
  <c r="Y48" i="89"/>
  <c r="Z48" i="89" s="1"/>
  <c r="Y45" i="89"/>
  <c r="Z45" i="89" s="1"/>
  <c r="Y49" i="89"/>
  <c r="Z49" i="89" s="1"/>
  <c r="Y46" i="89"/>
  <c r="Z46" i="89" s="1"/>
  <c r="Y50" i="89"/>
  <c r="Z50" i="89" s="1"/>
  <c r="Y96" i="89"/>
  <c r="Z96" i="89" s="1"/>
  <c r="W245" i="89"/>
  <c r="Y245" i="89" s="1"/>
  <c r="Z245" i="89" s="1"/>
  <c r="W40" i="89"/>
  <c r="W95" i="89"/>
  <c r="W99" i="89"/>
  <c r="W41" i="89"/>
  <c r="W42" i="89"/>
  <c r="W97" i="89"/>
  <c r="W43" i="89"/>
  <c r="W94" i="89"/>
  <c r="W98" i="89"/>
  <c r="W100" i="89"/>
  <c r="E92" i="231"/>
  <c r="F92" i="231" s="1"/>
  <c r="G92" i="231" s="1"/>
  <c r="W244" i="89"/>
  <c r="Q23" i="242" l="1"/>
  <c r="Q104" i="242" s="1"/>
  <c r="S11" i="89"/>
  <c r="S16" i="89" s="1"/>
  <c r="S345" i="89"/>
  <c r="Y94" i="89"/>
  <c r="Z94" i="89" s="1"/>
  <c r="Y43" i="89"/>
  <c r="Z43" i="89" s="1"/>
  <c r="Y95" i="89"/>
  <c r="Z95" i="89" s="1"/>
  <c r="Y41" i="89"/>
  <c r="Z41" i="89" s="1"/>
  <c r="Y42" i="89"/>
  <c r="Z42" i="89" s="1"/>
  <c r="Y40" i="89"/>
  <c r="Z40" i="89" s="1"/>
  <c r="Y99" i="89"/>
  <c r="Z99" i="89" s="1"/>
  <c r="Z100" i="89"/>
  <c r="Y100" i="89"/>
  <c r="Y98" i="89"/>
  <c r="Z98" i="89" s="1"/>
  <c r="E93" i="231"/>
  <c r="F93" i="231" s="1"/>
  <c r="G93" i="231" s="1"/>
  <c r="Y244" i="89"/>
  <c r="Z244" i="89" s="1"/>
  <c r="Q10" i="242" l="1"/>
  <c r="Q15" i="242" s="1"/>
  <c r="G236" i="4" s="1"/>
  <c r="Q328" i="242"/>
  <c r="S346" i="89"/>
  <c r="Q121" i="89"/>
  <c r="Q345" i="89" s="1"/>
  <c r="O121" i="89"/>
  <c r="O23" i="242" s="1"/>
  <c r="Y97" i="89"/>
  <c r="Z97" i="89" s="1"/>
  <c r="R121" i="89"/>
  <c r="R11" i="89" s="1"/>
  <c r="R16" i="89" s="1"/>
  <c r="E94" i="231"/>
  <c r="F94" i="231" s="1"/>
  <c r="G94" i="231" s="1"/>
  <c r="Q329" i="242" l="1"/>
  <c r="M1669" i="248"/>
  <c r="R1669" i="248" s="1"/>
  <c r="M1690" i="1"/>
  <c r="O104" i="242"/>
  <c r="O345" i="89"/>
  <c r="E95" i="231"/>
  <c r="F95" i="231" s="1"/>
  <c r="G95" i="231" s="1"/>
  <c r="R1690" i="1" l="1"/>
  <c r="O10" i="242"/>
  <c r="O15" i="242" s="1"/>
  <c r="O328" i="242"/>
  <c r="E96" i="231"/>
  <c r="F96" i="231" s="1"/>
  <c r="G96" i="231" s="1"/>
  <c r="M1082" i="1"/>
  <c r="D1079" i="1"/>
  <c r="D1076" i="1"/>
  <c r="D1075" i="1"/>
  <c r="M1056" i="1"/>
  <c r="D1053" i="1"/>
  <c r="D1050" i="1"/>
  <c r="D1049" i="1"/>
  <c r="O329" i="242" l="1"/>
  <c r="E97" i="231"/>
  <c r="F97" i="231" s="1"/>
  <c r="G97" i="231" s="1"/>
  <c r="D664" i="1"/>
  <c r="D663" i="1"/>
  <c r="D659" i="1"/>
  <c r="D658" i="1"/>
  <c r="D657" i="1"/>
  <c r="D656" i="1"/>
  <c r="D655" i="1"/>
  <c r="D654" i="1"/>
  <c r="D727" i="1"/>
  <c r="D726" i="1"/>
  <c r="D725" i="1"/>
  <c r="M482" i="193"/>
  <c r="L482" i="193"/>
  <c r="M481" i="193"/>
  <c r="L481" i="193"/>
  <c r="M480" i="193"/>
  <c r="L480" i="193"/>
  <c r="M479" i="193"/>
  <c r="L479" i="193"/>
  <c r="M478" i="193"/>
  <c r="L478" i="193"/>
  <c r="M477" i="193"/>
  <c r="L477" i="193"/>
  <c r="M476" i="193"/>
  <c r="L476" i="193"/>
  <c r="M475" i="193"/>
  <c r="L475" i="193"/>
  <c r="M474" i="193"/>
  <c r="L474" i="193"/>
  <c r="M473" i="193"/>
  <c r="L473" i="193"/>
  <c r="M472" i="193"/>
  <c r="L472" i="193"/>
  <c r="M471" i="193"/>
  <c r="L471" i="193"/>
  <c r="M470" i="193"/>
  <c r="L470" i="193"/>
  <c r="M469" i="193"/>
  <c r="L469" i="193"/>
  <c r="M468" i="193"/>
  <c r="L468" i="193"/>
  <c r="M467" i="193"/>
  <c r="L467" i="193"/>
  <c r="M466" i="193"/>
  <c r="L466" i="193"/>
  <c r="M465" i="193"/>
  <c r="L465" i="193"/>
  <c r="M464" i="193"/>
  <c r="L464" i="193"/>
  <c r="M463" i="193"/>
  <c r="L463" i="193"/>
  <c r="M462" i="193"/>
  <c r="L462" i="193"/>
  <c r="M461" i="193"/>
  <c r="L461" i="193"/>
  <c r="M460" i="193"/>
  <c r="L460" i="193"/>
  <c r="M459" i="193"/>
  <c r="L459" i="193"/>
  <c r="M458" i="193"/>
  <c r="L458" i="193"/>
  <c r="M457" i="193"/>
  <c r="L457" i="193"/>
  <c r="M456" i="193"/>
  <c r="L456" i="193"/>
  <c r="M455" i="193"/>
  <c r="L455" i="193"/>
  <c r="M454" i="193"/>
  <c r="L454" i="193"/>
  <c r="M453" i="193"/>
  <c r="L453" i="193"/>
  <c r="M452" i="193"/>
  <c r="L452" i="193"/>
  <c r="M451" i="193"/>
  <c r="L451" i="193"/>
  <c r="M450" i="193"/>
  <c r="L450" i="193"/>
  <c r="M449" i="193"/>
  <c r="L449" i="193"/>
  <c r="M448" i="193"/>
  <c r="L448" i="193"/>
  <c r="M447" i="193"/>
  <c r="L447" i="193"/>
  <c r="M446" i="193"/>
  <c r="L446" i="193"/>
  <c r="M445" i="193"/>
  <c r="L445" i="193"/>
  <c r="M444" i="193"/>
  <c r="L444" i="193"/>
  <c r="M443" i="193"/>
  <c r="L443" i="193"/>
  <c r="M442" i="193"/>
  <c r="L442" i="193"/>
  <c r="M441" i="193"/>
  <c r="L441" i="193"/>
  <c r="M440" i="193"/>
  <c r="L440" i="193"/>
  <c r="M439" i="193"/>
  <c r="L439" i="193"/>
  <c r="M438" i="193"/>
  <c r="L438" i="193"/>
  <c r="M437" i="193"/>
  <c r="L437" i="193"/>
  <c r="M436" i="193"/>
  <c r="L436" i="193"/>
  <c r="M435" i="193"/>
  <c r="L435" i="193"/>
  <c r="M434" i="193"/>
  <c r="L434" i="193"/>
  <c r="M433" i="193"/>
  <c r="L433" i="193"/>
  <c r="M432" i="193"/>
  <c r="L432" i="193"/>
  <c r="M431" i="193"/>
  <c r="L431" i="193"/>
  <c r="M430" i="193"/>
  <c r="L430" i="193"/>
  <c r="M429" i="193"/>
  <c r="L429" i="193"/>
  <c r="M428" i="193"/>
  <c r="L428" i="193"/>
  <c r="M427" i="193"/>
  <c r="L427" i="193"/>
  <c r="M426" i="193"/>
  <c r="L426" i="193"/>
  <c r="M425" i="193"/>
  <c r="L425" i="193"/>
  <c r="M424" i="193"/>
  <c r="L424" i="193"/>
  <c r="M423" i="193"/>
  <c r="L423" i="193"/>
  <c r="M422" i="193"/>
  <c r="L422" i="193"/>
  <c r="M421" i="193"/>
  <c r="L421" i="193"/>
  <c r="M420" i="193"/>
  <c r="L420" i="193"/>
  <c r="M419" i="193"/>
  <c r="L419" i="193"/>
  <c r="M418" i="193"/>
  <c r="L418" i="193"/>
  <c r="M417" i="193"/>
  <c r="L417" i="193"/>
  <c r="M416" i="193"/>
  <c r="L416" i="193"/>
  <c r="M415" i="193"/>
  <c r="L415" i="193"/>
  <c r="M414" i="193"/>
  <c r="L414" i="193"/>
  <c r="M413" i="193"/>
  <c r="L413" i="193"/>
  <c r="M412" i="193"/>
  <c r="L412" i="193"/>
  <c r="M411" i="193"/>
  <c r="L411" i="193"/>
  <c r="M410" i="193"/>
  <c r="L410" i="193"/>
  <c r="M409" i="193"/>
  <c r="L409" i="193"/>
  <c r="M408" i="193"/>
  <c r="L408" i="193"/>
  <c r="M407" i="193"/>
  <c r="L407" i="193"/>
  <c r="M406" i="193"/>
  <c r="L406" i="193"/>
  <c r="M405" i="193"/>
  <c r="L405" i="193"/>
  <c r="M404" i="193"/>
  <c r="L404" i="193"/>
  <c r="M403" i="193"/>
  <c r="L403" i="193"/>
  <c r="M402" i="193"/>
  <c r="L402" i="193"/>
  <c r="M401" i="193"/>
  <c r="L401" i="193"/>
  <c r="M400" i="193"/>
  <c r="L400" i="193"/>
  <c r="M399" i="193"/>
  <c r="L399" i="193"/>
  <c r="M398" i="193"/>
  <c r="L398" i="193"/>
  <c r="M397" i="193"/>
  <c r="L397" i="193"/>
  <c r="M396" i="193"/>
  <c r="L396" i="193"/>
  <c r="M395" i="193"/>
  <c r="L395" i="193"/>
  <c r="M394" i="193"/>
  <c r="L394" i="193"/>
  <c r="M393" i="193"/>
  <c r="L393" i="193"/>
  <c r="M392" i="193"/>
  <c r="L392" i="193"/>
  <c r="M391" i="193"/>
  <c r="L391" i="193"/>
  <c r="M390" i="193"/>
  <c r="L390" i="193"/>
  <c r="M389" i="193"/>
  <c r="L389" i="193"/>
  <c r="M388" i="193"/>
  <c r="L388" i="193"/>
  <c r="M387" i="193"/>
  <c r="L387" i="193"/>
  <c r="M386" i="193"/>
  <c r="L386" i="193"/>
  <c r="M385" i="193"/>
  <c r="L385" i="193"/>
  <c r="M384" i="193"/>
  <c r="L384" i="193"/>
  <c r="M383" i="193"/>
  <c r="L383" i="193"/>
  <c r="M382" i="193"/>
  <c r="L382" i="193"/>
  <c r="M381" i="193"/>
  <c r="L381" i="193"/>
  <c r="M380" i="193"/>
  <c r="L380" i="193"/>
  <c r="M379" i="193"/>
  <c r="L379" i="193"/>
  <c r="M378" i="193"/>
  <c r="L378" i="193"/>
  <c r="M377" i="193"/>
  <c r="L377" i="193"/>
  <c r="M376" i="193"/>
  <c r="L376" i="193"/>
  <c r="M375" i="193"/>
  <c r="L375" i="193"/>
  <c r="M374" i="193"/>
  <c r="L374" i="193"/>
  <c r="M373" i="193"/>
  <c r="L373" i="193"/>
  <c r="M372" i="193"/>
  <c r="L372" i="193"/>
  <c r="M371" i="193"/>
  <c r="L371" i="193"/>
  <c r="M370" i="193"/>
  <c r="L370" i="193"/>
  <c r="M369" i="193"/>
  <c r="L369" i="193"/>
  <c r="M368" i="193"/>
  <c r="L368" i="193"/>
  <c r="M367" i="193"/>
  <c r="L367" i="193"/>
  <c r="M366" i="193"/>
  <c r="L366" i="193"/>
  <c r="M365" i="193"/>
  <c r="L365" i="193"/>
  <c r="M364" i="193"/>
  <c r="L364" i="193"/>
  <c r="M363" i="193"/>
  <c r="L363" i="193"/>
  <c r="M362" i="193"/>
  <c r="L362" i="193"/>
  <c r="M361" i="193"/>
  <c r="L361" i="193"/>
  <c r="M360" i="193"/>
  <c r="L360" i="193"/>
  <c r="M359" i="193"/>
  <c r="L359" i="193"/>
  <c r="M358" i="193"/>
  <c r="L358" i="193"/>
  <c r="M357" i="193"/>
  <c r="L357" i="193"/>
  <c r="M356" i="193"/>
  <c r="L356" i="193"/>
  <c r="M355" i="193"/>
  <c r="L355" i="193"/>
  <c r="M354" i="193"/>
  <c r="L354" i="193"/>
  <c r="M353" i="193"/>
  <c r="L353" i="193"/>
  <c r="M352" i="193"/>
  <c r="L352" i="193"/>
  <c r="M351" i="193"/>
  <c r="L351" i="193"/>
  <c r="M350" i="193"/>
  <c r="L350" i="193"/>
  <c r="M349" i="193"/>
  <c r="L349" i="193"/>
  <c r="M348" i="193"/>
  <c r="L348" i="193"/>
  <c r="M347" i="193"/>
  <c r="L347" i="193"/>
  <c r="M346" i="193"/>
  <c r="L346" i="193"/>
  <c r="M345" i="193"/>
  <c r="L345" i="193"/>
  <c r="M344" i="193"/>
  <c r="L344" i="193"/>
  <c r="M343" i="193"/>
  <c r="L343" i="193"/>
  <c r="M342" i="193"/>
  <c r="L342" i="193"/>
  <c r="M341" i="193"/>
  <c r="L341" i="193"/>
  <c r="M340" i="193"/>
  <c r="L340" i="193"/>
  <c r="M339" i="193"/>
  <c r="L339" i="193"/>
  <c r="M338" i="193"/>
  <c r="L338" i="193"/>
  <c r="M337" i="193"/>
  <c r="L337" i="193"/>
  <c r="M336" i="193"/>
  <c r="L336" i="193"/>
  <c r="M335" i="193"/>
  <c r="L335" i="193"/>
  <c r="M334" i="193"/>
  <c r="L334" i="193"/>
  <c r="M333" i="193"/>
  <c r="L333" i="193"/>
  <c r="M332" i="193"/>
  <c r="L332" i="193"/>
  <c r="M331" i="193"/>
  <c r="L331" i="193"/>
  <c r="M330" i="193"/>
  <c r="L330" i="193"/>
  <c r="M329" i="193"/>
  <c r="L329" i="193"/>
  <c r="M328" i="193"/>
  <c r="L328" i="193"/>
  <c r="M327" i="193"/>
  <c r="L327" i="193"/>
  <c r="M326" i="193"/>
  <c r="L326" i="193"/>
  <c r="M325" i="193"/>
  <c r="L325" i="193"/>
  <c r="M324" i="193"/>
  <c r="L324" i="193"/>
  <c r="M323" i="193"/>
  <c r="L323" i="193"/>
  <c r="M322" i="193"/>
  <c r="L322" i="193"/>
  <c r="M321" i="193"/>
  <c r="L321" i="193"/>
  <c r="M320" i="193"/>
  <c r="L320" i="193"/>
  <c r="M319" i="193"/>
  <c r="L319" i="193"/>
  <c r="M318" i="193"/>
  <c r="L318" i="193"/>
  <c r="M317" i="193"/>
  <c r="L317" i="193"/>
  <c r="M316" i="193"/>
  <c r="L316" i="193"/>
  <c r="M315" i="193"/>
  <c r="L315" i="193"/>
  <c r="M314" i="193"/>
  <c r="L314" i="193"/>
  <c r="M313" i="193"/>
  <c r="L313" i="193"/>
  <c r="M312" i="193"/>
  <c r="L312" i="193"/>
  <c r="M311" i="193"/>
  <c r="L311" i="193"/>
  <c r="M310" i="193"/>
  <c r="L310" i="193"/>
  <c r="M309" i="193"/>
  <c r="L309" i="193"/>
  <c r="M308" i="193"/>
  <c r="L308" i="193"/>
  <c r="M307" i="193"/>
  <c r="L307" i="193"/>
  <c r="M306" i="193"/>
  <c r="L306" i="193"/>
  <c r="M305" i="193"/>
  <c r="L305" i="193"/>
  <c r="M304" i="193"/>
  <c r="L304" i="193"/>
  <c r="M303" i="193"/>
  <c r="L303" i="193"/>
  <c r="M302" i="193"/>
  <c r="L302" i="193"/>
  <c r="M301" i="193"/>
  <c r="L301" i="193"/>
  <c r="M300" i="193"/>
  <c r="L300" i="193"/>
  <c r="M299" i="193"/>
  <c r="L299" i="193"/>
  <c r="M298" i="193"/>
  <c r="L298" i="193"/>
  <c r="M297" i="193"/>
  <c r="L297" i="193"/>
  <c r="M296" i="193"/>
  <c r="L296" i="193"/>
  <c r="M295" i="193"/>
  <c r="L295" i="193"/>
  <c r="M294" i="193"/>
  <c r="L294" i="193"/>
  <c r="M293" i="193"/>
  <c r="L293" i="193"/>
  <c r="M292" i="193"/>
  <c r="L292" i="193"/>
  <c r="M291" i="193"/>
  <c r="L291" i="193"/>
  <c r="M290" i="193"/>
  <c r="L290" i="193"/>
  <c r="M289" i="193"/>
  <c r="L289" i="193"/>
  <c r="M288" i="193"/>
  <c r="L288" i="193"/>
  <c r="M287" i="193"/>
  <c r="L287" i="193"/>
  <c r="M286" i="193"/>
  <c r="L286" i="193"/>
  <c r="M285" i="193"/>
  <c r="L285" i="193"/>
  <c r="M284" i="193"/>
  <c r="L284" i="193"/>
  <c r="M283" i="193"/>
  <c r="L283" i="193"/>
  <c r="M282" i="193"/>
  <c r="L282" i="193"/>
  <c r="M281" i="193"/>
  <c r="L281" i="193"/>
  <c r="M280" i="193"/>
  <c r="L280" i="193"/>
  <c r="M279" i="193"/>
  <c r="L279" i="193"/>
  <c r="M278" i="193"/>
  <c r="L278" i="193"/>
  <c r="M277" i="193"/>
  <c r="L277" i="193"/>
  <c r="M276" i="193"/>
  <c r="L276" i="193"/>
  <c r="M275" i="193"/>
  <c r="L275" i="193"/>
  <c r="M274" i="193"/>
  <c r="L274" i="193"/>
  <c r="M273" i="193"/>
  <c r="L273" i="193"/>
  <c r="M272" i="193"/>
  <c r="L272" i="193"/>
  <c r="M271" i="193"/>
  <c r="L271" i="193"/>
  <c r="M270" i="193"/>
  <c r="L270" i="193"/>
  <c r="M269" i="193"/>
  <c r="L269" i="193"/>
  <c r="M268" i="193"/>
  <c r="L268" i="193"/>
  <c r="M267" i="193"/>
  <c r="L267" i="193"/>
  <c r="M266" i="193"/>
  <c r="L266" i="193"/>
  <c r="M265" i="193"/>
  <c r="L265" i="193"/>
  <c r="M264" i="193"/>
  <c r="L264" i="193"/>
  <c r="M263" i="193"/>
  <c r="L263" i="193"/>
  <c r="M262" i="193"/>
  <c r="L262" i="193"/>
  <c r="M261" i="193"/>
  <c r="L261" i="193"/>
  <c r="M260" i="193"/>
  <c r="L260" i="193"/>
  <c r="M259" i="193"/>
  <c r="L259" i="193"/>
  <c r="M258" i="193"/>
  <c r="L258" i="193"/>
  <c r="M257" i="193"/>
  <c r="L257" i="193"/>
  <c r="M256" i="193"/>
  <c r="L256" i="193"/>
  <c r="M255" i="193"/>
  <c r="L255" i="193"/>
  <c r="M254" i="193"/>
  <c r="L254" i="193"/>
  <c r="M253" i="193"/>
  <c r="L253" i="193"/>
  <c r="M252" i="193"/>
  <c r="L252" i="193"/>
  <c r="M251" i="193"/>
  <c r="L251" i="193"/>
  <c r="M250" i="193"/>
  <c r="L250" i="193"/>
  <c r="M249" i="193"/>
  <c r="L249" i="193"/>
  <c r="M248" i="193"/>
  <c r="L248" i="193"/>
  <c r="M247" i="193"/>
  <c r="L247" i="193"/>
  <c r="M246" i="193"/>
  <c r="L246" i="193"/>
  <c r="M245" i="193"/>
  <c r="L245" i="193"/>
  <c r="M244" i="193"/>
  <c r="L244" i="193"/>
  <c r="M243" i="193"/>
  <c r="L243" i="193"/>
  <c r="M242" i="193"/>
  <c r="L242" i="193"/>
  <c r="M241" i="193"/>
  <c r="L241" i="193"/>
  <c r="M240" i="193"/>
  <c r="L240" i="193"/>
  <c r="M239" i="193"/>
  <c r="L239" i="193"/>
  <c r="M238" i="193"/>
  <c r="L238" i="193"/>
  <c r="M237" i="193"/>
  <c r="L237" i="193"/>
  <c r="M236" i="193"/>
  <c r="L236" i="193"/>
  <c r="M235" i="193"/>
  <c r="L235" i="193"/>
  <c r="M234" i="193"/>
  <c r="L234" i="193"/>
  <c r="M233" i="193"/>
  <c r="L233" i="193"/>
  <c r="M232" i="193"/>
  <c r="L232" i="193"/>
  <c r="M231" i="193"/>
  <c r="L231" i="193"/>
  <c r="M230" i="193"/>
  <c r="L230" i="193"/>
  <c r="M229" i="193"/>
  <c r="L229" i="193"/>
  <c r="M228" i="193"/>
  <c r="L228" i="193"/>
  <c r="M227" i="193"/>
  <c r="L227" i="193"/>
  <c r="M226" i="193"/>
  <c r="L226" i="193"/>
  <c r="M225" i="193"/>
  <c r="L225" i="193"/>
  <c r="M224" i="193"/>
  <c r="L224" i="193"/>
  <c r="M223" i="193"/>
  <c r="L223" i="193"/>
  <c r="M222" i="193"/>
  <c r="L222" i="193"/>
  <c r="M221" i="193"/>
  <c r="L221" i="193"/>
  <c r="M220" i="193"/>
  <c r="L220" i="193"/>
  <c r="M219" i="193"/>
  <c r="L219" i="193"/>
  <c r="M218" i="193"/>
  <c r="L218" i="193"/>
  <c r="M217" i="193"/>
  <c r="L217" i="193"/>
  <c r="M216" i="193"/>
  <c r="L216" i="193"/>
  <c r="M215" i="193"/>
  <c r="L215" i="193"/>
  <c r="M214" i="193"/>
  <c r="L214" i="193"/>
  <c r="M213" i="193"/>
  <c r="L213" i="193"/>
  <c r="M212" i="193"/>
  <c r="L212" i="193"/>
  <c r="M211" i="193"/>
  <c r="L211" i="193"/>
  <c r="M210" i="193"/>
  <c r="L210" i="193"/>
  <c r="M209" i="193"/>
  <c r="L209" i="193"/>
  <c r="M208" i="193"/>
  <c r="L208" i="193"/>
  <c r="M207" i="193"/>
  <c r="L207" i="193"/>
  <c r="M206" i="193"/>
  <c r="L206" i="193"/>
  <c r="M205" i="193"/>
  <c r="L205" i="193"/>
  <c r="M204" i="193"/>
  <c r="L204" i="193"/>
  <c r="M203" i="193"/>
  <c r="L203" i="193"/>
  <c r="M202" i="193"/>
  <c r="L202" i="193"/>
  <c r="M201" i="193"/>
  <c r="L201" i="193"/>
  <c r="M200" i="193"/>
  <c r="L200" i="193"/>
  <c r="M199" i="193"/>
  <c r="L199" i="193"/>
  <c r="M198" i="193"/>
  <c r="L198" i="193"/>
  <c r="M197" i="193"/>
  <c r="L197" i="193"/>
  <c r="M196" i="193"/>
  <c r="L196" i="193"/>
  <c r="M195" i="193"/>
  <c r="L195" i="193"/>
  <c r="M194" i="193"/>
  <c r="L194" i="193"/>
  <c r="M193" i="193"/>
  <c r="L193" i="193"/>
  <c r="M192" i="193"/>
  <c r="L192" i="193"/>
  <c r="M191" i="193"/>
  <c r="L191" i="193"/>
  <c r="M190" i="193"/>
  <c r="L190" i="193"/>
  <c r="M189" i="193"/>
  <c r="L189" i="193"/>
  <c r="M188" i="193"/>
  <c r="L188" i="193"/>
  <c r="M187" i="193"/>
  <c r="L187" i="193"/>
  <c r="M186" i="193"/>
  <c r="L186" i="193"/>
  <c r="M185" i="193"/>
  <c r="L185" i="193"/>
  <c r="M184" i="193"/>
  <c r="L184" i="193"/>
  <c r="M183" i="193"/>
  <c r="L183" i="193"/>
  <c r="M182" i="193"/>
  <c r="L182" i="193"/>
  <c r="M181" i="193"/>
  <c r="L181" i="193"/>
  <c r="M180" i="193"/>
  <c r="L180" i="193"/>
  <c r="M179" i="193"/>
  <c r="L179" i="193"/>
  <c r="M178" i="193"/>
  <c r="L178" i="193"/>
  <c r="M177" i="193"/>
  <c r="L177" i="193"/>
  <c r="M176" i="193"/>
  <c r="L176" i="193"/>
  <c r="M175" i="193"/>
  <c r="L175" i="193"/>
  <c r="M174" i="193"/>
  <c r="L174" i="193"/>
  <c r="M173" i="193"/>
  <c r="L173" i="193"/>
  <c r="M172" i="193"/>
  <c r="L172" i="193"/>
  <c r="M171" i="193"/>
  <c r="L171" i="193"/>
  <c r="M170" i="193"/>
  <c r="L170" i="193"/>
  <c r="M169" i="193"/>
  <c r="L169" i="193"/>
  <c r="M168" i="193"/>
  <c r="L168" i="193"/>
  <c r="M167" i="193"/>
  <c r="L167" i="193"/>
  <c r="M166" i="193"/>
  <c r="L166" i="193"/>
  <c r="M165" i="193"/>
  <c r="L165" i="193"/>
  <c r="M164" i="193"/>
  <c r="L164" i="193"/>
  <c r="M163" i="193"/>
  <c r="L163" i="193"/>
  <c r="M162" i="193"/>
  <c r="L162" i="193"/>
  <c r="M161" i="193"/>
  <c r="L161" i="193"/>
  <c r="M160" i="193"/>
  <c r="L160" i="193"/>
  <c r="M159" i="193"/>
  <c r="L159" i="193"/>
  <c r="M158" i="193"/>
  <c r="L158" i="193"/>
  <c r="M157" i="193"/>
  <c r="L157" i="193"/>
  <c r="M156" i="193"/>
  <c r="L156" i="193"/>
  <c r="M155" i="193"/>
  <c r="L155" i="193"/>
  <c r="M154" i="193"/>
  <c r="L154" i="193"/>
  <c r="M153" i="193"/>
  <c r="L153" i="193"/>
  <c r="M152" i="193"/>
  <c r="L152" i="193"/>
  <c r="M151" i="193"/>
  <c r="L151" i="193"/>
  <c r="M150" i="193"/>
  <c r="L150" i="193"/>
  <c r="M149" i="193"/>
  <c r="L149" i="193"/>
  <c r="M148" i="193"/>
  <c r="L148" i="193"/>
  <c r="M147" i="193"/>
  <c r="L147" i="193"/>
  <c r="M146" i="193"/>
  <c r="L146" i="193"/>
  <c r="M145" i="193"/>
  <c r="L145" i="193"/>
  <c r="M144" i="193"/>
  <c r="L144" i="193"/>
  <c r="M143" i="193"/>
  <c r="L143" i="193"/>
  <c r="M142" i="193"/>
  <c r="L142" i="193"/>
  <c r="M141" i="193"/>
  <c r="L141" i="193"/>
  <c r="M140" i="193"/>
  <c r="L140" i="193"/>
  <c r="M139" i="193"/>
  <c r="L139" i="193"/>
  <c r="M138" i="193"/>
  <c r="L138" i="193"/>
  <c r="M137" i="193"/>
  <c r="L137" i="193"/>
  <c r="M136" i="193"/>
  <c r="L136" i="193"/>
  <c r="M135" i="193"/>
  <c r="L135" i="193"/>
  <c r="M134" i="193"/>
  <c r="L134" i="193"/>
  <c r="M133" i="193"/>
  <c r="L133" i="193"/>
  <c r="M132" i="193"/>
  <c r="L132" i="193"/>
  <c r="M131" i="193"/>
  <c r="L131" i="193"/>
  <c r="M130" i="193"/>
  <c r="L130" i="193"/>
  <c r="M129" i="193"/>
  <c r="L129" i="193"/>
  <c r="M128" i="193"/>
  <c r="L128" i="193"/>
  <c r="M127" i="193"/>
  <c r="L127" i="193"/>
  <c r="M126" i="193"/>
  <c r="L126" i="193"/>
  <c r="M125" i="193"/>
  <c r="L125" i="193"/>
  <c r="M124" i="193"/>
  <c r="L124" i="193"/>
  <c r="M123" i="193"/>
  <c r="L123" i="193"/>
  <c r="M122" i="193"/>
  <c r="L122" i="193"/>
  <c r="M121" i="193"/>
  <c r="L121" i="193"/>
  <c r="M120" i="193"/>
  <c r="L120" i="193"/>
  <c r="M119" i="193"/>
  <c r="L119" i="193"/>
  <c r="M118" i="193"/>
  <c r="L118" i="193"/>
  <c r="M117" i="193"/>
  <c r="L117" i="193"/>
  <c r="M116" i="193"/>
  <c r="L116" i="193"/>
  <c r="M115" i="193"/>
  <c r="L115" i="193"/>
  <c r="M114" i="193"/>
  <c r="L114" i="193"/>
  <c r="M113" i="193"/>
  <c r="L113" i="193"/>
  <c r="M112" i="193"/>
  <c r="L112" i="193"/>
  <c r="M111" i="193"/>
  <c r="L111" i="193"/>
  <c r="M110" i="193"/>
  <c r="L110" i="193"/>
  <c r="M109" i="193"/>
  <c r="L109" i="193"/>
  <c r="M108" i="193"/>
  <c r="L108" i="193"/>
  <c r="M107" i="193"/>
  <c r="L107" i="193"/>
  <c r="M106" i="193"/>
  <c r="L106" i="193"/>
  <c r="M105" i="193"/>
  <c r="L105" i="193"/>
  <c r="M104" i="193"/>
  <c r="L104" i="193"/>
  <c r="M103" i="193"/>
  <c r="L103" i="193"/>
  <c r="M102" i="193"/>
  <c r="L102" i="193"/>
  <c r="M101" i="193"/>
  <c r="L101" i="193"/>
  <c r="M100" i="193"/>
  <c r="L100" i="193"/>
  <c r="M99" i="193"/>
  <c r="L99" i="193"/>
  <c r="M98" i="193"/>
  <c r="L98" i="193"/>
  <c r="M97" i="193"/>
  <c r="L97" i="193"/>
  <c r="M96" i="193"/>
  <c r="L96" i="193"/>
  <c r="M95" i="193"/>
  <c r="L95" i="193"/>
  <c r="M94" i="193"/>
  <c r="L94" i="193"/>
  <c r="M93" i="193"/>
  <c r="L93" i="193"/>
  <c r="M92" i="193"/>
  <c r="L92" i="193"/>
  <c r="M91" i="193"/>
  <c r="L91" i="193"/>
  <c r="M90" i="193"/>
  <c r="L90" i="193"/>
  <c r="M89" i="193"/>
  <c r="L89" i="193"/>
  <c r="M88" i="193"/>
  <c r="L88" i="193"/>
  <c r="M87" i="193"/>
  <c r="L87" i="193"/>
  <c r="M86" i="193"/>
  <c r="L86" i="193"/>
  <c r="M85" i="193"/>
  <c r="L85" i="193"/>
  <c r="M84" i="193"/>
  <c r="L84" i="193"/>
  <c r="M83" i="193"/>
  <c r="L83" i="193"/>
  <c r="M82" i="193"/>
  <c r="L82" i="193"/>
  <c r="M81" i="193"/>
  <c r="L81" i="193"/>
  <c r="M80" i="193"/>
  <c r="L80" i="193"/>
  <c r="M79" i="193"/>
  <c r="L79" i="193"/>
  <c r="M78" i="193"/>
  <c r="L78" i="193"/>
  <c r="M77" i="193"/>
  <c r="L77" i="193"/>
  <c r="M76" i="193"/>
  <c r="L76" i="193"/>
  <c r="M75" i="193"/>
  <c r="L75" i="193"/>
  <c r="M74" i="193"/>
  <c r="L74" i="193"/>
  <c r="M73" i="193"/>
  <c r="L73" i="193"/>
  <c r="M72" i="193"/>
  <c r="L72" i="193"/>
  <c r="M71" i="193"/>
  <c r="L71" i="193"/>
  <c r="M70" i="193"/>
  <c r="L70" i="193"/>
  <c r="M69" i="193"/>
  <c r="L69" i="193"/>
  <c r="M68" i="193"/>
  <c r="L68" i="193"/>
  <c r="M67" i="193"/>
  <c r="L67" i="193"/>
  <c r="M66" i="193"/>
  <c r="L66" i="193"/>
  <c r="M65" i="193"/>
  <c r="L65" i="193"/>
  <c r="M64" i="193"/>
  <c r="L64" i="193"/>
  <c r="M63" i="193"/>
  <c r="L63" i="193"/>
  <c r="M62" i="193"/>
  <c r="L62" i="193"/>
  <c r="M61" i="193"/>
  <c r="L61" i="193"/>
  <c r="M60" i="193"/>
  <c r="L60" i="193"/>
  <c r="M59" i="193"/>
  <c r="L59" i="193"/>
  <c r="M58" i="193"/>
  <c r="L58" i="193"/>
  <c r="M57" i="193"/>
  <c r="L57" i="193"/>
  <c r="M56" i="193"/>
  <c r="L56" i="193"/>
  <c r="M55" i="193"/>
  <c r="L55" i="193"/>
  <c r="M54" i="193"/>
  <c r="L54" i="193"/>
  <c r="M53" i="193"/>
  <c r="L53" i="193"/>
  <c r="M52" i="193"/>
  <c r="L52" i="193"/>
  <c r="M51" i="193"/>
  <c r="L51" i="193"/>
  <c r="M50" i="193"/>
  <c r="L50" i="193"/>
  <c r="M49" i="193"/>
  <c r="L49" i="193"/>
  <c r="M48" i="193"/>
  <c r="L48" i="193"/>
  <c r="M47" i="193"/>
  <c r="L47" i="193"/>
  <c r="M46" i="193"/>
  <c r="L46" i="193"/>
  <c r="M45" i="193"/>
  <c r="L45" i="193"/>
  <c r="M44" i="193"/>
  <c r="L44" i="193"/>
  <c r="M43" i="193"/>
  <c r="L43" i="193"/>
  <c r="M42" i="193"/>
  <c r="L42" i="193"/>
  <c r="M41" i="193"/>
  <c r="L41" i="193"/>
  <c r="M40" i="193"/>
  <c r="L40" i="193"/>
  <c r="M39" i="193"/>
  <c r="L39" i="193"/>
  <c r="M38" i="193"/>
  <c r="L38" i="193"/>
  <c r="M37" i="193"/>
  <c r="L37" i="193"/>
  <c r="M36" i="193"/>
  <c r="L36" i="193"/>
  <c r="M35" i="193"/>
  <c r="L35" i="193"/>
  <c r="M34" i="193"/>
  <c r="L34" i="193"/>
  <c r="M33" i="193"/>
  <c r="L33" i="193"/>
  <c r="M32" i="193"/>
  <c r="L32" i="193"/>
  <c r="M31" i="193"/>
  <c r="L31" i="193"/>
  <c r="M30" i="193"/>
  <c r="L30" i="193"/>
  <c r="M29" i="193"/>
  <c r="L29" i="193"/>
  <c r="M28" i="193"/>
  <c r="L28" i="193"/>
  <c r="M27" i="193"/>
  <c r="L27" i="193"/>
  <c r="M26" i="193"/>
  <c r="L26" i="193"/>
  <c r="M25" i="193"/>
  <c r="L25" i="193"/>
  <c r="M24" i="193"/>
  <c r="L24" i="193"/>
  <c r="M23" i="193"/>
  <c r="L22" i="193"/>
  <c r="M21" i="193"/>
  <c r="L21" i="193"/>
  <c r="M20" i="193"/>
  <c r="L19" i="193"/>
  <c r="M18" i="193"/>
  <c r="L18" i="193"/>
  <c r="L17" i="193"/>
  <c r="M16" i="193"/>
  <c r="M15" i="193"/>
  <c r="I484" i="193"/>
  <c r="H484" i="193"/>
  <c r="G484" i="193"/>
  <c r="F484" i="193"/>
  <c r="K482" i="193"/>
  <c r="J482" i="193"/>
  <c r="K481" i="193"/>
  <c r="J481" i="193"/>
  <c r="K480" i="193"/>
  <c r="J480" i="193"/>
  <c r="K479" i="193"/>
  <c r="J479" i="193"/>
  <c r="K478" i="193"/>
  <c r="J478" i="193"/>
  <c r="K477" i="193"/>
  <c r="J477" i="193"/>
  <c r="K476" i="193"/>
  <c r="J476" i="193"/>
  <c r="K475" i="193"/>
  <c r="J475" i="193"/>
  <c r="K474" i="193"/>
  <c r="J474" i="193"/>
  <c r="K473" i="193"/>
  <c r="J473" i="193"/>
  <c r="K472" i="193"/>
  <c r="J472" i="193"/>
  <c r="K471" i="193"/>
  <c r="J471" i="193"/>
  <c r="K470" i="193"/>
  <c r="J470" i="193"/>
  <c r="K469" i="193"/>
  <c r="J469" i="193"/>
  <c r="K468" i="193"/>
  <c r="J468" i="193"/>
  <c r="K467" i="193"/>
  <c r="J467" i="193"/>
  <c r="K466" i="193"/>
  <c r="J466" i="193"/>
  <c r="K465" i="193"/>
  <c r="J465" i="193"/>
  <c r="K464" i="193"/>
  <c r="J464" i="193"/>
  <c r="K463" i="193"/>
  <c r="J463" i="193"/>
  <c r="K462" i="193"/>
  <c r="J462" i="193"/>
  <c r="K461" i="193"/>
  <c r="J461" i="193"/>
  <c r="K460" i="193"/>
  <c r="J460" i="193"/>
  <c r="K459" i="193"/>
  <c r="J459" i="193"/>
  <c r="K458" i="193"/>
  <c r="J458" i="193"/>
  <c r="K457" i="193"/>
  <c r="J457" i="193"/>
  <c r="K456" i="193"/>
  <c r="J456" i="193"/>
  <c r="K455" i="193"/>
  <c r="J455" i="193"/>
  <c r="K454" i="193"/>
  <c r="J454" i="193"/>
  <c r="K453" i="193"/>
  <c r="J453" i="193"/>
  <c r="K452" i="193"/>
  <c r="J452" i="193"/>
  <c r="K451" i="193"/>
  <c r="J451" i="193"/>
  <c r="K450" i="193"/>
  <c r="J450" i="193"/>
  <c r="K449" i="193"/>
  <c r="J449" i="193"/>
  <c r="K448" i="193"/>
  <c r="J448" i="193"/>
  <c r="K447" i="193"/>
  <c r="J447" i="193"/>
  <c r="K446" i="193"/>
  <c r="J446" i="193"/>
  <c r="K445" i="193"/>
  <c r="J445" i="193"/>
  <c r="K444" i="193"/>
  <c r="J444" i="193"/>
  <c r="K443" i="193"/>
  <c r="J443" i="193"/>
  <c r="K442" i="193"/>
  <c r="J442" i="193"/>
  <c r="K441" i="193"/>
  <c r="J441" i="193"/>
  <c r="K440" i="193"/>
  <c r="J440" i="193"/>
  <c r="K439" i="193"/>
  <c r="J439" i="193"/>
  <c r="K438" i="193"/>
  <c r="J438" i="193"/>
  <c r="K437" i="193"/>
  <c r="J437" i="193"/>
  <c r="K436" i="193"/>
  <c r="J436" i="193"/>
  <c r="K435" i="193"/>
  <c r="J435" i="193"/>
  <c r="K434" i="193"/>
  <c r="J434" i="193"/>
  <c r="K433" i="193"/>
  <c r="J433" i="193"/>
  <c r="K432" i="193"/>
  <c r="J432" i="193"/>
  <c r="K431" i="193"/>
  <c r="J431" i="193"/>
  <c r="K430" i="193"/>
  <c r="J430" i="193"/>
  <c r="K429" i="193"/>
  <c r="J429" i="193"/>
  <c r="K428" i="193"/>
  <c r="J428" i="193"/>
  <c r="K427" i="193"/>
  <c r="J427" i="193"/>
  <c r="K426" i="193"/>
  <c r="J426" i="193"/>
  <c r="K425" i="193"/>
  <c r="J425" i="193"/>
  <c r="K424" i="193"/>
  <c r="J424" i="193"/>
  <c r="K423" i="193"/>
  <c r="J423" i="193"/>
  <c r="K422" i="193"/>
  <c r="J422" i="193"/>
  <c r="K421" i="193"/>
  <c r="J421" i="193"/>
  <c r="K420" i="193"/>
  <c r="J420" i="193"/>
  <c r="K419" i="193"/>
  <c r="J419" i="193"/>
  <c r="K418" i="193"/>
  <c r="J418" i="193"/>
  <c r="K417" i="193"/>
  <c r="J417" i="193"/>
  <c r="K416" i="193"/>
  <c r="J416" i="193"/>
  <c r="K415" i="193"/>
  <c r="J415" i="193"/>
  <c r="K414" i="193"/>
  <c r="J414" i="193"/>
  <c r="K413" i="193"/>
  <c r="J413" i="193"/>
  <c r="K412" i="193"/>
  <c r="J412" i="193"/>
  <c r="K411" i="193"/>
  <c r="J411" i="193"/>
  <c r="K410" i="193"/>
  <c r="J410" i="193"/>
  <c r="K409" i="193"/>
  <c r="J409" i="193"/>
  <c r="K408" i="193"/>
  <c r="J408" i="193"/>
  <c r="K407" i="193"/>
  <c r="J407" i="193"/>
  <c r="K406" i="193"/>
  <c r="J406" i="193"/>
  <c r="K405" i="193"/>
  <c r="J405" i="193"/>
  <c r="K404" i="193"/>
  <c r="J404" i="193"/>
  <c r="K403" i="193"/>
  <c r="J403" i="193"/>
  <c r="K402" i="193"/>
  <c r="J402" i="193"/>
  <c r="K401" i="193"/>
  <c r="J401" i="193"/>
  <c r="K400" i="193"/>
  <c r="J400" i="193"/>
  <c r="K399" i="193"/>
  <c r="J399" i="193"/>
  <c r="K398" i="193"/>
  <c r="J398" i="193"/>
  <c r="K397" i="193"/>
  <c r="J397" i="193"/>
  <c r="K396" i="193"/>
  <c r="J396" i="193"/>
  <c r="K395" i="193"/>
  <c r="J395" i="193"/>
  <c r="K394" i="193"/>
  <c r="J394" i="193"/>
  <c r="K393" i="193"/>
  <c r="J393" i="193"/>
  <c r="K392" i="193"/>
  <c r="J392" i="193"/>
  <c r="K391" i="193"/>
  <c r="J391" i="193"/>
  <c r="K390" i="193"/>
  <c r="J390" i="193"/>
  <c r="K389" i="193"/>
  <c r="J389" i="193"/>
  <c r="K388" i="193"/>
  <c r="J388" i="193"/>
  <c r="K387" i="193"/>
  <c r="J387" i="193"/>
  <c r="K386" i="193"/>
  <c r="J386" i="193"/>
  <c r="K385" i="193"/>
  <c r="J385" i="193"/>
  <c r="K384" i="193"/>
  <c r="J384" i="193"/>
  <c r="K383" i="193"/>
  <c r="J383" i="193"/>
  <c r="K382" i="193"/>
  <c r="J382" i="193"/>
  <c r="K381" i="193"/>
  <c r="J381" i="193"/>
  <c r="K380" i="193"/>
  <c r="J380" i="193"/>
  <c r="K379" i="193"/>
  <c r="J379" i="193"/>
  <c r="K378" i="193"/>
  <c r="J378" i="193"/>
  <c r="K377" i="193"/>
  <c r="J377" i="193"/>
  <c r="K376" i="193"/>
  <c r="J376" i="193"/>
  <c r="K375" i="193"/>
  <c r="J375" i="193"/>
  <c r="K374" i="193"/>
  <c r="J374" i="193"/>
  <c r="K373" i="193"/>
  <c r="J373" i="193"/>
  <c r="K372" i="193"/>
  <c r="J372" i="193"/>
  <c r="K371" i="193"/>
  <c r="J371" i="193"/>
  <c r="K370" i="193"/>
  <c r="J370" i="193"/>
  <c r="K369" i="193"/>
  <c r="J369" i="193"/>
  <c r="K368" i="193"/>
  <c r="J368" i="193"/>
  <c r="K367" i="193"/>
  <c r="J367" i="193"/>
  <c r="K366" i="193"/>
  <c r="J366" i="193"/>
  <c r="K365" i="193"/>
  <c r="J365" i="193"/>
  <c r="K364" i="193"/>
  <c r="J364" i="193"/>
  <c r="K363" i="193"/>
  <c r="J363" i="193"/>
  <c r="K362" i="193"/>
  <c r="J362" i="193"/>
  <c r="K361" i="193"/>
  <c r="J361" i="193"/>
  <c r="K360" i="193"/>
  <c r="J360" i="193"/>
  <c r="K359" i="193"/>
  <c r="J359" i="193"/>
  <c r="K358" i="193"/>
  <c r="J358" i="193"/>
  <c r="K357" i="193"/>
  <c r="J357" i="193"/>
  <c r="K356" i="193"/>
  <c r="J356" i="193"/>
  <c r="K355" i="193"/>
  <c r="J355" i="193"/>
  <c r="K354" i="193"/>
  <c r="J354" i="193"/>
  <c r="K353" i="193"/>
  <c r="J353" i="193"/>
  <c r="K352" i="193"/>
  <c r="J352" i="193"/>
  <c r="K351" i="193"/>
  <c r="J351" i="193"/>
  <c r="K350" i="193"/>
  <c r="J350" i="193"/>
  <c r="K349" i="193"/>
  <c r="J349" i="193"/>
  <c r="K348" i="193"/>
  <c r="J348" i="193"/>
  <c r="K347" i="193"/>
  <c r="J347" i="193"/>
  <c r="K346" i="193"/>
  <c r="J346" i="193"/>
  <c r="K345" i="193"/>
  <c r="J345" i="193"/>
  <c r="K344" i="193"/>
  <c r="J344" i="193"/>
  <c r="K343" i="193"/>
  <c r="J343" i="193"/>
  <c r="K342" i="193"/>
  <c r="J342" i="193"/>
  <c r="K341" i="193"/>
  <c r="J341" i="193"/>
  <c r="K340" i="193"/>
  <c r="J340" i="193"/>
  <c r="K339" i="193"/>
  <c r="J339" i="193"/>
  <c r="K338" i="193"/>
  <c r="J338" i="193"/>
  <c r="K337" i="193"/>
  <c r="J337" i="193"/>
  <c r="K336" i="193"/>
  <c r="J336" i="193"/>
  <c r="K335" i="193"/>
  <c r="J335" i="193"/>
  <c r="K334" i="193"/>
  <c r="J334" i="193"/>
  <c r="K333" i="193"/>
  <c r="J333" i="193"/>
  <c r="K332" i="193"/>
  <c r="J332" i="193"/>
  <c r="K331" i="193"/>
  <c r="J331" i="193"/>
  <c r="K330" i="193"/>
  <c r="J330" i="193"/>
  <c r="K329" i="193"/>
  <c r="J329" i="193"/>
  <c r="K328" i="193"/>
  <c r="J328" i="193"/>
  <c r="K327" i="193"/>
  <c r="J327" i="193"/>
  <c r="K326" i="193"/>
  <c r="J326" i="193"/>
  <c r="K325" i="193"/>
  <c r="J325" i="193"/>
  <c r="K324" i="193"/>
  <c r="J324" i="193"/>
  <c r="K323" i="193"/>
  <c r="J323" i="193"/>
  <c r="K322" i="193"/>
  <c r="J322" i="193"/>
  <c r="K321" i="193"/>
  <c r="J321" i="193"/>
  <c r="K320" i="193"/>
  <c r="J320" i="193"/>
  <c r="K319" i="193"/>
  <c r="J319" i="193"/>
  <c r="K318" i="193"/>
  <c r="J318" i="193"/>
  <c r="K317" i="193"/>
  <c r="J317" i="193"/>
  <c r="K316" i="193"/>
  <c r="J316" i="193"/>
  <c r="K315" i="193"/>
  <c r="J315" i="193"/>
  <c r="K314" i="193"/>
  <c r="J314" i="193"/>
  <c r="K313" i="193"/>
  <c r="J313" i="193"/>
  <c r="K312" i="193"/>
  <c r="J312" i="193"/>
  <c r="K311" i="193"/>
  <c r="J311" i="193"/>
  <c r="K310" i="193"/>
  <c r="J310" i="193"/>
  <c r="K309" i="193"/>
  <c r="J309" i="193"/>
  <c r="K308" i="193"/>
  <c r="J308" i="193"/>
  <c r="K307" i="193"/>
  <c r="J307" i="193"/>
  <c r="K306" i="193"/>
  <c r="J306" i="193"/>
  <c r="K305" i="193"/>
  <c r="J305" i="193"/>
  <c r="K304" i="193"/>
  <c r="J304" i="193"/>
  <c r="K303" i="193"/>
  <c r="J303" i="193"/>
  <c r="K302" i="193"/>
  <c r="J302" i="193"/>
  <c r="K301" i="193"/>
  <c r="J301" i="193"/>
  <c r="K300" i="193"/>
  <c r="J300" i="193"/>
  <c r="K299" i="193"/>
  <c r="J299" i="193"/>
  <c r="K298" i="193"/>
  <c r="J298" i="193"/>
  <c r="K297" i="193"/>
  <c r="J297" i="193"/>
  <c r="K296" i="193"/>
  <c r="J296" i="193"/>
  <c r="K295" i="193"/>
  <c r="J295" i="193"/>
  <c r="K294" i="193"/>
  <c r="J294" i="193"/>
  <c r="K293" i="193"/>
  <c r="J293" i="193"/>
  <c r="K292" i="193"/>
  <c r="J292" i="193"/>
  <c r="K291" i="193"/>
  <c r="J291" i="193"/>
  <c r="K290" i="193"/>
  <c r="J290" i="193"/>
  <c r="K289" i="193"/>
  <c r="J289" i="193"/>
  <c r="K288" i="193"/>
  <c r="J288" i="193"/>
  <c r="K287" i="193"/>
  <c r="J287" i="193"/>
  <c r="K286" i="193"/>
  <c r="J286" i="193"/>
  <c r="K285" i="193"/>
  <c r="J285" i="193"/>
  <c r="K284" i="193"/>
  <c r="J284" i="193"/>
  <c r="K283" i="193"/>
  <c r="J283" i="193"/>
  <c r="K282" i="193"/>
  <c r="J282" i="193"/>
  <c r="K281" i="193"/>
  <c r="J281" i="193"/>
  <c r="K280" i="193"/>
  <c r="J280" i="193"/>
  <c r="K279" i="193"/>
  <c r="J279" i="193"/>
  <c r="K278" i="193"/>
  <c r="J278" i="193"/>
  <c r="K277" i="193"/>
  <c r="J277" i="193"/>
  <c r="K276" i="193"/>
  <c r="J276" i="193"/>
  <c r="K275" i="193"/>
  <c r="J275" i="193"/>
  <c r="K274" i="193"/>
  <c r="J274" i="193"/>
  <c r="K273" i="193"/>
  <c r="J273" i="193"/>
  <c r="K272" i="193"/>
  <c r="J272" i="193"/>
  <c r="K271" i="193"/>
  <c r="J271" i="193"/>
  <c r="K270" i="193"/>
  <c r="J270" i="193"/>
  <c r="K269" i="193"/>
  <c r="J269" i="193"/>
  <c r="K268" i="193"/>
  <c r="J268" i="193"/>
  <c r="K267" i="193"/>
  <c r="J267" i="193"/>
  <c r="K266" i="193"/>
  <c r="J266" i="193"/>
  <c r="K265" i="193"/>
  <c r="J265" i="193"/>
  <c r="K264" i="193"/>
  <c r="J264" i="193"/>
  <c r="K263" i="193"/>
  <c r="J263" i="193"/>
  <c r="K262" i="193"/>
  <c r="J262" i="193"/>
  <c r="K261" i="193"/>
  <c r="J261" i="193"/>
  <c r="K260" i="193"/>
  <c r="J260" i="193"/>
  <c r="K259" i="193"/>
  <c r="J259" i="193"/>
  <c r="K258" i="193"/>
  <c r="J258" i="193"/>
  <c r="K257" i="193"/>
  <c r="J257" i="193"/>
  <c r="K256" i="193"/>
  <c r="J256" i="193"/>
  <c r="K255" i="193"/>
  <c r="J255" i="193"/>
  <c r="K254" i="193"/>
  <c r="J254" i="193"/>
  <c r="K253" i="193"/>
  <c r="J253" i="193"/>
  <c r="K252" i="193"/>
  <c r="J252" i="193"/>
  <c r="K251" i="193"/>
  <c r="J251" i="193"/>
  <c r="K250" i="193"/>
  <c r="J250" i="193"/>
  <c r="K249" i="193"/>
  <c r="J249" i="193"/>
  <c r="K248" i="193"/>
  <c r="J248" i="193"/>
  <c r="K247" i="193"/>
  <c r="J247" i="193"/>
  <c r="K246" i="193"/>
  <c r="J246" i="193"/>
  <c r="K245" i="193"/>
  <c r="J245" i="193"/>
  <c r="K244" i="193"/>
  <c r="J244" i="193"/>
  <c r="K243" i="193"/>
  <c r="J243" i="193"/>
  <c r="K242" i="193"/>
  <c r="J242" i="193"/>
  <c r="K241" i="193"/>
  <c r="J241" i="193"/>
  <c r="K240" i="193"/>
  <c r="J240" i="193"/>
  <c r="K239" i="193"/>
  <c r="J239" i="193"/>
  <c r="K238" i="193"/>
  <c r="J238" i="193"/>
  <c r="K237" i="193"/>
  <c r="J237" i="193"/>
  <c r="K236" i="193"/>
  <c r="J236" i="193"/>
  <c r="K235" i="193"/>
  <c r="J235" i="193"/>
  <c r="K234" i="193"/>
  <c r="J234" i="193"/>
  <c r="K233" i="193"/>
  <c r="J233" i="193"/>
  <c r="K232" i="193"/>
  <c r="J232" i="193"/>
  <c r="K231" i="193"/>
  <c r="J231" i="193"/>
  <c r="K230" i="193"/>
  <c r="J230" i="193"/>
  <c r="K229" i="193"/>
  <c r="J229" i="193"/>
  <c r="K228" i="193"/>
  <c r="J228" i="193"/>
  <c r="K227" i="193"/>
  <c r="J227" i="193"/>
  <c r="K226" i="193"/>
  <c r="J226" i="193"/>
  <c r="K225" i="193"/>
  <c r="J225" i="193"/>
  <c r="K224" i="193"/>
  <c r="J224" i="193"/>
  <c r="K223" i="193"/>
  <c r="J223" i="193"/>
  <c r="K222" i="193"/>
  <c r="J222" i="193"/>
  <c r="K221" i="193"/>
  <c r="J221" i="193"/>
  <c r="K220" i="193"/>
  <c r="J220" i="193"/>
  <c r="K219" i="193"/>
  <c r="J219" i="193"/>
  <c r="K218" i="193"/>
  <c r="J218" i="193"/>
  <c r="K217" i="193"/>
  <c r="J217" i="193"/>
  <c r="K216" i="193"/>
  <c r="J216" i="193"/>
  <c r="K215" i="193"/>
  <c r="J215" i="193"/>
  <c r="K214" i="193"/>
  <c r="J214" i="193"/>
  <c r="K213" i="193"/>
  <c r="J213" i="193"/>
  <c r="K212" i="193"/>
  <c r="J212" i="193"/>
  <c r="K211" i="193"/>
  <c r="J211" i="193"/>
  <c r="K210" i="193"/>
  <c r="J210" i="193"/>
  <c r="K209" i="193"/>
  <c r="J209" i="193"/>
  <c r="K208" i="193"/>
  <c r="J208" i="193"/>
  <c r="K207" i="193"/>
  <c r="J207" i="193"/>
  <c r="K206" i="193"/>
  <c r="J206" i="193"/>
  <c r="K205" i="193"/>
  <c r="J205" i="193"/>
  <c r="K204" i="193"/>
  <c r="J204" i="193"/>
  <c r="K203" i="193"/>
  <c r="J203" i="193"/>
  <c r="K202" i="193"/>
  <c r="J202" i="193"/>
  <c r="K201" i="193"/>
  <c r="J201" i="193"/>
  <c r="K200" i="193"/>
  <c r="J200" i="193"/>
  <c r="K199" i="193"/>
  <c r="J199" i="193"/>
  <c r="K198" i="193"/>
  <c r="J198" i="193"/>
  <c r="K197" i="193"/>
  <c r="J197" i="193"/>
  <c r="K196" i="193"/>
  <c r="J196" i="193"/>
  <c r="K195" i="193"/>
  <c r="J195" i="193"/>
  <c r="K194" i="193"/>
  <c r="J194" i="193"/>
  <c r="K193" i="193"/>
  <c r="J193" i="193"/>
  <c r="K192" i="193"/>
  <c r="J192" i="193"/>
  <c r="K191" i="193"/>
  <c r="J191" i="193"/>
  <c r="K190" i="193"/>
  <c r="J190" i="193"/>
  <c r="K189" i="193"/>
  <c r="J189" i="193"/>
  <c r="K188" i="193"/>
  <c r="J188" i="193"/>
  <c r="K187" i="193"/>
  <c r="J187" i="193"/>
  <c r="K186" i="193"/>
  <c r="J186" i="193"/>
  <c r="K185" i="193"/>
  <c r="J185" i="193"/>
  <c r="K184" i="193"/>
  <c r="J184" i="193"/>
  <c r="K183" i="193"/>
  <c r="J183" i="193"/>
  <c r="K182" i="193"/>
  <c r="J182" i="193"/>
  <c r="K181" i="193"/>
  <c r="J181" i="193"/>
  <c r="K180" i="193"/>
  <c r="J180" i="193"/>
  <c r="K179" i="193"/>
  <c r="J179" i="193"/>
  <c r="K178" i="193"/>
  <c r="J178" i="193"/>
  <c r="K177" i="193"/>
  <c r="J177" i="193"/>
  <c r="K176" i="193"/>
  <c r="J176" i="193"/>
  <c r="K175" i="193"/>
  <c r="J175" i="193"/>
  <c r="K174" i="193"/>
  <c r="J174" i="193"/>
  <c r="K173" i="193"/>
  <c r="J173" i="193"/>
  <c r="K172" i="193"/>
  <c r="J172" i="193"/>
  <c r="K171" i="193"/>
  <c r="J171" i="193"/>
  <c r="K170" i="193"/>
  <c r="J170" i="193"/>
  <c r="K169" i="193"/>
  <c r="J169" i="193"/>
  <c r="K168" i="193"/>
  <c r="J168" i="193"/>
  <c r="K167" i="193"/>
  <c r="J167" i="193"/>
  <c r="K166" i="193"/>
  <c r="J166" i="193"/>
  <c r="K165" i="193"/>
  <c r="J165" i="193"/>
  <c r="K164" i="193"/>
  <c r="J164" i="193"/>
  <c r="K163" i="193"/>
  <c r="J163" i="193"/>
  <c r="K162" i="193"/>
  <c r="J162" i="193"/>
  <c r="K161" i="193"/>
  <c r="J161" i="193"/>
  <c r="K160" i="193"/>
  <c r="J160" i="193"/>
  <c r="K159" i="193"/>
  <c r="J159" i="193"/>
  <c r="K158" i="193"/>
  <c r="J158" i="193"/>
  <c r="K157" i="193"/>
  <c r="J157" i="193"/>
  <c r="K156" i="193"/>
  <c r="J156" i="193"/>
  <c r="K155" i="193"/>
  <c r="J155" i="193"/>
  <c r="K154" i="193"/>
  <c r="J154" i="193"/>
  <c r="K153" i="193"/>
  <c r="J153" i="193"/>
  <c r="K152" i="193"/>
  <c r="J152" i="193"/>
  <c r="K151" i="193"/>
  <c r="J151" i="193"/>
  <c r="K150" i="193"/>
  <c r="J150" i="193"/>
  <c r="K149" i="193"/>
  <c r="J149" i="193"/>
  <c r="K148" i="193"/>
  <c r="J148" i="193"/>
  <c r="K147" i="193"/>
  <c r="J147" i="193"/>
  <c r="K146" i="193"/>
  <c r="J146" i="193"/>
  <c r="K145" i="193"/>
  <c r="J145" i="193"/>
  <c r="K144" i="193"/>
  <c r="J144" i="193"/>
  <c r="K143" i="193"/>
  <c r="J143" i="193"/>
  <c r="K142" i="193"/>
  <c r="J142" i="193"/>
  <c r="K141" i="193"/>
  <c r="J141" i="193"/>
  <c r="K140" i="193"/>
  <c r="J140" i="193"/>
  <c r="K139" i="193"/>
  <c r="J139" i="193"/>
  <c r="K138" i="193"/>
  <c r="J138" i="193"/>
  <c r="K137" i="193"/>
  <c r="J137" i="193"/>
  <c r="K136" i="193"/>
  <c r="J136" i="193"/>
  <c r="K135" i="193"/>
  <c r="J135" i="193"/>
  <c r="K134" i="193"/>
  <c r="J134" i="193"/>
  <c r="K133" i="193"/>
  <c r="J133" i="193"/>
  <c r="K132" i="193"/>
  <c r="J132" i="193"/>
  <c r="K131" i="193"/>
  <c r="J131" i="193"/>
  <c r="K130" i="193"/>
  <c r="J130" i="193"/>
  <c r="K129" i="193"/>
  <c r="J129" i="193"/>
  <c r="K128" i="193"/>
  <c r="J128" i="193"/>
  <c r="K127" i="193"/>
  <c r="J127" i="193"/>
  <c r="K126" i="193"/>
  <c r="J126" i="193"/>
  <c r="K125" i="193"/>
  <c r="J125" i="193"/>
  <c r="K124" i="193"/>
  <c r="J124" i="193"/>
  <c r="K123" i="193"/>
  <c r="J123" i="193"/>
  <c r="K122" i="193"/>
  <c r="J122" i="193"/>
  <c r="K121" i="193"/>
  <c r="J121" i="193"/>
  <c r="K120" i="193"/>
  <c r="J120" i="193"/>
  <c r="K119" i="193"/>
  <c r="J119" i="193"/>
  <c r="K118" i="193"/>
  <c r="J118" i="193"/>
  <c r="K117" i="193"/>
  <c r="J117" i="193"/>
  <c r="K116" i="193"/>
  <c r="J116" i="193"/>
  <c r="K115" i="193"/>
  <c r="J115" i="193"/>
  <c r="K114" i="193"/>
  <c r="J114" i="193"/>
  <c r="K113" i="193"/>
  <c r="J113" i="193"/>
  <c r="K112" i="193"/>
  <c r="J112" i="193"/>
  <c r="K111" i="193"/>
  <c r="J111" i="193"/>
  <c r="K110" i="193"/>
  <c r="J110" i="193"/>
  <c r="K109" i="193"/>
  <c r="J109" i="193"/>
  <c r="K108" i="193"/>
  <c r="J108" i="193"/>
  <c r="K107" i="193"/>
  <c r="J107" i="193"/>
  <c r="K106" i="193"/>
  <c r="J106" i="193"/>
  <c r="K105" i="193"/>
  <c r="J105" i="193"/>
  <c r="K104" i="193"/>
  <c r="J104" i="193"/>
  <c r="K103" i="193"/>
  <c r="J103" i="193"/>
  <c r="K102" i="193"/>
  <c r="J102" i="193"/>
  <c r="K101" i="193"/>
  <c r="J101" i="193"/>
  <c r="K100" i="193"/>
  <c r="J100" i="193"/>
  <c r="K99" i="193"/>
  <c r="J99" i="193"/>
  <c r="K98" i="193"/>
  <c r="J98" i="193"/>
  <c r="K97" i="193"/>
  <c r="J97" i="193"/>
  <c r="K96" i="193"/>
  <c r="J96" i="193"/>
  <c r="K95" i="193"/>
  <c r="J95" i="193"/>
  <c r="K94" i="193"/>
  <c r="J94" i="193"/>
  <c r="K93" i="193"/>
  <c r="J93" i="193"/>
  <c r="K92" i="193"/>
  <c r="J92" i="193"/>
  <c r="K91" i="193"/>
  <c r="J91" i="193"/>
  <c r="K90" i="193"/>
  <c r="J90" i="193"/>
  <c r="K89" i="193"/>
  <c r="J89" i="193"/>
  <c r="K88" i="193"/>
  <c r="J88" i="193"/>
  <c r="K87" i="193"/>
  <c r="J87" i="193"/>
  <c r="K86" i="193"/>
  <c r="J86" i="193"/>
  <c r="K85" i="193"/>
  <c r="J85" i="193"/>
  <c r="K84" i="193"/>
  <c r="J84" i="193"/>
  <c r="K83" i="193"/>
  <c r="J83" i="193"/>
  <c r="K82" i="193"/>
  <c r="J82" i="193"/>
  <c r="K81" i="193"/>
  <c r="J81" i="193"/>
  <c r="K80" i="193"/>
  <c r="J80" i="193"/>
  <c r="K79" i="193"/>
  <c r="J79" i="193"/>
  <c r="K78" i="193"/>
  <c r="J78" i="193"/>
  <c r="K77" i="193"/>
  <c r="J77" i="193"/>
  <c r="K76" i="193"/>
  <c r="J76" i="193"/>
  <c r="K75" i="193"/>
  <c r="J75" i="193"/>
  <c r="K74" i="193"/>
  <c r="J74" i="193"/>
  <c r="K73" i="193"/>
  <c r="J73" i="193"/>
  <c r="K72" i="193"/>
  <c r="J72" i="193"/>
  <c r="K71" i="193"/>
  <c r="J71" i="193"/>
  <c r="K70" i="193"/>
  <c r="J70" i="193"/>
  <c r="K69" i="193"/>
  <c r="J69" i="193"/>
  <c r="K68" i="193"/>
  <c r="J68" i="193"/>
  <c r="K67" i="193"/>
  <c r="J67" i="193"/>
  <c r="K66" i="193"/>
  <c r="J66" i="193"/>
  <c r="K65" i="193"/>
  <c r="J65" i="193"/>
  <c r="K64" i="193"/>
  <c r="J64" i="193"/>
  <c r="K63" i="193"/>
  <c r="J63" i="193"/>
  <c r="K62" i="193"/>
  <c r="J62" i="193"/>
  <c r="K61" i="193"/>
  <c r="J61" i="193"/>
  <c r="K60" i="193"/>
  <c r="J60" i="193"/>
  <c r="K59" i="193"/>
  <c r="J59" i="193"/>
  <c r="K58" i="193"/>
  <c r="J58" i="193"/>
  <c r="K57" i="193"/>
  <c r="J57" i="193"/>
  <c r="K56" i="193"/>
  <c r="J56" i="193"/>
  <c r="K55" i="193"/>
  <c r="J55" i="193"/>
  <c r="K54" i="193"/>
  <c r="J54" i="193"/>
  <c r="K53" i="193"/>
  <c r="J53" i="193"/>
  <c r="K52" i="193"/>
  <c r="J52" i="193"/>
  <c r="K51" i="193"/>
  <c r="J51" i="193"/>
  <c r="K50" i="193"/>
  <c r="J50" i="193"/>
  <c r="K49" i="193"/>
  <c r="J49" i="193"/>
  <c r="K48" i="193"/>
  <c r="J48" i="193"/>
  <c r="K47" i="193"/>
  <c r="J47" i="193"/>
  <c r="K46" i="193"/>
  <c r="J46" i="193"/>
  <c r="K45" i="193"/>
  <c r="J45" i="193"/>
  <c r="K44" i="193"/>
  <c r="J44" i="193"/>
  <c r="K43" i="193"/>
  <c r="J43" i="193"/>
  <c r="K42" i="193"/>
  <c r="J42" i="193"/>
  <c r="K41" i="193"/>
  <c r="J41" i="193"/>
  <c r="K40" i="193"/>
  <c r="J40" i="193"/>
  <c r="K39" i="193"/>
  <c r="J39" i="193"/>
  <c r="K38" i="193"/>
  <c r="J38" i="193"/>
  <c r="K37" i="193"/>
  <c r="J37" i="193"/>
  <c r="K36" i="193"/>
  <c r="J36" i="193"/>
  <c r="K35" i="193"/>
  <c r="J35" i="193"/>
  <c r="K34" i="193"/>
  <c r="J34" i="193"/>
  <c r="K33" i="193"/>
  <c r="J33" i="193"/>
  <c r="K32" i="193"/>
  <c r="J32" i="193"/>
  <c r="K31" i="193"/>
  <c r="J31" i="193"/>
  <c r="K30" i="193"/>
  <c r="J30" i="193"/>
  <c r="K29" i="193"/>
  <c r="J29" i="193"/>
  <c r="K28" i="193"/>
  <c r="J28" i="193"/>
  <c r="K27" i="193"/>
  <c r="J27" i="193"/>
  <c r="K26" i="193"/>
  <c r="J26" i="193"/>
  <c r="K25" i="193"/>
  <c r="J25" i="193"/>
  <c r="K24" i="193"/>
  <c r="J24" i="193"/>
  <c r="K23" i="193"/>
  <c r="J23" i="193"/>
  <c r="G156" i="192" s="1"/>
  <c r="I156" i="192" s="1"/>
  <c r="K22" i="193"/>
  <c r="J22" i="193"/>
  <c r="K21" i="193"/>
  <c r="J21" i="193"/>
  <c r="K20" i="193"/>
  <c r="J20" i="193"/>
  <c r="G144" i="192" s="1"/>
  <c r="I144" i="192" s="1"/>
  <c r="K19" i="193"/>
  <c r="J19" i="193"/>
  <c r="K18" i="193"/>
  <c r="J18" i="193"/>
  <c r="K17" i="193"/>
  <c r="J17" i="193"/>
  <c r="K16" i="193"/>
  <c r="J16" i="193"/>
  <c r="K15" i="193"/>
  <c r="J15" i="193"/>
  <c r="I175" i="192" s="1"/>
  <c r="D4" i="193"/>
  <c r="C2" i="193"/>
  <c r="C1" i="192"/>
  <c r="C1" i="190"/>
  <c r="E400" i="192"/>
  <c r="D400" i="192"/>
  <c r="A400" i="192"/>
  <c r="M397" i="192"/>
  <c r="G397" i="192" s="1"/>
  <c r="I397" i="192" s="1"/>
  <c r="K397" i="192"/>
  <c r="M396" i="192"/>
  <c r="G396" i="192" s="1"/>
  <c r="I396" i="192" s="1"/>
  <c r="K396" i="192"/>
  <c r="M395" i="192"/>
  <c r="G395" i="192" s="1"/>
  <c r="K395" i="192"/>
  <c r="F395" i="192" s="1"/>
  <c r="M394" i="192"/>
  <c r="G394" i="192" s="1"/>
  <c r="I394" i="192" s="1"/>
  <c r="K394" i="192"/>
  <c r="M393" i="192"/>
  <c r="G393" i="192" s="1"/>
  <c r="K393" i="192"/>
  <c r="F393" i="192" s="1"/>
  <c r="M392" i="192"/>
  <c r="G392" i="192" s="1"/>
  <c r="K392" i="192"/>
  <c r="F392" i="192" s="1"/>
  <c r="M391" i="192"/>
  <c r="G391" i="192" s="1"/>
  <c r="K391" i="192"/>
  <c r="F391" i="192" s="1"/>
  <c r="M390" i="192"/>
  <c r="G390" i="192" s="1"/>
  <c r="I390" i="192" s="1"/>
  <c r="H390" i="5" s="1"/>
  <c r="K390" i="192"/>
  <c r="M389" i="192"/>
  <c r="G389" i="192" s="1"/>
  <c r="I389" i="192" s="1"/>
  <c r="H389" i="5" s="1"/>
  <c r="K389" i="192"/>
  <c r="M388" i="192"/>
  <c r="G388" i="192" s="1"/>
  <c r="I388" i="192" s="1"/>
  <c r="H388" i="5" s="1"/>
  <c r="K388" i="192"/>
  <c r="M387" i="192"/>
  <c r="G387" i="192" s="1"/>
  <c r="I387" i="192" s="1"/>
  <c r="H387" i="5" s="1"/>
  <c r="K387" i="192"/>
  <c r="M386" i="192"/>
  <c r="G386" i="192" s="1"/>
  <c r="I386" i="192" s="1"/>
  <c r="K386" i="192"/>
  <c r="M385" i="192"/>
  <c r="G385" i="192" s="1"/>
  <c r="I385" i="192" s="1"/>
  <c r="K385" i="192"/>
  <c r="M384" i="192"/>
  <c r="G384" i="192" s="1"/>
  <c r="K384" i="192"/>
  <c r="M383" i="192"/>
  <c r="G383" i="192" s="1"/>
  <c r="I383" i="192" s="1"/>
  <c r="K383" i="192"/>
  <c r="M382" i="192"/>
  <c r="G382" i="192" s="1"/>
  <c r="K382" i="192"/>
  <c r="F382" i="192" s="1"/>
  <c r="M381" i="192"/>
  <c r="G381" i="192" s="1"/>
  <c r="K381" i="192"/>
  <c r="F381" i="192" s="1"/>
  <c r="M380" i="192"/>
  <c r="G380" i="192" s="1"/>
  <c r="K380" i="192"/>
  <c r="F380" i="192" s="1"/>
  <c r="M379" i="192"/>
  <c r="G379" i="192" s="1"/>
  <c r="K379" i="192"/>
  <c r="F379" i="192" s="1"/>
  <c r="M378" i="192"/>
  <c r="G378" i="192" s="1"/>
  <c r="K378" i="192"/>
  <c r="F378" i="192" s="1"/>
  <c r="M377" i="192"/>
  <c r="G377" i="192" s="1"/>
  <c r="K377" i="192"/>
  <c r="M376" i="192"/>
  <c r="G376" i="192" s="1"/>
  <c r="K376" i="192"/>
  <c r="M375" i="192"/>
  <c r="G375" i="192" s="1"/>
  <c r="K375" i="192"/>
  <c r="F375" i="192" s="1"/>
  <c r="M374" i="192"/>
  <c r="G374" i="192" s="1"/>
  <c r="K374" i="192"/>
  <c r="F374" i="192" s="1"/>
  <c r="M373" i="192"/>
  <c r="G373" i="192" s="1"/>
  <c r="K373" i="192"/>
  <c r="F373" i="192" s="1"/>
  <c r="M372" i="192"/>
  <c r="G372" i="192" s="1"/>
  <c r="I372" i="192" s="1"/>
  <c r="K372" i="192"/>
  <c r="M371" i="192"/>
  <c r="G371" i="192" s="1"/>
  <c r="K371" i="192"/>
  <c r="F371" i="192" s="1"/>
  <c r="M370" i="192"/>
  <c r="G370" i="192" s="1"/>
  <c r="K370" i="192"/>
  <c r="F370" i="192" s="1"/>
  <c r="M369" i="192"/>
  <c r="G369" i="192" s="1"/>
  <c r="K369" i="192"/>
  <c r="F369" i="192" s="1"/>
  <c r="M368" i="192"/>
  <c r="G368" i="192" s="1"/>
  <c r="K368" i="192"/>
  <c r="F368" i="192" s="1"/>
  <c r="M367" i="192"/>
  <c r="G367" i="192" s="1"/>
  <c r="K367" i="192"/>
  <c r="F367" i="192" s="1"/>
  <c r="M366" i="192"/>
  <c r="G366" i="192" s="1"/>
  <c r="K366" i="192"/>
  <c r="F366" i="192" s="1"/>
  <c r="M365" i="192"/>
  <c r="G365" i="192" s="1"/>
  <c r="K365" i="192"/>
  <c r="F365" i="192" s="1"/>
  <c r="M364" i="192"/>
  <c r="G364" i="192" s="1"/>
  <c r="I364" i="192" s="1"/>
  <c r="K364" i="192"/>
  <c r="M363" i="192"/>
  <c r="G363" i="192" s="1"/>
  <c r="K363" i="192"/>
  <c r="F363" i="192" s="1"/>
  <c r="M362" i="192"/>
  <c r="G362" i="192" s="1"/>
  <c r="K362" i="192"/>
  <c r="F362" i="192" s="1"/>
  <c r="M361" i="192"/>
  <c r="G361" i="192" s="1"/>
  <c r="K361" i="192"/>
  <c r="F361" i="192" s="1"/>
  <c r="M360" i="192"/>
  <c r="G360" i="192" s="1"/>
  <c r="K360" i="192"/>
  <c r="F360" i="192" s="1"/>
  <c r="M359" i="192"/>
  <c r="G359" i="192" s="1"/>
  <c r="K359" i="192"/>
  <c r="F359" i="192" s="1"/>
  <c r="M358" i="192"/>
  <c r="G358" i="192" s="1"/>
  <c r="K358" i="192"/>
  <c r="F358" i="192" s="1"/>
  <c r="M357" i="192"/>
  <c r="G357" i="192" s="1"/>
  <c r="I357" i="192" s="1"/>
  <c r="K357" i="192"/>
  <c r="M356" i="192"/>
  <c r="K356" i="192"/>
  <c r="F356" i="192" s="1"/>
  <c r="M355" i="192"/>
  <c r="G355" i="192" s="1"/>
  <c r="K355" i="192"/>
  <c r="F355" i="192" s="1"/>
  <c r="M354" i="192"/>
  <c r="G354" i="192" s="1"/>
  <c r="K354" i="192"/>
  <c r="F354" i="192" s="1"/>
  <c r="M353" i="192"/>
  <c r="K353" i="192"/>
  <c r="F353" i="192" s="1"/>
  <c r="M352" i="192"/>
  <c r="G352" i="192" s="1"/>
  <c r="I352" i="192" s="1"/>
  <c r="K352" i="192"/>
  <c r="M347" i="192"/>
  <c r="G347" i="192" s="1"/>
  <c r="K347" i="192"/>
  <c r="F347" i="192" s="1"/>
  <c r="M346" i="192"/>
  <c r="G346" i="192" s="1"/>
  <c r="K346" i="192"/>
  <c r="F346" i="192" s="1"/>
  <c r="M345" i="192"/>
  <c r="G345" i="192" s="1"/>
  <c r="K345" i="192"/>
  <c r="F345" i="192" s="1"/>
  <c r="M344" i="192"/>
  <c r="G344" i="192" s="1"/>
  <c r="K344" i="192"/>
  <c r="F344" i="192" s="1"/>
  <c r="M343" i="192"/>
  <c r="G343" i="192" s="1"/>
  <c r="K343" i="192"/>
  <c r="F343" i="192" s="1"/>
  <c r="M341" i="192"/>
  <c r="G341" i="192" s="1"/>
  <c r="K341" i="192"/>
  <c r="F341" i="192" s="1"/>
  <c r="M340" i="192"/>
  <c r="G340" i="192" s="1"/>
  <c r="K340" i="192"/>
  <c r="F340" i="192" s="1"/>
  <c r="M338" i="192"/>
  <c r="G338" i="192" s="1"/>
  <c r="K338" i="192"/>
  <c r="F338" i="192" s="1"/>
  <c r="M336" i="192"/>
  <c r="G336" i="192" s="1"/>
  <c r="K336" i="192"/>
  <c r="M335" i="192"/>
  <c r="G335" i="192" s="1"/>
  <c r="K335" i="192"/>
  <c r="F335" i="192" s="1"/>
  <c r="M334" i="192"/>
  <c r="G334" i="192" s="1"/>
  <c r="K334" i="192"/>
  <c r="F334" i="192" s="1"/>
  <c r="M332" i="192"/>
  <c r="G332" i="192" s="1"/>
  <c r="K332" i="192"/>
  <c r="F332" i="192" s="1"/>
  <c r="M330" i="192"/>
  <c r="G330" i="192" s="1"/>
  <c r="K330" i="192"/>
  <c r="F330" i="192" s="1"/>
  <c r="M327" i="192"/>
  <c r="G327" i="192" s="1"/>
  <c r="K327" i="192"/>
  <c r="F327" i="192" s="1"/>
  <c r="M325" i="192"/>
  <c r="G325" i="192" s="1"/>
  <c r="K325" i="192"/>
  <c r="M302" i="192"/>
  <c r="G302" i="192" s="1"/>
  <c r="K302" i="192"/>
  <c r="F302" i="192" s="1"/>
  <c r="M301" i="192"/>
  <c r="G301" i="192" s="1"/>
  <c r="K301" i="192"/>
  <c r="F301" i="192" s="1"/>
  <c r="M300" i="192"/>
  <c r="G300" i="192" s="1"/>
  <c r="K300" i="192"/>
  <c r="F300" i="192" s="1"/>
  <c r="M299" i="192"/>
  <c r="G299" i="192" s="1"/>
  <c r="K299" i="192"/>
  <c r="F299" i="192" s="1"/>
  <c r="M298" i="192"/>
  <c r="G298" i="192" s="1"/>
  <c r="K298" i="192"/>
  <c r="F298" i="192" s="1"/>
  <c r="M297" i="192"/>
  <c r="G297" i="192" s="1"/>
  <c r="K297" i="192"/>
  <c r="M296" i="192"/>
  <c r="G296" i="192" s="1"/>
  <c r="K296" i="192"/>
  <c r="F296" i="192" s="1"/>
  <c r="M295" i="192"/>
  <c r="G295" i="192" s="1"/>
  <c r="K295" i="192"/>
  <c r="F295" i="192" s="1"/>
  <c r="M294" i="192"/>
  <c r="G294" i="192" s="1"/>
  <c r="K294" i="192"/>
  <c r="F294" i="192" s="1"/>
  <c r="M293" i="192"/>
  <c r="G293" i="192" s="1"/>
  <c r="K293" i="192"/>
  <c r="F293" i="192" s="1"/>
  <c r="M292" i="192"/>
  <c r="G292" i="192" s="1"/>
  <c r="K292" i="192"/>
  <c r="F292" i="192" s="1"/>
  <c r="M291" i="192"/>
  <c r="G291" i="192" s="1"/>
  <c r="I291" i="192" s="1"/>
  <c r="K291" i="192"/>
  <c r="M290" i="192"/>
  <c r="G290" i="192" s="1"/>
  <c r="I290" i="192" s="1"/>
  <c r="K290" i="192"/>
  <c r="M271" i="192"/>
  <c r="G271" i="192" s="1"/>
  <c r="I271" i="192" s="1"/>
  <c r="K271" i="192"/>
  <c r="M270" i="192"/>
  <c r="G270" i="192" s="1"/>
  <c r="I270" i="192" s="1"/>
  <c r="H270" i="5" s="1"/>
  <c r="K270" i="192"/>
  <c r="M269" i="192"/>
  <c r="G269" i="192" s="1"/>
  <c r="I269" i="192" s="1"/>
  <c r="H269" i="5" s="1"/>
  <c r="K269" i="192"/>
  <c r="M268" i="192"/>
  <c r="G268" i="192" s="1"/>
  <c r="K268" i="192"/>
  <c r="M267" i="192"/>
  <c r="G267" i="192" s="1"/>
  <c r="I267" i="192" s="1"/>
  <c r="K267" i="192"/>
  <c r="M266" i="192"/>
  <c r="G266" i="192" s="1"/>
  <c r="I266" i="192" s="1"/>
  <c r="H266" i="5" s="1"/>
  <c r="K266" i="192"/>
  <c r="M265" i="192"/>
  <c r="G265" i="192" s="1"/>
  <c r="I265" i="192" s="1"/>
  <c r="H265" i="5" s="1"/>
  <c r="K265" i="192"/>
  <c r="M264" i="192"/>
  <c r="G264" i="192" s="1"/>
  <c r="K264" i="192"/>
  <c r="M263" i="192"/>
  <c r="G263" i="192" s="1"/>
  <c r="I263" i="192" s="1"/>
  <c r="K263" i="192"/>
  <c r="M262" i="192"/>
  <c r="G262" i="192" s="1"/>
  <c r="K262" i="192"/>
  <c r="M261" i="192"/>
  <c r="G261" i="192" s="1"/>
  <c r="K261" i="192"/>
  <c r="M260" i="192"/>
  <c r="G260" i="192" s="1"/>
  <c r="K260" i="192"/>
  <c r="M259" i="192"/>
  <c r="G259" i="192" s="1"/>
  <c r="I259" i="192" s="1"/>
  <c r="K259" i="192"/>
  <c r="M258" i="192"/>
  <c r="G258" i="192" s="1"/>
  <c r="I258" i="192" s="1"/>
  <c r="H258" i="5" s="1"/>
  <c r="K258" i="192"/>
  <c r="M257" i="192"/>
  <c r="G257" i="192" s="1"/>
  <c r="K257" i="192"/>
  <c r="M256" i="192"/>
  <c r="G256" i="192" s="1"/>
  <c r="K256" i="192"/>
  <c r="M255" i="192"/>
  <c r="G255" i="192" s="1"/>
  <c r="K255" i="192"/>
  <c r="M254" i="192"/>
  <c r="G254" i="192" s="1"/>
  <c r="K254" i="192"/>
  <c r="M253" i="192"/>
  <c r="G253" i="192" s="1"/>
  <c r="K253" i="192"/>
  <c r="M252" i="192"/>
  <c r="G252" i="192" s="1"/>
  <c r="K252" i="192"/>
  <c r="M251" i="192"/>
  <c r="G251" i="192" s="1"/>
  <c r="I251" i="192" s="1"/>
  <c r="K251" i="192"/>
  <c r="M250" i="192"/>
  <c r="G250" i="192" s="1"/>
  <c r="I250" i="192" s="1"/>
  <c r="H250" i="5" s="1"/>
  <c r="K250" i="192"/>
  <c r="M249" i="192"/>
  <c r="G249" i="192" s="1"/>
  <c r="I249" i="192" s="1"/>
  <c r="H249" i="5" s="1"/>
  <c r="K249" i="192"/>
  <c r="M248" i="192"/>
  <c r="G248" i="192" s="1"/>
  <c r="K248" i="192"/>
  <c r="M247" i="192"/>
  <c r="G247" i="192" s="1"/>
  <c r="K247" i="192"/>
  <c r="M246" i="192"/>
  <c r="G246" i="192" s="1"/>
  <c r="K246" i="192"/>
  <c r="M245" i="192"/>
  <c r="G245" i="192" s="1"/>
  <c r="I245" i="192" s="1"/>
  <c r="H245" i="5" s="1"/>
  <c r="K245" i="192"/>
  <c r="M244" i="192"/>
  <c r="G244" i="192" s="1"/>
  <c r="K244" i="192"/>
  <c r="M243" i="192"/>
  <c r="G243" i="192" s="1"/>
  <c r="I243" i="192" s="1"/>
  <c r="K243" i="192"/>
  <c r="M242" i="192"/>
  <c r="G242" i="192" s="1"/>
  <c r="K242" i="192"/>
  <c r="M241" i="192"/>
  <c r="G241" i="192" s="1"/>
  <c r="K241" i="192"/>
  <c r="M240" i="192"/>
  <c r="G240" i="192" s="1"/>
  <c r="K240" i="192"/>
  <c r="M239" i="192"/>
  <c r="G239" i="192" s="1"/>
  <c r="I239" i="192" s="1"/>
  <c r="K239" i="192"/>
  <c r="M233" i="192"/>
  <c r="G233" i="192" s="1"/>
  <c r="I233" i="192" s="1"/>
  <c r="H233" i="5" s="1"/>
  <c r="K233" i="192"/>
  <c r="M232" i="192"/>
  <c r="G232" i="192" s="1"/>
  <c r="I232" i="192" s="1"/>
  <c r="H232" i="5" s="1"/>
  <c r="K232" i="192"/>
  <c r="M231" i="192"/>
  <c r="G231" i="192" s="1"/>
  <c r="K231" i="192"/>
  <c r="F231" i="192" s="1"/>
  <c r="M230" i="192"/>
  <c r="G230" i="192" s="1"/>
  <c r="I230" i="192" s="1"/>
  <c r="K230" i="192"/>
  <c r="M229" i="192"/>
  <c r="G229" i="192" s="1"/>
  <c r="I229" i="192" s="1"/>
  <c r="H229" i="5" s="1"/>
  <c r="K229" i="192"/>
  <c r="M228" i="192"/>
  <c r="G228" i="192" s="1"/>
  <c r="I228" i="192" s="1"/>
  <c r="H228" i="5" s="1"/>
  <c r="K228" i="192"/>
  <c r="M227" i="192"/>
  <c r="G227" i="192" s="1"/>
  <c r="K227" i="192"/>
  <c r="M226" i="192"/>
  <c r="G226" i="192" s="1"/>
  <c r="I226" i="192" s="1"/>
  <c r="K226" i="192"/>
  <c r="M225" i="192"/>
  <c r="G225" i="192" s="1"/>
  <c r="K225" i="192"/>
  <c r="F225" i="192" s="1"/>
  <c r="M224" i="192"/>
  <c r="G224" i="192" s="1"/>
  <c r="K224" i="192"/>
  <c r="F224" i="192" s="1"/>
  <c r="M223" i="192"/>
  <c r="G223" i="192" s="1"/>
  <c r="K223" i="192"/>
  <c r="F223" i="192" s="1"/>
  <c r="M222" i="192"/>
  <c r="G222" i="192" s="1"/>
  <c r="K222" i="192"/>
  <c r="F222" i="192" s="1"/>
  <c r="M221" i="192"/>
  <c r="G221" i="192" s="1"/>
  <c r="K221" i="192"/>
  <c r="F221" i="192" s="1"/>
  <c r="M220" i="192"/>
  <c r="G220" i="192" s="1"/>
  <c r="K220" i="192"/>
  <c r="F220" i="192" s="1"/>
  <c r="M219" i="192"/>
  <c r="G219" i="192" s="1"/>
  <c r="K219" i="192"/>
  <c r="F219" i="192" s="1"/>
  <c r="M218" i="192"/>
  <c r="G218" i="192" s="1"/>
  <c r="K218" i="192"/>
  <c r="F218" i="192" s="1"/>
  <c r="M217" i="192"/>
  <c r="G217" i="192" s="1"/>
  <c r="K217" i="192"/>
  <c r="F217" i="192" s="1"/>
  <c r="M216" i="192"/>
  <c r="G216" i="192" s="1"/>
  <c r="K216" i="192"/>
  <c r="F216" i="192" s="1"/>
  <c r="M215" i="192"/>
  <c r="G215" i="192" s="1"/>
  <c r="K215" i="192"/>
  <c r="F215" i="192" s="1"/>
  <c r="M214" i="192"/>
  <c r="G214" i="192" s="1"/>
  <c r="K214" i="192"/>
  <c r="F214" i="192" s="1"/>
  <c r="M213" i="192"/>
  <c r="G213" i="192" s="1"/>
  <c r="K213" i="192"/>
  <c r="F213" i="192" s="1"/>
  <c r="M212" i="192"/>
  <c r="G212" i="192" s="1"/>
  <c r="K212" i="192"/>
  <c r="F212" i="192" s="1"/>
  <c r="M211" i="192"/>
  <c r="G211" i="192" s="1"/>
  <c r="K211" i="192"/>
  <c r="F211" i="192" s="1"/>
  <c r="M210" i="192"/>
  <c r="G210" i="192" s="1"/>
  <c r="K210" i="192"/>
  <c r="F210" i="192" s="1"/>
  <c r="M209" i="192"/>
  <c r="G209" i="192" s="1"/>
  <c r="K209" i="192"/>
  <c r="F209" i="192" s="1"/>
  <c r="M208" i="192"/>
  <c r="G208" i="192" s="1"/>
  <c r="K208" i="192"/>
  <c r="F208" i="192" s="1"/>
  <c r="M207" i="192"/>
  <c r="G207" i="192" s="1"/>
  <c r="K207" i="192"/>
  <c r="F207" i="192" s="1"/>
  <c r="M206" i="192"/>
  <c r="G206" i="192" s="1"/>
  <c r="K206" i="192"/>
  <c r="F206" i="192" s="1"/>
  <c r="M203" i="192"/>
  <c r="G203" i="192" s="1"/>
  <c r="K203" i="192"/>
  <c r="F203" i="192" s="1"/>
  <c r="M202" i="192"/>
  <c r="G202" i="192" s="1"/>
  <c r="K202" i="192"/>
  <c r="F202" i="192" s="1"/>
  <c r="M201" i="192"/>
  <c r="G201" i="192" s="1"/>
  <c r="K201" i="192"/>
  <c r="F201" i="192" s="1"/>
  <c r="M200" i="192"/>
  <c r="G200" i="192" s="1"/>
  <c r="K200" i="192"/>
  <c r="F200" i="192" s="1"/>
  <c r="M199" i="192"/>
  <c r="G199" i="192" s="1"/>
  <c r="K199" i="192"/>
  <c r="F199" i="192" s="1"/>
  <c r="M198" i="192"/>
  <c r="G198" i="192" s="1"/>
  <c r="K198" i="192"/>
  <c r="F198" i="192" s="1"/>
  <c r="M197" i="192"/>
  <c r="G197" i="192" s="1"/>
  <c r="K197" i="192"/>
  <c r="F197" i="192" s="1"/>
  <c r="M196" i="192"/>
  <c r="G196" i="192" s="1"/>
  <c r="K196" i="192"/>
  <c r="F196" i="192" s="1"/>
  <c r="M195" i="192"/>
  <c r="G195" i="192" s="1"/>
  <c r="K195" i="192"/>
  <c r="F195" i="192" s="1"/>
  <c r="M194" i="192"/>
  <c r="G194" i="192" s="1"/>
  <c r="K194" i="192"/>
  <c r="F194" i="192" s="1"/>
  <c r="M193" i="192"/>
  <c r="G193" i="192" s="1"/>
  <c r="K193" i="192"/>
  <c r="F193" i="192" s="1"/>
  <c r="M192" i="192"/>
  <c r="G192" i="192" s="1"/>
  <c r="K192" i="192"/>
  <c r="F192" i="192" s="1"/>
  <c r="M191" i="192"/>
  <c r="G191" i="192" s="1"/>
  <c r="I191" i="192" s="1"/>
  <c r="K191" i="192"/>
  <c r="M190" i="192"/>
  <c r="G190" i="192" s="1"/>
  <c r="K190" i="192"/>
  <c r="M184" i="192"/>
  <c r="G184" i="192" s="1"/>
  <c r="I184" i="192" s="1"/>
  <c r="M183" i="192"/>
  <c r="G183" i="192" s="1"/>
  <c r="K183" i="192"/>
  <c r="F183" i="192" s="1"/>
  <c r="M182" i="192"/>
  <c r="G182" i="192" s="1"/>
  <c r="K182" i="192"/>
  <c r="F182" i="192" s="1"/>
  <c r="M181" i="192"/>
  <c r="G181" i="192" s="1"/>
  <c r="I181" i="192" s="1"/>
  <c r="M180" i="192"/>
  <c r="G180" i="192" s="1"/>
  <c r="I180" i="192" s="1"/>
  <c r="M179" i="192"/>
  <c r="G179" i="192" s="1"/>
  <c r="I179" i="192" s="1"/>
  <c r="K179" i="192"/>
  <c r="M178" i="192"/>
  <c r="K178" i="192"/>
  <c r="M177" i="192"/>
  <c r="K177" i="192"/>
  <c r="M176" i="192"/>
  <c r="K176" i="192"/>
  <c r="M174" i="192"/>
  <c r="K174" i="192"/>
  <c r="M173" i="192"/>
  <c r="K173" i="192"/>
  <c r="M172" i="192"/>
  <c r="K172" i="192"/>
  <c r="G141" i="192"/>
  <c r="O2562" i="1"/>
  <c r="M140" i="192"/>
  <c r="G140" i="192" s="1"/>
  <c r="K140" i="192"/>
  <c r="M139" i="192"/>
  <c r="K139" i="192"/>
  <c r="O664" i="1" s="1"/>
  <c r="M138" i="192"/>
  <c r="G138" i="192" s="1"/>
  <c r="I138" i="192" s="1"/>
  <c r="O661" i="248" s="1"/>
  <c r="R661" i="248" s="1"/>
  <c r="K138" i="192"/>
  <c r="O663" i="1" s="1"/>
  <c r="M134" i="192"/>
  <c r="G134" i="192" s="1"/>
  <c r="I134" i="192" s="1"/>
  <c r="O657" i="248" s="1"/>
  <c r="R657" i="248" s="1"/>
  <c r="K134" i="192"/>
  <c r="O659" i="1" s="1"/>
  <c r="M133" i="192"/>
  <c r="G133" i="192" s="1"/>
  <c r="K133" i="192"/>
  <c r="O658" i="1" s="1"/>
  <c r="M132" i="192"/>
  <c r="G132" i="192" s="1"/>
  <c r="K132" i="192"/>
  <c r="O657" i="1" s="1"/>
  <c r="M131" i="192"/>
  <c r="G131" i="192" s="1"/>
  <c r="I131" i="192" s="1"/>
  <c r="O654" i="248" s="1"/>
  <c r="R654" i="248" s="1"/>
  <c r="K131" i="192"/>
  <c r="O656" i="1" s="1"/>
  <c r="M130" i="192"/>
  <c r="G130" i="192" s="1"/>
  <c r="I130" i="192" s="1"/>
  <c r="O653" i="248" s="1"/>
  <c r="R653" i="248" s="1"/>
  <c r="K130" i="192"/>
  <c r="O655" i="1" s="1"/>
  <c r="M129" i="192"/>
  <c r="G129" i="192" s="1"/>
  <c r="K129" i="192"/>
  <c r="M128" i="192"/>
  <c r="G128" i="192" s="1"/>
  <c r="K128" i="192"/>
  <c r="M127" i="192"/>
  <c r="G127" i="192" s="1"/>
  <c r="I127" i="192" s="1"/>
  <c r="K127" i="192"/>
  <c r="M125" i="192"/>
  <c r="G125" i="192" s="1"/>
  <c r="K125" i="192"/>
  <c r="O2581" i="1" s="1"/>
  <c r="M124" i="192"/>
  <c r="G124" i="192" s="1"/>
  <c r="K124" i="192"/>
  <c r="O2580" i="1" s="1"/>
  <c r="M123" i="192"/>
  <c r="G123" i="192" s="1"/>
  <c r="I123" i="192" s="1"/>
  <c r="O2238" i="248" s="1"/>
  <c r="K123" i="192"/>
  <c r="O2579" i="1" s="1"/>
  <c r="M122" i="192"/>
  <c r="G122" i="192" s="1"/>
  <c r="I122" i="192" s="1"/>
  <c r="O2237" i="248" s="1"/>
  <c r="K122" i="192"/>
  <c r="O2578" i="1" s="1"/>
  <c r="M121" i="192"/>
  <c r="G121" i="192" s="1"/>
  <c r="I121" i="192" s="1"/>
  <c r="O2236" i="248" s="1"/>
  <c r="K121" i="192"/>
  <c r="O2577" i="1" s="1"/>
  <c r="M120" i="192"/>
  <c r="G120" i="192" s="1"/>
  <c r="I120" i="192" s="1"/>
  <c r="O2235" i="248" s="1"/>
  <c r="K120" i="192"/>
  <c r="O2576" i="1" s="1"/>
  <c r="M119" i="192"/>
  <c r="G119" i="192" s="1"/>
  <c r="I119" i="192" s="1"/>
  <c r="O2234" i="248" s="1"/>
  <c r="K119" i="192"/>
  <c r="O2575" i="1" s="1"/>
  <c r="M118" i="192"/>
  <c r="G118" i="192" s="1"/>
  <c r="I118" i="192" s="1"/>
  <c r="O2233" i="248" s="1"/>
  <c r="K118" i="192"/>
  <c r="O2574" i="1" s="1"/>
  <c r="M117" i="192"/>
  <c r="G117" i="192" s="1"/>
  <c r="I117" i="192" s="1"/>
  <c r="O2232" i="248" s="1"/>
  <c r="K117" i="192"/>
  <c r="O2573" i="1" s="1"/>
  <c r="M116" i="192"/>
  <c r="G116" i="192" s="1"/>
  <c r="I116" i="192" s="1"/>
  <c r="O2231" i="248" s="1"/>
  <c r="K116" i="192"/>
  <c r="O2572" i="1" s="1"/>
  <c r="M115" i="192"/>
  <c r="G115" i="192" s="1"/>
  <c r="I115" i="192" s="1"/>
  <c r="O2229" i="248" s="1"/>
  <c r="K115" i="192"/>
  <c r="O2570" i="1" s="1"/>
  <c r="M114" i="192"/>
  <c r="G114" i="192" s="1"/>
  <c r="I114" i="192" s="1"/>
  <c r="O2228" i="248" s="1"/>
  <c r="K114" i="192"/>
  <c r="O2569" i="1" s="1"/>
  <c r="M113" i="192"/>
  <c r="G113" i="192" s="1"/>
  <c r="I113" i="192" s="1"/>
  <c r="O2227" i="248" s="1"/>
  <c r="K113" i="192"/>
  <c r="O2568" i="1" s="1"/>
  <c r="M112" i="192"/>
  <c r="G112" i="192" s="1"/>
  <c r="I112" i="192" s="1"/>
  <c r="K112" i="192"/>
  <c r="M111" i="192"/>
  <c r="G111" i="192" s="1"/>
  <c r="I111" i="192" s="1"/>
  <c r="K111" i="192"/>
  <c r="M110" i="192"/>
  <c r="G110" i="192" s="1"/>
  <c r="I110" i="192" s="1"/>
  <c r="O2225" i="248" s="1"/>
  <c r="K110" i="192"/>
  <c r="O2566" i="1" s="1"/>
  <c r="M109" i="192"/>
  <c r="G109" i="192" s="1"/>
  <c r="I109" i="192" s="1"/>
  <c r="O2224" i="248" s="1"/>
  <c r="K109" i="192"/>
  <c r="O2565" i="1" s="1"/>
  <c r="M108" i="192"/>
  <c r="G108" i="192" s="1"/>
  <c r="I108" i="192" s="1"/>
  <c r="K108" i="192"/>
  <c r="M107" i="192"/>
  <c r="G107" i="192" s="1"/>
  <c r="I107" i="192" s="1"/>
  <c r="K107" i="192"/>
  <c r="M106" i="192"/>
  <c r="G106" i="192" s="1"/>
  <c r="I106" i="192" s="1"/>
  <c r="O2220" i="248" s="1"/>
  <c r="K106" i="192"/>
  <c r="O2561" i="1" s="1"/>
  <c r="M105" i="192"/>
  <c r="G105" i="192" s="1"/>
  <c r="I105" i="192" s="1"/>
  <c r="O2219" i="248" s="1"/>
  <c r="K105" i="192"/>
  <c r="O2560" i="1" s="1"/>
  <c r="M104" i="192"/>
  <c r="G104" i="192" s="1"/>
  <c r="I104" i="192" s="1"/>
  <c r="O2218" i="248" s="1"/>
  <c r="K104" i="192"/>
  <c r="O2559" i="1" s="1"/>
  <c r="M103" i="192"/>
  <c r="G103" i="192" s="1"/>
  <c r="I103" i="192" s="1"/>
  <c r="O2217" i="248" s="1"/>
  <c r="K103" i="192"/>
  <c r="O2558" i="1" s="1"/>
  <c r="M102" i="192"/>
  <c r="G102" i="192" s="1"/>
  <c r="I102" i="192" s="1"/>
  <c r="K102" i="192"/>
  <c r="M101" i="192"/>
  <c r="G101" i="192" s="1"/>
  <c r="I101" i="192" s="1"/>
  <c r="K101" i="192"/>
  <c r="M100" i="192"/>
  <c r="G100" i="192" s="1"/>
  <c r="I100" i="192" s="1"/>
  <c r="K100" i="192"/>
  <c r="M99" i="192"/>
  <c r="G99" i="192" s="1"/>
  <c r="I99" i="192" s="1"/>
  <c r="K99" i="192"/>
  <c r="M98" i="192"/>
  <c r="G98" i="192" s="1"/>
  <c r="I98" i="192" s="1"/>
  <c r="K98" i="192"/>
  <c r="M97" i="192"/>
  <c r="G97" i="192" s="1"/>
  <c r="I97" i="192" s="1"/>
  <c r="K97" i="192"/>
  <c r="M96" i="192"/>
  <c r="G96" i="192" s="1"/>
  <c r="I96" i="192" s="1"/>
  <c r="K96" i="192"/>
  <c r="M95" i="192"/>
  <c r="G95" i="192" s="1"/>
  <c r="I95" i="192" s="1"/>
  <c r="K95" i="192"/>
  <c r="M94" i="192"/>
  <c r="G94" i="192" s="1"/>
  <c r="I94" i="192" s="1"/>
  <c r="K94" i="192"/>
  <c r="M92" i="192"/>
  <c r="G92" i="192" s="1"/>
  <c r="I92" i="192" s="1"/>
  <c r="O2214" i="248" s="1"/>
  <c r="K92" i="192"/>
  <c r="O2555" i="1" s="1"/>
  <c r="M91" i="192"/>
  <c r="G91" i="192" s="1"/>
  <c r="I91" i="192" s="1"/>
  <c r="O2213" i="248" s="1"/>
  <c r="K91" i="192"/>
  <c r="O2554" i="1" s="1"/>
  <c r="M90" i="192"/>
  <c r="G90" i="192" s="1"/>
  <c r="I90" i="192" s="1"/>
  <c r="O2211" i="248" s="1"/>
  <c r="K90" i="192"/>
  <c r="O2552" i="1" s="1"/>
  <c r="M89" i="192"/>
  <c r="G89" i="192" s="1"/>
  <c r="I89" i="192" s="1"/>
  <c r="O2212" i="248" s="1"/>
  <c r="K89" i="192"/>
  <c r="O2553" i="1" s="1"/>
  <c r="M88" i="192"/>
  <c r="G88" i="192" s="1"/>
  <c r="I88" i="192" s="1"/>
  <c r="K88" i="192"/>
  <c r="M87" i="192"/>
  <c r="G87" i="192" s="1"/>
  <c r="I87" i="192" s="1"/>
  <c r="K87" i="192"/>
  <c r="M86" i="192"/>
  <c r="G86" i="192" s="1"/>
  <c r="I86" i="192" s="1"/>
  <c r="K86" i="192"/>
  <c r="M85" i="192"/>
  <c r="G85" i="192" s="1"/>
  <c r="I85" i="192" s="1"/>
  <c r="K85" i="192"/>
  <c r="M84" i="192"/>
  <c r="G84" i="192" s="1"/>
  <c r="I84" i="192" s="1"/>
  <c r="K84" i="192"/>
  <c r="M83" i="192"/>
  <c r="G83" i="192" s="1"/>
  <c r="I83" i="192" s="1"/>
  <c r="O2251" i="248" s="1"/>
  <c r="K83" i="192"/>
  <c r="O2592" i="1" s="1"/>
  <c r="M82" i="192"/>
  <c r="G82" i="192" s="1"/>
  <c r="I82" i="192" s="1"/>
  <c r="O2250" i="248" s="1"/>
  <c r="K82" i="192"/>
  <c r="O2591" i="1" s="1"/>
  <c r="M81" i="192"/>
  <c r="G81" i="192" s="1"/>
  <c r="I81" i="192" s="1"/>
  <c r="K81" i="192"/>
  <c r="M80" i="192"/>
  <c r="G80" i="192" s="1"/>
  <c r="I80" i="192" s="1"/>
  <c r="O2253" i="248" s="1"/>
  <c r="K80" i="192"/>
  <c r="O2594" i="1" s="1"/>
  <c r="M79" i="192"/>
  <c r="G79" i="192" s="1"/>
  <c r="I79" i="192" s="1"/>
  <c r="K79" i="192"/>
  <c r="M78" i="192"/>
  <c r="G78" i="192" s="1"/>
  <c r="I78" i="192" s="1"/>
  <c r="O2184" i="248" s="1"/>
  <c r="K78" i="192"/>
  <c r="O2525" i="1" s="1"/>
  <c r="M77" i="192"/>
  <c r="G77" i="192" s="1"/>
  <c r="I77" i="192" s="1"/>
  <c r="O2183" i="248" s="1"/>
  <c r="K77" i="192"/>
  <c r="O2524" i="1" s="1"/>
  <c r="M76" i="192"/>
  <c r="G76" i="192" s="1"/>
  <c r="I76" i="192" s="1"/>
  <c r="O2182" i="248" s="1"/>
  <c r="K76" i="192"/>
  <c r="O2523" i="1" s="1"/>
  <c r="M75" i="192"/>
  <c r="G75" i="192" s="1"/>
  <c r="I75" i="192" s="1"/>
  <c r="O2181" i="248" s="1"/>
  <c r="K75" i="192"/>
  <c r="O2522" i="1" s="1"/>
  <c r="M74" i="192"/>
  <c r="G74" i="192" s="1"/>
  <c r="I74" i="192" s="1"/>
  <c r="O2180" i="248" s="1"/>
  <c r="K74" i="192"/>
  <c r="O2521" i="1" s="1"/>
  <c r="M73" i="192"/>
  <c r="G73" i="192" s="1"/>
  <c r="I73" i="192" s="1"/>
  <c r="O2179" i="248" s="1"/>
  <c r="K73" i="192"/>
  <c r="O2520" i="1" s="1"/>
  <c r="M72" i="192"/>
  <c r="G72" i="192" s="1"/>
  <c r="I72" i="192" s="1"/>
  <c r="O2178" i="248" s="1"/>
  <c r="K72" i="192"/>
  <c r="O2519" i="1" s="1"/>
  <c r="M71" i="192"/>
  <c r="G71" i="192" s="1"/>
  <c r="I71" i="192" s="1"/>
  <c r="O2177" i="248" s="1"/>
  <c r="K71" i="192"/>
  <c r="O2518" i="1" s="1"/>
  <c r="M70" i="192"/>
  <c r="G70" i="192" s="1"/>
  <c r="I70" i="192" s="1"/>
  <c r="O2176" i="248" s="1"/>
  <c r="K70" i="192"/>
  <c r="O2517" i="1" s="1"/>
  <c r="M69" i="192"/>
  <c r="G69" i="192" s="1"/>
  <c r="I69" i="192" s="1"/>
  <c r="O2175" i="248" s="1"/>
  <c r="K69" i="192"/>
  <c r="O2516" i="1" s="1"/>
  <c r="M68" i="192"/>
  <c r="G68" i="192" s="1"/>
  <c r="I68" i="192" s="1"/>
  <c r="O2174" i="248" s="1"/>
  <c r="K68" i="192"/>
  <c r="O2515" i="1" s="1"/>
  <c r="M67" i="192"/>
  <c r="G67" i="192" s="1"/>
  <c r="I67" i="192" s="1"/>
  <c r="O2173" i="248" s="1"/>
  <c r="K67" i="192"/>
  <c r="O2514" i="1" s="1"/>
  <c r="M66" i="192"/>
  <c r="G66" i="192" s="1"/>
  <c r="I66" i="192" s="1"/>
  <c r="K66" i="192"/>
  <c r="M65" i="192"/>
  <c r="G65" i="192" s="1"/>
  <c r="I65" i="192" s="1"/>
  <c r="K65" i="192"/>
  <c r="M64" i="192"/>
  <c r="G64" i="192" s="1"/>
  <c r="I64" i="192" s="1"/>
  <c r="K64" i="192"/>
  <c r="M63" i="192"/>
  <c r="G63" i="192" s="1"/>
  <c r="I63" i="192" s="1"/>
  <c r="K63" i="192"/>
  <c r="M62" i="192"/>
  <c r="G62" i="192" s="1"/>
  <c r="I62" i="192" s="1"/>
  <c r="K62" i="192"/>
  <c r="M61" i="192"/>
  <c r="G61" i="192" s="1"/>
  <c r="I61" i="192" s="1"/>
  <c r="O2170" i="248" s="1"/>
  <c r="K61" i="192"/>
  <c r="O2511" i="1" s="1"/>
  <c r="M60" i="192"/>
  <c r="G60" i="192" s="1"/>
  <c r="I60" i="192" s="1"/>
  <c r="O725" i="248" s="1"/>
  <c r="R725" i="248" s="1"/>
  <c r="K60" i="192"/>
  <c r="O727" i="1" s="1"/>
  <c r="M59" i="192"/>
  <c r="G59" i="192" s="1"/>
  <c r="I59" i="192" s="1"/>
  <c r="O724" i="248" s="1"/>
  <c r="R724" i="248" s="1"/>
  <c r="K59" i="192"/>
  <c r="O726" i="1" s="1"/>
  <c r="M58" i="192"/>
  <c r="G58" i="192" s="1"/>
  <c r="I58" i="192" s="1"/>
  <c r="K58" i="192"/>
  <c r="M57" i="192"/>
  <c r="G57" i="192" s="1"/>
  <c r="I57" i="192" s="1"/>
  <c r="K57" i="192"/>
  <c r="M56" i="192"/>
  <c r="G56" i="192" s="1"/>
  <c r="I56" i="192" s="1"/>
  <c r="K56" i="192"/>
  <c r="M55" i="192"/>
  <c r="G55" i="192" s="1"/>
  <c r="I55" i="192" s="1"/>
  <c r="K55" i="192"/>
  <c r="M54" i="192"/>
  <c r="G54" i="192" s="1"/>
  <c r="I54" i="192" s="1"/>
  <c r="K54" i="192"/>
  <c r="M53" i="192"/>
  <c r="G53" i="192" s="1"/>
  <c r="I53" i="192" s="1"/>
  <c r="K53" i="192"/>
  <c r="M52" i="192"/>
  <c r="G52" i="192" s="1"/>
  <c r="I52" i="192" s="1"/>
  <c r="K52" i="192"/>
  <c r="M51" i="192"/>
  <c r="G51" i="192" s="1"/>
  <c r="I51" i="192" s="1"/>
  <c r="K51" i="192"/>
  <c r="M50" i="192"/>
  <c r="G50" i="192" s="1"/>
  <c r="I50" i="192" s="1"/>
  <c r="O2167" i="248" s="1"/>
  <c r="K50" i="192"/>
  <c r="O2508" i="1" s="1"/>
  <c r="M49" i="192"/>
  <c r="G49" i="192" s="1"/>
  <c r="I49" i="192" s="1"/>
  <c r="K49" i="192"/>
  <c r="M48" i="192"/>
  <c r="G48" i="192" s="1"/>
  <c r="I48" i="192" s="1"/>
  <c r="K48" i="192"/>
  <c r="M47" i="192"/>
  <c r="G47" i="192" s="1"/>
  <c r="I47" i="192" s="1"/>
  <c r="O2165" i="248" s="1"/>
  <c r="K47" i="192"/>
  <c r="O2506" i="1" s="1"/>
  <c r="M46" i="192"/>
  <c r="G46" i="192" s="1"/>
  <c r="I46" i="192" s="1"/>
  <c r="O2164" i="248" s="1"/>
  <c r="K46" i="192"/>
  <c r="O2505" i="1" s="1"/>
  <c r="M45" i="192"/>
  <c r="G45" i="192" s="1"/>
  <c r="I45" i="192" s="1"/>
  <c r="O2163" i="248" s="1"/>
  <c r="K45" i="192"/>
  <c r="O2504" i="1" s="1"/>
  <c r="M44" i="192"/>
  <c r="G44" i="192" s="1"/>
  <c r="I44" i="192" s="1"/>
  <c r="O2162" i="248" s="1"/>
  <c r="K44" i="192"/>
  <c r="O2503" i="1" s="1"/>
  <c r="M43" i="192"/>
  <c r="G43" i="192" s="1"/>
  <c r="I43" i="192" s="1"/>
  <c r="K43" i="192"/>
  <c r="M42" i="192"/>
  <c r="G42" i="192" s="1"/>
  <c r="I42" i="192" s="1"/>
  <c r="K42" i="192"/>
  <c r="M41" i="192"/>
  <c r="G41" i="192" s="1"/>
  <c r="I41" i="192" s="1"/>
  <c r="K41" i="192"/>
  <c r="M40" i="192"/>
  <c r="G40" i="192" s="1"/>
  <c r="I40" i="192" s="1"/>
  <c r="K40" i="192"/>
  <c r="M39" i="192"/>
  <c r="G39" i="192" s="1"/>
  <c r="I39" i="192" s="1"/>
  <c r="O2160" i="248" s="1"/>
  <c r="K39" i="192"/>
  <c r="O2501" i="1" s="1"/>
  <c r="M38" i="192"/>
  <c r="G38" i="192" s="1"/>
  <c r="I38" i="192" s="1"/>
  <c r="O2159" i="248" s="1"/>
  <c r="K38" i="192"/>
  <c r="O2500" i="1" s="1"/>
  <c r="M37" i="192"/>
  <c r="G37" i="192" s="1"/>
  <c r="I37" i="192" s="1"/>
  <c r="O2158" i="248" s="1"/>
  <c r="K37" i="192"/>
  <c r="O2499" i="1" s="1"/>
  <c r="M36" i="192"/>
  <c r="G36" i="192" s="1"/>
  <c r="I36" i="192" s="1"/>
  <c r="K36" i="192"/>
  <c r="M35" i="192"/>
  <c r="G35" i="192" s="1"/>
  <c r="I35" i="192" s="1"/>
  <c r="K35" i="192"/>
  <c r="M34" i="192"/>
  <c r="G34" i="192" s="1"/>
  <c r="I34" i="192" s="1"/>
  <c r="K34" i="192"/>
  <c r="M33" i="192"/>
  <c r="G33" i="192" s="1"/>
  <c r="I33" i="192" s="1"/>
  <c r="K33" i="192"/>
  <c r="M32" i="192"/>
  <c r="G32" i="192" s="1"/>
  <c r="I32" i="192" s="1"/>
  <c r="K32" i="192"/>
  <c r="M31" i="192"/>
  <c r="G31" i="192" s="1"/>
  <c r="I31" i="192" s="1"/>
  <c r="K31" i="192"/>
  <c r="M29" i="192"/>
  <c r="G29" i="192" s="1"/>
  <c r="I29" i="192" s="1"/>
  <c r="O2148" i="248" s="1"/>
  <c r="K29" i="192"/>
  <c r="O2489" i="1" s="1"/>
  <c r="M28" i="192"/>
  <c r="G28" i="192" s="1"/>
  <c r="I28" i="192" s="1"/>
  <c r="O2147" i="248" s="1"/>
  <c r="K28" i="192"/>
  <c r="O2488" i="1" s="1"/>
  <c r="M27" i="192"/>
  <c r="G27" i="192" s="1"/>
  <c r="I27" i="192" s="1"/>
  <c r="O2146" i="248" s="1"/>
  <c r="K27" i="192"/>
  <c r="O2487" i="1" s="1"/>
  <c r="M26" i="192"/>
  <c r="G26" i="192" s="1"/>
  <c r="I26" i="192" s="1"/>
  <c r="O2145" i="248" s="1"/>
  <c r="K26" i="192"/>
  <c r="O2486" i="1" s="1"/>
  <c r="K25" i="192"/>
  <c r="O2485" i="1" s="1"/>
  <c r="M24" i="192"/>
  <c r="G24" i="192" s="1"/>
  <c r="I24" i="192" s="1"/>
  <c r="K24" i="192"/>
  <c r="M23" i="192"/>
  <c r="G23" i="192" s="1"/>
  <c r="I23" i="192" s="1"/>
  <c r="K23" i="192"/>
  <c r="M22" i="192"/>
  <c r="G22" i="192" s="1"/>
  <c r="I22" i="192" s="1"/>
  <c r="K22" i="192"/>
  <c r="M21" i="192"/>
  <c r="G21" i="192" s="1"/>
  <c r="I21" i="192" s="1"/>
  <c r="K21" i="192"/>
  <c r="M20" i="192"/>
  <c r="K20" i="192"/>
  <c r="M19" i="192"/>
  <c r="G19" i="192" s="1"/>
  <c r="I19" i="192" s="1"/>
  <c r="O2134" i="248" s="1"/>
  <c r="K19" i="192"/>
  <c r="O2475" i="1" s="1"/>
  <c r="M18" i="192"/>
  <c r="G18" i="192" s="1"/>
  <c r="I18" i="192" s="1"/>
  <c r="O2133" i="248" s="1"/>
  <c r="K18" i="192"/>
  <c r="O2474" i="1" s="1"/>
  <c r="M17" i="192"/>
  <c r="G17" i="192" s="1"/>
  <c r="I17" i="192" s="1"/>
  <c r="O2132" i="248" s="1"/>
  <c r="K17" i="192"/>
  <c r="O2473" i="1" s="1"/>
  <c r="M16" i="192"/>
  <c r="G16" i="192" s="1"/>
  <c r="I16" i="192" s="1"/>
  <c r="O2131" i="248" s="1"/>
  <c r="K16" i="192"/>
  <c r="O2472" i="1" s="1"/>
  <c r="M15" i="192"/>
  <c r="G15" i="192" s="1"/>
  <c r="I15" i="192" s="1"/>
  <c r="O2130" i="248" s="1"/>
  <c r="K15" i="192"/>
  <c r="O2471" i="1" s="1"/>
  <c r="M14" i="192"/>
  <c r="G14" i="192" s="1"/>
  <c r="I14" i="192" s="1"/>
  <c r="O2129" i="248" s="1"/>
  <c r="K14" i="192"/>
  <c r="O2470" i="1" s="1"/>
  <c r="M13" i="192"/>
  <c r="G13" i="192" s="1"/>
  <c r="I13" i="192" s="1"/>
  <c r="K13" i="192"/>
  <c r="M12" i="192"/>
  <c r="G12" i="192" s="1"/>
  <c r="I12" i="192" s="1"/>
  <c r="K12" i="192"/>
  <c r="M11" i="192"/>
  <c r="G11" i="192" s="1"/>
  <c r="I11" i="192" s="1"/>
  <c r="K11" i="192"/>
  <c r="M10" i="192"/>
  <c r="K10" i="192"/>
  <c r="M9" i="192"/>
  <c r="G9" i="192" s="1"/>
  <c r="I9" i="192" s="1"/>
  <c r="K9" i="192"/>
  <c r="M8" i="192"/>
  <c r="G8" i="192" s="1"/>
  <c r="I8" i="192" s="1"/>
  <c r="O2123" i="248" s="1"/>
  <c r="S2123" i="248" s="1"/>
  <c r="K8" i="192"/>
  <c r="M7" i="192"/>
  <c r="G7" i="192" s="1"/>
  <c r="I7" i="192" s="1"/>
  <c r="K7" i="192"/>
  <c r="M6" i="192"/>
  <c r="G6" i="192" s="1"/>
  <c r="K6" i="192"/>
  <c r="I1" i="192"/>
  <c r="M17" i="193" l="1"/>
  <c r="M19" i="193"/>
  <c r="M22" i="193"/>
  <c r="A22" i="193" s="1"/>
  <c r="O531" i="248"/>
  <c r="R531" i="248" s="1"/>
  <c r="M533" i="1"/>
  <c r="R533" i="1" s="1"/>
  <c r="M466" i="1"/>
  <c r="R466" i="1" s="1"/>
  <c r="O464" i="248"/>
  <c r="R464" i="248" s="1"/>
  <c r="G356" i="192"/>
  <c r="I356" i="192" s="1"/>
  <c r="H356" i="5" s="1"/>
  <c r="O2482" i="1"/>
  <c r="G139" i="192"/>
  <c r="I139" i="192" s="1"/>
  <c r="O662" i="248" s="1"/>
  <c r="R662" i="248" s="1"/>
  <c r="I172" i="192"/>
  <c r="I174" i="192"/>
  <c r="O2161" i="248"/>
  <c r="O2230" i="248"/>
  <c r="O2172" i="248"/>
  <c r="O2223" i="248"/>
  <c r="O2252" i="248"/>
  <c r="O2247" i="248" s="1"/>
  <c r="S2247" i="248" s="1"/>
  <c r="O2166" i="248"/>
  <c r="O2216" i="248"/>
  <c r="O2226" i="248"/>
  <c r="O2210" i="248"/>
  <c r="O2168" i="248"/>
  <c r="O723" i="248"/>
  <c r="R723" i="248" s="1"/>
  <c r="O2169" i="248"/>
  <c r="O2171" i="248"/>
  <c r="O2222" i="248"/>
  <c r="O3" i="192"/>
  <c r="O311" i="1"/>
  <c r="I141" i="192"/>
  <c r="I183" i="192"/>
  <c r="I182" i="192"/>
  <c r="O2502" i="1"/>
  <c r="O2513" i="1"/>
  <c r="O2551" i="1"/>
  <c r="O2571" i="1"/>
  <c r="O2462" i="1"/>
  <c r="U2462" i="1" s="1"/>
  <c r="O2476" i="1"/>
  <c r="O2469" i="1"/>
  <c r="O2464" i="1"/>
  <c r="U2464" i="1" s="1"/>
  <c r="O2624" i="1"/>
  <c r="S2624" i="1" s="1"/>
  <c r="M25" i="192"/>
  <c r="D2325" i="1"/>
  <c r="D2165" i="1"/>
  <c r="D2645" i="1"/>
  <c r="D2485" i="1"/>
  <c r="M2471" i="1"/>
  <c r="O2631" i="1"/>
  <c r="M2473" i="1"/>
  <c r="O2633" i="1"/>
  <c r="M2475" i="1"/>
  <c r="O2635" i="1"/>
  <c r="M2487" i="1"/>
  <c r="O2647" i="1"/>
  <c r="M2489" i="1"/>
  <c r="O2649" i="1"/>
  <c r="M2500" i="1"/>
  <c r="O2660" i="1"/>
  <c r="M2503" i="1"/>
  <c r="O2663" i="1"/>
  <c r="O2665" i="1"/>
  <c r="M2505" i="1"/>
  <c r="M2507" i="1"/>
  <c r="O2667" i="1"/>
  <c r="M2508" i="1"/>
  <c r="O2668" i="1"/>
  <c r="O2669" i="1"/>
  <c r="M2509" i="1"/>
  <c r="M2510" i="1"/>
  <c r="O2670" i="1"/>
  <c r="O2672" i="1"/>
  <c r="M2512" i="1"/>
  <c r="M2515" i="1"/>
  <c r="O2675" i="1"/>
  <c r="M2517" i="1"/>
  <c r="O2677" i="1"/>
  <c r="M2519" i="1"/>
  <c r="O2679" i="1"/>
  <c r="M2521" i="1"/>
  <c r="O2681" i="1"/>
  <c r="M2523" i="1"/>
  <c r="O2683" i="1"/>
  <c r="M2525" i="1"/>
  <c r="O2685" i="1"/>
  <c r="O2754" i="1"/>
  <c r="M2594" i="1"/>
  <c r="O2751" i="1"/>
  <c r="M2591" i="1"/>
  <c r="O2712" i="1"/>
  <c r="M2552" i="1"/>
  <c r="O2715" i="1"/>
  <c r="M2555" i="1"/>
  <c r="O2717" i="1"/>
  <c r="M2557" i="1"/>
  <c r="O2718" i="1"/>
  <c r="M2558" i="1"/>
  <c r="O2720" i="1"/>
  <c r="M2560" i="1"/>
  <c r="O2723" i="1"/>
  <c r="M2563" i="1"/>
  <c r="O2725" i="1"/>
  <c r="M2565" i="1"/>
  <c r="O2727" i="1"/>
  <c r="M2567" i="1"/>
  <c r="O2728" i="1"/>
  <c r="M2568" i="1"/>
  <c r="O2730" i="1"/>
  <c r="M2570" i="1"/>
  <c r="O2733" i="1"/>
  <c r="M2573" i="1"/>
  <c r="O2735" i="1"/>
  <c r="M2575" i="1"/>
  <c r="O2737" i="1"/>
  <c r="M2577" i="1"/>
  <c r="O2739" i="1"/>
  <c r="M2579" i="1"/>
  <c r="O2632" i="1"/>
  <c r="M2472" i="1"/>
  <c r="M2488" i="1"/>
  <c r="O2648" i="1"/>
  <c r="O2661" i="1"/>
  <c r="M2501" i="1"/>
  <c r="M2511" i="1"/>
  <c r="O2671" i="1"/>
  <c r="M2514" i="1"/>
  <c r="O2674" i="1"/>
  <c r="M2518" i="1"/>
  <c r="O2678" i="1"/>
  <c r="M2524" i="1"/>
  <c r="O2684" i="1"/>
  <c r="O2752" i="1"/>
  <c r="M2592" i="1"/>
  <c r="O2713" i="1"/>
  <c r="M2553" i="1"/>
  <c r="O2719" i="1"/>
  <c r="M2559" i="1"/>
  <c r="O2729" i="1"/>
  <c r="M2569" i="1"/>
  <c r="O2732" i="1"/>
  <c r="M2572" i="1"/>
  <c r="O2734" i="1"/>
  <c r="M2574" i="1"/>
  <c r="O2738" i="1"/>
  <c r="M2578" i="1"/>
  <c r="M2464" i="1"/>
  <c r="S2464" i="1" s="1"/>
  <c r="O2630" i="1"/>
  <c r="M2470" i="1"/>
  <c r="O2634" i="1"/>
  <c r="M2474" i="1"/>
  <c r="M2486" i="1"/>
  <c r="O2646" i="1"/>
  <c r="M2499" i="1"/>
  <c r="O2659" i="1"/>
  <c r="M2502" i="1"/>
  <c r="O2662" i="1"/>
  <c r="M2504" i="1"/>
  <c r="O2664" i="1"/>
  <c r="M2506" i="1"/>
  <c r="O2666" i="1"/>
  <c r="M2513" i="1"/>
  <c r="O2673" i="1"/>
  <c r="M2516" i="1"/>
  <c r="O2676" i="1"/>
  <c r="M2520" i="1"/>
  <c r="O2680" i="1"/>
  <c r="M2522" i="1"/>
  <c r="O2682" i="1"/>
  <c r="O2724" i="1"/>
  <c r="M2564" i="1"/>
  <c r="O2753" i="1"/>
  <c r="M2593" i="1"/>
  <c r="O2711" i="1"/>
  <c r="M2551" i="1"/>
  <c r="O2714" i="1"/>
  <c r="M2554" i="1"/>
  <c r="O2731" i="1"/>
  <c r="M2571" i="1"/>
  <c r="O2721" i="1"/>
  <c r="M2561" i="1"/>
  <c r="O2726" i="1"/>
  <c r="M2566" i="1"/>
  <c r="O2736" i="1"/>
  <c r="M2576" i="1"/>
  <c r="O2564" i="1"/>
  <c r="O2593" i="1"/>
  <c r="U2482" i="1"/>
  <c r="O2507" i="1"/>
  <c r="O2509" i="1"/>
  <c r="O2510" i="1"/>
  <c r="O2512" i="1"/>
  <c r="O2557" i="1"/>
  <c r="O2563" i="1"/>
  <c r="O2567" i="1"/>
  <c r="O2600" i="1"/>
  <c r="U2600" i="1" s="1"/>
  <c r="M726" i="1"/>
  <c r="R726" i="1" s="1"/>
  <c r="M659" i="1"/>
  <c r="R659" i="1" s="1"/>
  <c r="M727" i="1"/>
  <c r="R727" i="1" s="1"/>
  <c r="M655" i="1"/>
  <c r="R655" i="1" s="1"/>
  <c r="M656" i="1"/>
  <c r="R656" i="1" s="1"/>
  <c r="M663" i="1"/>
  <c r="R663" i="1" s="1"/>
  <c r="E98" i="231"/>
  <c r="F98" i="231" s="1"/>
  <c r="G98" i="231" s="1"/>
  <c r="D2" i="192"/>
  <c r="H2" i="192" s="1"/>
  <c r="I193" i="192"/>
  <c r="H193" i="5" s="1"/>
  <c r="F252" i="192"/>
  <c r="I252" i="192" s="1"/>
  <c r="I196" i="192"/>
  <c r="H196" i="5" s="1"/>
  <c r="F256" i="192"/>
  <c r="I256" i="192" s="1"/>
  <c r="F260" i="192"/>
  <c r="I260" i="192" s="1"/>
  <c r="F264" i="192"/>
  <c r="I264" i="192" s="1"/>
  <c r="I346" i="192"/>
  <c r="H346" i="5" s="1"/>
  <c r="I340" i="192"/>
  <c r="H340" i="5" s="1"/>
  <c r="I201" i="192"/>
  <c r="H201" i="5" s="1"/>
  <c r="I292" i="192"/>
  <c r="H292" i="5" s="1"/>
  <c r="I300" i="192"/>
  <c r="H300" i="5" s="1"/>
  <c r="H397" i="5"/>
  <c r="I211" i="192"/>
  <c r="H211" i="5" s="1"/>
  <c r="I214" i="192"/>
  <c r="H214" i="5" s="1"/>
  <c r="I224" i="192"/>
  <c r="H224" i="5" s="1"/>
  <c r="I231" i="192"/>
  <c r="F240" i="192"/>
  <c r="I240" i="192" s="1"/>
  <c r="F248" i="192"/>
  <c r="I248" i="192" s="1"/>
  <c r="I382" i="192"/>
  <c r="H382" i="5" s="1"/>
  <c r="I203" i="192"/>
  <c r="H203" i="5" s="1"/>
  <c r="F268" i="192"/>
  <c r="I268" i="192" s="1"/>
  <c r="I355" i="192"/>
  <c r="H355" i="5" s="1"/>
  <c r="I362" i="192"/>
  <c r="H362" i="5" s="1"/>
  <c r="I378" i="192"/>
  <c r="H378" i="5" s="1"/>
  <c r="F384" i="192"/>
  <c r="I384" i="192" s="1"/>
  <c r="G353" i="192"/>
  <c r="I353" i="192" s="1"/>
  <c r="H353" i="5" s="1"/>
  <c r="I195" i="192"/>
  <c r="H195" i="5" s="1"/>
  <c r="I213" i="192"/>
  <c r="H213" i="5" s="1"/>
  <c r="I345" i="192"/>
  <c r="H345" i="5" s="1"/>
  <c r="I367" i="192"/>
  <c r="H367" i="5" s="1"/>
  <c r="I338" i="192"/>
  <c r="H338" i="5" s="1"/>
  <c r="I371" i="192"/>
  <c r="H371" i="5" s="1"/>
  <c r="I199" i="192"/>
  <c r="H199" i="5" s="1"/>
  <c r="I223" i="192"/>
  <c r="H223" i="5" s="1"/>
  <c r="I295" i="192"/>
  <c r="H295" i="5" s="1"/>
  <c r="I301" i="192"/>
  <c r="H301" i="5" s="1"/>
  <c r="I330" i="192"/>
  <c r="H330" i="5" s="1"/>
  <c r="I344" i="192"/>
  <c r="H344" i="5" s="1"/>
  <c r="I358" i="192"/>
  <c r="H358" i="5" s="1"/>
  <c r="I360" i="192"/>
  <c r="H360" i="5" s="1"/>
  <c r="I363" i="192"/>
  <c r="H363" i="5" s="1"/>
  <c r="I373" i="192"/>
  <c r="H373" i="5" s="1"/>
  <c r="I359" i="192"/>
  <c r="H359" i="5" s="1"/>
  <c r="I209" i="192"/>
  <c r="H209" i="5" s="1"/>
  <c r="I225" i="192"/>
  <c r="H225" i="5" s="1"/>
  <c r="I361" i="192"/>
  <c r="H361" i="5" s="1"/>
  <c r="I393" i="192"/>
  <c r="H393" i="5" s="1"/>
  <c r="O725" i="1"/>
  <c r="F190" i="192"/>
  <c r="I190" i="192" s="1"/>
  <c r="I206" i="192"/>
  <c r="H206" i="5" s="1"/>
  <c r="F227" i="192"/>
  <c r="I227" i="192" s="1"/>
  <c r="O654" i="1"/>
  <c r="O651" i="1" s="1"/>
  <c r="I347" i="192"/>
  <c r="H347" i="5" s="1"/>
  <c r="I217" i="192"/>
  <c r="H217" i="5" s="1"/>
  <c r="I332" i="192"/>
  <c r="H332" i="5" s="1"/>
  <c r="F244" i="192"/>
  <c r="I244" i="192" s="1"/>
  <c r="G20" i="192"/>
  <c r="I20" i="192" s="1"/>
  <c r="O2135" i="248" s="1"/>
  <c r="I365" i="192"/>
  <c r="H365" i="5" s="1"/>
  <c r="I377" i="192"/>
  <c r="I381" i="192"/>
  <c r="H381" i="5" s="1"/>
  <c r="I253" i="192"/>
  <c r="H253" i="5" s="1"/>
  <c r="I257" i="192"/>
  <c r="H257" i="5" s="1"/>
  <c r="I261" i="192"/>
  <c r="H261" i="5" s="1"/>
  <c r="I325" i="192"/>
  <c r="M725" i="1"/>
  <c r="A59" i="193"/>
  <c r="A145" i="193"/>
  <c r="A213" i="193"/>
  <c r="A221" i="193"/>
  <c r="A253" i="193"/>
  <c r="A228" i="193"/>
  <c r="A210" i="193"/>
  <c r="A434" i="193"/>
  <c r="A472" i="193"/>
  <c r="A333" i="193"/>
  <c r="A353" i="193"/>
  <c r="A361" i="193"/>
  <c r="A383" i="193"/>
  <c r="A385" i="193"/>
  <c r="A407" i="193"/>
  <c r="A190" i="193"/>
  <c r="A220" i="193"/>
  <c r="A232" i="193"/>
  <c r="I241" i="192"/>
  <c r="H241" i="5" s="1"/>
  <c r="I299" i="192"/>
  <c r="H299" i="5" s="1"/>
  <c r="F486" i="193"/>
  <c r="F9" i="193" s="1"/>
  <c r="I173" i="192"/>
  <c r="I294" i="192"/>
  <c r="H294" i="5" s="1"/>
  <c r="F8" i="193"/>
  <c r="D8" i="193" s="1"/>
  <c r="I178" i="192"/>
  <c r="I176" i="192"/>
  <c r="I210" i="192"/>
  <c r="H210" i="5" s="1"/>
  <c r="I368" i="192"/>
  <c r="H368" i="5" s="1"/>
  <c r="G10" i="192"/>
  <c r="I10" i="192" s="1"/>
  <c r="O2128" i="248" s="1"/>
  <c r="I177" i="192"/>
  <c r="I200" i="192"/>
  <c r="H200" i="5" s="1"/>
  <c r="I222" i="192"/>
  <c r="H222" i="5" s="1"/>
  <c r="I298" i="192"/>
  <c r="H298" i="5" s="1"/>
  <c r="I392" i="192"/>
  <c r="H392" i="5" s="1"/>
  <c r="A391" i="193"/>
  <c r="A278" i="193"/>
  <c r="A354" i="193"/>
  <c r="A382" i="193"/>
  <c r="A384" i="193"/>
  <c r="A388" i="193"/>
  <c r="A390" i="193"/>
  <c r="A392" i="193"/>
  <c r="A406" i="193"/>
  <c r="A420" i="193"/>
  <c r="A424" i="193"/>
  <c r="I125" i="192"/>
  <c r="O2240" i="248" s="1"/>
  <c r="I129" i="192"/>
  <c r="I133" i="192"/>
  <c r="O656" i="248" s="1"/>
  <c r="R656" i="248" s="1"/>
  <c r="I140" i="192"/>
  <c r="I343" i="192"/>
  <c r="H343" i="5" s="1"/>
  <c r="A81" i="193"/>
  <c r="A102" i="193"/>
  <c r="A123" i="193"/>
  <c r="A357" i="193"/>
  <c r="A376" i="193"/>
  <c r="A397" i="193"/>
  <c r="A80" i="193"/>
  <c r="A98" i="193"/>
  <c r="A118" i="193"/>
  <c r="A120" i="193"/>
  <c r="A121" i="193"/>
  <c r="A122" i="193"/>
  <c r="A126" i="193"/>
  <c r="A364" i="193"/>
  <c r="A365" i="193"/>
  <c r="A370" i="193"/>
  <c r="A377" i="193"/>
  <c r="A381" i="193"/>
  <c r="A398" i="193"/>
  <c r="I124" i="192"/>
  <c r="O2239" i="248" s="1"/>
  <c r="A206" i="193"/>
  <c r="A209" i="193"/>
  <c r="A225" i="193"/>
  <c r="A226" i="193"/>
  <c r="A241" i="193"/>
  <c r="A244" i="193"/>
  <c r="A246" i="193"/>
  <c r="A247" i="193"/>
  <c r="A248" i="193"/>
  <c r="A258" i="193"/>
  <c r="A67" i="193"/>
  <c r="A193" i="193"/>
  <c r="A194" i="193"/>
  <c r="A197" i="193"/>
  <c r="A201" i="193"/>
  <c r="A340" i="193"/>
  <c r="A342" i="193"/>
  <c r="A481" i="193"/>
  <c r="A482" i="193"/>
  <c r="A82" i="193"/>
  <c r="A87" i="193"/>
  <c r="A92" i="193"/>
  <c r="A95" i="193"/>
  <c r="A108" i="193"/>
  <c r="A111" i="193"/>
  <c r="A115" i="193"/>
  <c r="A27" i="193"/>
  <c r="A30" i="193"/>
  <c r="A32" i="193"/>
  <c r="A43" i="193"/>
  <c r="A46" i="193"/>
  <c r="A128" i="193"/>
  <c r="A130" i="193"/>
  <c r="A131" i="193"/>
  <c r="A148" i="193"/>
  <c r="A161" i="193"/>
  <c r="A172" i="193"/>
  <c r="A174" i="193"/>
  <c r="A175" i="193"/>
  <c r="A176" i="193"/>
  <c r="A177" i="193"/>
  <c r="A178" i="193"/>
  <c r="A262" i="193"/>
  <c r="A265" i="193"/>
  <c r="A273" i="193"/>
  <c r="A274" i="193"/>
  <c r="A277" i="193"/>
  <c r="A279" i="193"/>
  <c r="A280" i="193"/>
  <c r="A284" i="193"/>
  <c r="A286" i="193"/>
  <c r="A294" i="193"/>
  <c r="A295" i="193"/>
  <c r="A305" i="193"/>
  <c r="A312" i="193"/>
  <c r="A408" i="193"/>
  <c r="A409" i="193"/>
  <c r="A413" i="193"/>
  <c r="A433" i="193"/>
  <c r="A436" i="193"/>
  <c r="A438" i="193"/>
  <c r="A439" i="193"/>
  <c r="A454" i="193"/>
  <c r="A455" i="193"/>
  <c r="A456" i="193"/>
  <c r="A83" i="193"/>
  <c r="A103" i="193"/>
  <c r="A114" i="193"/>
  <c r="A19" i="193"/>
  <c r="A35" i="193"/>
  <c r="A48" i="193"/>
  <c r="A51" i="193"/>
  <c r="A62" i="193"/>
  <c r="A64" i="193"/>
  <c r="A149" i="193"/>
  <c r="A153" i="193"/>
  <c r="A162" i="193"/>
  <c r="A165" i="193"/>
  <c r="A169" i="193"/>
  <c r="A180" i="193"/>
  <c r="A181" i="193"/>
  <c r="A191" i="193"/>
  <c r="A192" i="193"/>
  <c r="A289" i="193"/>
  <c r="A296" i="193"/>
  <c r="A313" i="193"/>
  <c r="A317" i="193"/>
  <c r="A322" i="193"/>
  <c r="A325" i="193"/>
  <c r="A329" i="193"/>
  <c r="A336" i="193"/>
  <c r="A337" i="193"/>
  <c r="A440" i="193"/>
  <c r="A444" i="193"/>
  <c r="A445" i="193"/>
  <c r="A457" i="193"/>
  <c r="A470" i="193"/>
  <c r="A474" i="193"/>
  <c r="A475" i="193"/>
  <c r="A476" i="193"/>
  <c r="I128" i="192"/>
  <c r="I132" i="192"/>
  <c r="O655" i="248" s="1"/>
  <c r="R655" i="248" s="1"/>
  <c r="A34" i="193"/>
  <c r="A38" i="193"/>
  <c r="A40" i="193"/>
  <c r="A41" i="193"/>
  <c r="A42" i="193"/>
  <c r="A66" i="193"/>
  <c r="A70" i="193"/>
  <c r="A72" i="193"/>
  <c r="A73" i="193"/>
  <c r="A74" i="193"/>
  <c r="A75" i="193"/>
  <c r="A78" i="193"/>
  <c r="A99" i="193"/>
  <c r="A112" i="193"/>
  <c r="A113" i="193"/>
  <c r="A150" i="193"/>
  <c r="A156" i="193"/>
  <c r="A158" i="193"/>
  <c r="A159" i="193"/>
  <c r="A160" i="193"/>
  <c r="A184" i="193"/>
  <c r="A188" i="193"/>
  <c r="A216" i="193"/>
  <c r="A218" i="193"/>
  <c r="A219" i="193"/>
  <c r="A249" i="193"/>
  <c r="A257" i="193"/>
  <c r="A287" i="193"/>
  <c r="A288" i="193"/>
  <c r="A290" i="193"/>
  <c r="A292" i="193"/>
  <c r="A306" i="193"/>
  <c r="A309" i="193"/>
  <c r="A328" i="193"/>
  <c r="A356" i="193"/>
  <c r="A360" i="193"/>
  <c r="A396" i="193"/>
  <c r="A401" i="193"/>
  <c r="A404" i="193"/>
  <c r="A421" i="193"/>
  <c r="A428" i="193"/>
  <c r="A430" i="193"/>
  <c r="A431" i="193"/>
  <c r="A432" i="193"/>
  <c r="A461" i="193"/>
  <c r="A465" i="193"/>
  <c r="A468" i="193"/>
  <c r="I376" i="192"/>
  <c r="A18" i="193"/>
  <c r="A24" i="193"/>
  <c r="A25" i="193"/>
  <c r="A26" i="193"/>
  <c r="A50" i="193"/>
  <c r="A54" i="193"/>
  <c r="A56" i="193"/>
  <c r="A57" i="193"/>
  <c r="A58" i="193"/>
  <c r="A86" i="193"/>
  <c r="A96" i="193"/>
  <c r="A97" i="193"/>
  <c r="A129" i="193"/>
  <c r="A134" i="193"/>
  <c r="A136" i="193"/>
  <c r="A137" i="193"/>
  <c r="A138" i="193"/>
  <c r="A139" i="193"/>
  <c r="A142" i="193"/>
  <c r="A168" i="193"/>
  <c r="A198" i="193"/>
  <c r="A205" i="193"/>
  <c r="A230" i="193"/>
  <c r="A231" i="193"/>
  <c r="A233" i="193"/>
  <c r="A234" i="193"/>
  <c r="A235" i="193"/>
  <c r="A236" i="193"/>
  <c r="A238" i="193"/>
  <c r="A239" i="193"/>
  <c r="A240" i="193"/>
  <c r="A261" i="193"/>
  <c r="A269" i="193"/>
  <c r="A272" i="193"/>
  <c r="A297" i="193"/>
  <c r="A301" i="193"/>
  <c r="A302" i="193"/>
  <c r="A303" i="193"/>
  <c r="A304" i="193"/>
  <c r="A344" i="193"/>
  <c r="A346" i="193"/>
  <c r="A347" i="193"/>
  <c r="A348" i="193"/>
  <c r="A349" i="193"/>
  <c r="A352" i="193"/>
  <c r="A372" i="193"/>
  <c r="A374" i="193"/>
  <c r="A375" i="193"/>
  <c r="A412" i="193"/>
  <c r="A418" i="193"/>
  <c r="A446" i="193"/>
  <c r="A447" i="193"/>
  <c r="A448" i="193"/>
  <c r="A449" i="193"/>
  <c r="A452" i="193"/>
  <c r="A477" i="193"/>
  <c r="A21" i="193"/>
  <c r="A36" i="193"/>
  <c r="A37" i="193"/>
  <c r="A52" i="193"/>
  <c r="A53" i="193"/>
  <c r="A88" i="193"/>
  <c r="A89" i="193"/>
  <c r="A90" i="193"/>
  <c r="A91" i="193"/>
  <c r="A94" i="193"/>
  <c r="A151" i="193"/>
  <c r="A152" i="193"/>
  <c r="A154" i="193"/>
  <c r="A155" i="193"/>
  <c r="A199" i="193"/>
  <c r="A200" i="193"/>
  <c r="A202" i="193"/>
  <c r="A203" i="193"/>
  <c r="A204" i="193"/>
  <c r="A252" i="193"/>
  <c r="A254" i="193"/>
  <c r="A255" i="193"/>
  <c r="A256" i="193"/>
  <c r="A298" i="193"/>
  <c r="A299" i="193"/>
  <c r="A300" i="193"/>
  <c r="A358" i="193"/>
  <c r="A359" i="193"/>
  <c r="A414" i="193"/>
  <c r="A415" i="193"/>
  <c r="A416" i="193"/>
  <c r="A417" i="193"/>
  <c r="A462" i="193"/>
  <c r="A464" i="193"/>
  <c r="A55" i="193"/>
  <c r="A71" i="193"/>
  <c r="A79" i="193"/>
  <c r="A135" i="193"/>
  <c r="A143" i="193"/>
  <c r="A185" i="193"/>
  <c r="A237" i="193"/>
  <c r="A293" i="193"/>
  <c r="A345" i="193"/>
  <c r="A350" i="193"/>
  <c r="A450" i="193"/>
  <c r="A39" i="193"/>
  <c r="A76" i="193"/>
  <c r="A140" i="193"/>
  <c r="A189" i="193"/>
  <c r="A402" i="193"/>
  <c r="A405" i="193"/>
  <c r="A453" i="193"/>
  <c r="I192" i="192"/>
  <c r="H192" i="5" s="1"/>
  <c r="I194" i="192"/>
  <c r="H194" i="5" s="1"/>
  <c r="A17" i="193"/>
  <c r="A28" i="193"/>
  <c r="A31" i="193"/>
  <c r="A33" i="193"/>
  <c r="A44" i="193"/>
  <c r="A47" i="193"/>
  <c r="A49" i="193"/>
  <c r="A60" i="193"/>
  <c r="A63" i="193"/>
  <c r="A65" i="193"/>
  <c r="A104" i="193"/>
  <c r="A105" i="193"/>
  <c r="A106" i="193"/>
  <c r="A107" i="193"/>
  <c r="A110" i="193"/>
  <c r="A119" i="193"/>
  <c r="A124" i="193"/>
  <c r="A127" i="193"/>
  <c r="A164" i="193"/>
  <c r="A166" i="193"/>
  <c r="A167" i="193"/>
  <c r="A173" i="193"/>
  <c r="A212" i="193"/>
  <c r="A214" i="193"/>
  <c r="A215" i="193"/>
  <c r="A263" i="193"/>
  <c r="A264" i="193"/>
  <c r="A266" i="193"/>
  <c r="A267" i="193"/>
  <c r="A268" i="193"/>
  <c r="A281" i="193"/>
  <c r="A285" i="193"/>
  <c r="A316" i="193"/>
  <c r="A318" i="193"/>
  <c r="A319" i="193"/>
  <c r="A320" i="193"/>
  <c r="A321" i="193"/>
  <c r="A324" i="193"/>
  <c r="A326" i="193"/>
  <c r="A327" i="193"/>
  <c r="A334" i="193"/>
  <c r="A338" i="193"/>
  <c r="A368" i="193"/>
  <c r="A369" i="193"/>
  <c r="A386" i="193"/>
  <c r="A389" i="193"/>
  <c r="A425" i="193"/>
  <c r="A426" i="193"/>
  <c r="A427" i="193"/>
  <c r="A437" i="193"/>
  <c r="A473" i="193"/>
  <c r="A478" i="193"/>
  <c r="A479" i="193"/>
  <c r="A480" i="193"/>
  <c r="A68" i="193"/>
  <c r="A69" i="193"/>
  <c r="A84" i="193"/>
  <c r="A85" i="193"/>
  <c r="A100" i="193"/>
  <c r="A101" i="193"/>
  <c r="A116" i="193"/>
  <c r="A117" i="193"/>
  <c r="A132" i="193"/>
  <c r="A133" i="193"/>
  <c r="A146" i="193"/>
  <c r="A157" i="193"/>
  <c r="A170" i="193"/>
  <c r="A171" i="193"/>
  <c r="A182" i="193"/>
  <c r="A183" i="193"/>
  <c r="A196" i="193"/>
  <c r="A208" i="193"/>
  <c r="A217" i="193"/>
  <c r="A222" i="193"/>
  <c r="A223" i="193"/>
  <c r="A224" i="193"/>
  <c r="A229" i="193"/>
  <c r="A242" i="193"/>
  <c r="A245" i="193"/>
  <c r="A260" i="193"/>
  <c r="A270" i="193"/>
  <c r="A276" i="193"/>
  <c r="A308" i="193"/>
  <c r="A310" i="193"/>
  <c r="A311" i="193"/>
  <c r="A330" i="193"/>
  <c r="A331" i="193"/>
  <c r="A332" i="193"/>
  <c r="A341" i="193"/>
  <c r="A343" i="193"/>
  <c r="A362" i="193"/>
  <c r="A363" i="193"/>
  <c r="A373" i="193"/>
  <c r="A380" i="193"/>
  <c r="A393" i="193"/>
  <c r="A400" i="193"/>
  <c r="A410" i="193"/>
  <c r="A411" i="193"/>
  <c r="A422" i="193"/>
  <c r="A423" i="193"/>
  <c r="A429" i="193"/>
  <c r="A441" i="193"/>
  <c r="A458" i="193"/>
  <c r="A459" i="193"/>
  <c r="A460" i="193"/>
  <c r="A466" i="193"/>
  <c r="A469" i="193"/>
  <c r="A471" i="193"/>
  <c r="I202" i="192"/>
  <c r="H202" i="5" s="1"/>
  <c r="I246" i="192"/>
  <c r="H246" i="5" s="1"/>
  <c r="I212" i="192"/>
  <c r="H212" i="5" s="1"/>
  <c r="I297" i="192"/>
  <c r="I221" i="192"/>
  <c r="H221" i="5" s="1"/>
  <c r="I255" i="192"/>
  <c r="I262" i="192"/>
  <c r="H262" i="5" s="1"/>
  <c r="I293" i="192"/>
  <c r="H293" i="5" s="1"/>
  <c r="I354" i="192"/>
  <c r="H354" i="5" s="1"/>
  <c r="I379" i="192"/>
  <c r="H379" i="5" s="1"/>
  <c r="I198" i="192"/>
  <c r="H198" i="5" s="1"/>
  <c r="I216" i="192"/>
  <c r="H216" i="5" s="1"/>
  <c r="I208" i="192"/>
  <c r="I242" i="192"/>
  <c r="H242" i="5" s="1"/>
  <c r="I254" i="192"/>
  <c r="H254" i="5" s="1"/>
  <c r="I336" i="192"/>
  <c r="I375" i="192"/>
  <c r="H375" i="5" s="1"/>
  <c r="I247" i="192"/>
  <c r="I335" i="192"/>
  <c r="H335" i="5" s="1"/>
  <c r="I380" i="192"/>
  <c r="H380" i="5" s="1"/>
  <c r="I395" i="192"/>
  <c r="H395" i="5" s="1"/>
  <c r="A29" i="193"/>
  <c r="A45" i="193"/>
  <c r="A61" i="193"/>
  <c r="A77" i="193"/>
  <c r="A93" i="193"/>
  <c r="A109" i="193"/>
  <c r="A125" i="193"/>
  <c r="A141" i="193"/>
  <c r="A282" i="193"/>
  <c r="A283" i="193"/>
  <c r="A351" i="193"/>
  <c r="A366" i="193"/>
  <c r="A367" i="193"/>
  <c r="A394" i="193"/>
  <c r="A395" i="193"/>
  <c r="A144" i="193"/>
  <c r="A186" i="193"/>
  <c r="A187" i="193"/>
  <c r="A207" i="193"/>
  <c r="A250" i="193"/>
  <c r="A251" i="193"/>
  <c r="A271" i="193"/>
  <c r="A314" i="193"/>
  <c r="A315" i="193"/>
  <c r="A335" i="193"/>
  <c r="A378" i="193"/>
  <c r="A379" i="193"/>
  <c r="A399" i="193"/>
  <c r="A442" i="193"/>
  <c r="A443" i="193"/>
  <c r="A463" i="193"/>
  <c r="A147" i="193"/>
  <c r="A163" i="193"/>
  <c r="A179" i="193"/>
  <c r="A195" i="193"/>
  <c r="A211" i="193"/>
  <c r="A227" i="193"/>
  <c r="A243" i="193"/>
  <c r="A259" i="193"/>
  <c r="A275" i="193"/>
  <c r="A291" i="193"/>
  <c r="A307" i="193"/>
  <c r="A323" i="193"/>
  <c r="A339" i="193"/>
  <c r="A355" i="193"/>
  <c r="A371" i="193"/>
  <c r="A387" i="193"/>
  <c r="A403" i="193"/>
  <c r="A419" i="193"/>
  <c r="A435" i="193"/>
  <c r="A451" i="193"/>
  <c r="A467" i="193"/>
  <c r="I6" i="192"/>
  <c r="I197" i="192"/>
  <c r="H197" i="5" s="1"/>
  <c r="I207" i="192"/>
  <c r="I215" i="192"/>
  <c r="H215" i="5" s="1"/>
  <c r="I218" i="192"/>
  <c r="H218" i="5" s="1"/>
  <c r="I220" i="192"/>
  <c r="H220" i="5" s="1"/>
  <c r="I327" i="192"/>
  <c r="H327" i="5" s="1"/>
  <c r="I366" i="192"/>
  <c r="H366" i="5" s="1"/>
  <c r="I369" i="192"/>
  <c r="H369" i="5" s="1"/>
  <c r="I370" i="192"/>
  <c r="H370" i="5" s="1"/>
  <c r="I219" i="192"/>
  <c r="H219" i="5" s="1"/>
  <c r="I296" i="192"/>
  <c r="H296" i="5" s="1"/>
  <c r="I391" i="192"/>
  <c r="H391" i="5" s="1"/>
  <c r="I302" i="192"/>
  <c r="H302" i="5" s="1"/>
  <c r="I334" i="192"/>
  <c r="H334" i="5" s="1"/>
  <c r="I341" i="192"/>
  <c r="H341" i="5" s="1"/>
  <c r="I374" i="192"/>
  <c r="H374" i="5" s="1"/>
  <c r="K400" i="192"/>
  <c r="K2" i="192" s="1"/>
  <c r="D724" i="1"/>
  <c r="D723" i="1"/>
  <c r="D722" i="1"/>
  <c r="D648" i="1"/>
  <c r="D647" i="1"/>
  <c r="D643" i="1"/>
  <c r="D642" i="1"/>
  <c r="D641" i="1"/>
  <c r="D640" i="1"/>
  <c r="D639" i="1"/>
  <c r="D638" i="1"/>
  <c r="F91" i="1"/>
  <c r="G25" i="192" l="1"/>
  <c r="I25" i="192" s="1"/>
  <c r="O2144" i="248" s="1"/>
  <c r="O2141" i="248" s="1"/>
  <c r="S2141" i="248" s="1"/>
  <c r="L16" i="193"/>
  <c r="A16" i="193" s="1"/>
  <c r="L20" i="193"/>
  <c r="A20" i="193" s="1"/>
  <c r="L23" i="193"/>
  <c r="A23" i="193" s="1"/>
  <c r="L15" i="193"/>
  <c r="A15" i="193" s="1"/>
  <c r="O2125" i="248"/>
  <c r="S2125" i="248" s="1"/>
  <c r="O2155" i="248"/>
  <c r="S2155" i="248" s="1"/>
  <c r="O2221" i="248"/>
  <c r="O2207" i="248" s="1"/>
  <c r="S2207" i="248" s="1"/>
  <c r="O2121" i="248"/>
  <c r="S2121" i="248" s="1"/>
  <c r="O2259" i="248"/>
  <c r="S2259" i="248" s="1"/>
  <c r="O652" i="248"/>
  <c r="U651" i="1"/>
  <c r="X651" i="1"/>
  <c r="U311" i="1"/>
  <c r="M2562" i="1"/>
  <c r="O2722" i="1"/>
  <c r="O2466" i="1"/>
  <c r="U2466" i="1" s="1"/>
  <c r="O2480" i="1" s="1"/>
  <c r="M2496" i="1"/>
  <c r="S2496" i="1" s="1"/>
  <c r="O2548" i="1"/>
  <c r="U2548" i="1" s="1"/>
  <c r="O2588" i="1"/>
  <c r="U2588" i="1" s="1"/>
  <c r="O2496" i="1"/>
  <c r="U2496" i="1" s="1"/>
  <c r="O2622" i="1"/>
  <c r="S2622" i="1" s="1"/>
  <c r="M2462" i="1"/>
  <c r="S2462" i="1" s="1"/>
  <c r="O2760" i="1"/>
  <c r="S2760" i="1" s="1"/>
  <c r="M2600" i="1"/>
  <c r="S2600" i="1" s="1"/>
  <c r="O2656" i="1"/>
  <c r="S2656" i="1" s="1"/>
  <c r="M2476" i="1"/>
  <c r="O2636" i="1"/>
  <c r="M2588" i="1"/>
  <c r="S2588" i="1" s="1"/>
  <c r="O2741" i="1"/>
  <c r="M2581" i="1"/>
  <c r="O2740" i="1"/>
  <c r="M2580" i="1"/>
  <c r="M2469" i="1"/>
  <c r="O2629" i="1"/>
  <c r="O2748" i="1"/>
  <c r="S2748" i="1" s="1"/>
  <c r="M657" i="1"/>
  <c r="R657" i="1" s="1"/>
  <c r="M664" i="1"/>
  <c r="R664" i="1" s="1"/>
  <c r="M658" i="1"/>
  <c r="R658" i="1" s="1"/>
  <c r="E99" i="231"/>
  <c r="F99" i="231" s="1"/>
  <c r="G99" i="231" s="1"/>
  <c r="R725" i="1"/>
  <c r="M654" i="1"/>
  <c r="F400" i="192"/>
  <c r="M482" i="189"/>
  <c r="M481" i="189"/>
  <c r="M480" i="189"/>
  <c r="M479" i="189"/>
  <c r="M478" i="189"/>
  <c r="M477" i="189"/>
  <c r="M476" i="189"/>
  <c r="M475" i="189"/>
  <c r="M474" i="189"/>
  <c r="M473" i="189"/>
  <c r="M472" i="189"/>
  <c r="M471" i="189"/>
  <c r="M470" i="189"/>
  <c r="M469" i="189"/>
  <c r="M468" i="189"/>
  <c r="M467" i="189"/>
  <c r="M466" i="189"/>
  <c r="M465" i="189"/>
  <c r="M464" i="189"/>
  <c r="M463" i="189"/>
  <c r="M462" i="189"/>
  <c r="M461" i="189"/>
  <c r="M460" i="189"/>
  <c r="M459" i="189"/>
  <c r="M458" i="189"/>
  <c r="M457" i="189"/>
  <c r="M456" i="189"/>
  <c r="M455" i="189"/>
  <c r="M454" i="189"/>
  <c r="M453" i="189"/>
  <c r="M452" i="189"/>
  <c r="M451" i="189"/>
  <c r="M450" i="189"/>
  <c r="M449" i="189"/>
  <c r="M448" i="189"/>
  <c r="M447" i="189"/>
  <c r="M446" i="189"/>
  <c r="M445" i="189"/>
  <c r="M444" i="189"/>
  <c r="M443" i="189"/>
  <c r="M442" i="189"/>
  <c r="M441" i="189"/>
  <c r="M440" i="189"/>
  <c r="M439" i="189"/>
  <c r="M438" i="189"/>
  <c r="M437" i="189"/>
  <c r="M436" i="189"/>
  <c r="M435" i="189"/>
  <c r="M434" i="189"/>
  <c r="M433" i="189"/>
  <c r="M432" i="189"/>
  <c r="M431" i="189"/>
  <c r="M430" i="189"/>
  <c r="M429" i="189"/>
  <c r="M428" i="189"/>
  <c r="M427" i="189"/>
  <c r="M426" i="189"/>
  <c r="M425" i="189"/>
  <c r="M424" i="189"/>
  <c r="M423" i="189"/>
  <c r="M422" i="189"/>
  <c r="M421" i="189"/>
  <c r="M420" i="189"/>
  <c r="M419" i="189"/>
  <c r="M418" i="189"/>
  <c r="M417" i="189"/>
  <c r="M416" i="189"/>
  <c r="M415" i="189"/>
  <c r="M414" i="189"/>
  <c r="M413" i="189"/>
  <c r="M412" i="189"/>
  <c r="M411" i="189"/>
  <c r="M410" i="189"/>
  <c r="M409" i="189"/>
  <c r="M408" i="189"/>
  <c r="M407" i="189"/>
  <c r="M406" i="189"/>
  <c r="M405" i="189"/>
  <c r="M404" i="189"/>
  <c r="M403" i="189"/>
  <c r="M402" i="189"/>
  <c r="M401" i="189"/>
  <c r="M400" i="189"/>
  <c r="M399" i="189"/>
  <c r="M398" i="189"/>
  <c r="M397" i="189"/>
  <c r="M396" i="189"/>
  <c r="M395" i="189"/>
  <c r="M394" i="189"/>
  <c r="M393" i="189"/>
  <c r="M392" i="189"/>
  <c r="M391" i="189"/>
  <c r="M390" i="189"/>
  <c r="M389" i="189"/>
  <c r="M388" i="189"/>
  <c r="M387" i="189"/>
  <c r="M386" i="189"/>
  <c r="M385" i="189"/>
  <c r="M384" i="189"/>
  <c r="M383" i="189"/>
  <c r="M382" i="189"/>
  <c r="M381" i="189"/>
  <c r="M380" i="189"/>
  <c r="M379" i="189"/>
  <c r="M378" i="189"/>
  <c r="M377" i="189"/>
  <c r="M376" i="189"/>
  <c r="M375" i="189"/>
  <c r="M374" i="189"/>
  <c r="M373" i="189"/>
  <c r="M372" i="189"/>
  <c r="M371" i="189"/>
  <c r="M370" i="189"/>
  <c r="M369" i="189"/>
  <c r="M368" i="189"/>
  <c r="M367" i="189"/>
  <c r="M366" i="189"/>
  <c r="M365" i="189"/>
  <c r="M364" i="189"/>
  <c r="M363" i="189"/>
  <c r="M362" i="189"/>
  <c r="M361" i="189"/>
  <c r="M360" i="189"/>
  <c r="M359" i="189"/>
  <c r="M358" i="189"/>
  <c r="M357" i="189"/>
  <c r="M356" i="189"/>
  <c r="M355" i="189"/>
  <c r="M354" i="189"/>
  <c r="M353" i="189"/>
  <c r="M352" i="189"/>
  <c r="M351" i="189"/>
  <c r="M350" i="189"/>
  <c r="M349" i="189"/>
  <c r="M348" i="189"/>
  <c r="M347" i="189"/>
  <c r="M346" i="189"/>
  <c r="M345" i="189"/>
  <c r="M344" i="189"/>
  <c r="M343" i="189"/>
  <c r="M342" i="189"/>
  <c r="M341" i="189"/>
  <c r="M340" i="189"/>
  <c r="M339" i="189"/>
  <c r="M338" i="189"/>
  <c r="M337" i="189"/>
  <c r="M336" i="189"/>
  <c r="M335" i="189"/>
  <c r="M334" i="189"/>
  <c r="M333" i="189"/>
  <c r="M332" i="189"/>
  <c r="M331" i="189"/>
  <c r="M330" i="189"/>
  <c r="M329" i="189"/>
  <c r="M328" i="189"/>
  <c r="M327" i="189"/>
  <c r="M326" i="189"/>
  <c r="M325" i="189"/>
  <c r="M324" i="189"/>
  <c r="M323" i="189"/>
  <c r="M322" i="189"/>
  <c r="M321" i="189"/>
  <c r="M320" i="189"/>
  <c r="M319" i="189"/>
  <c r="M318" i="189"/>
  <c r="M317" i="189"/>
  <c r="M316" i="189"/>
  <c r="M315" i="189"/>
  <c r="M314" i="189"/>
  <c r="M313" i="189"/>
  <c r="M312" i="189"/>
  <c r="M311" i="189"/>
  <c r="M310" i="189"/>
  <c r="M309" i="189"/>
  <c r="M308" i="189"/>
  <c r="M307" i="189"/>
  <c r="M306" i="189"/>
  <c r="M305" i="189"/>
  <c r="M304" i="189"/>
  <c r="M303" i="189"/>
  <c r="M302" i="189"/>
  <c r="M301" i="189"/>
  <c r="M300" i="189"/>
  <c r="M299" i="189"/>
  <c r="M298" i="189"/>
  <c r="M297" i="189"/>
  <c r="M296" i="189"/>
  <c r="M295" i="189"/>
  <c r="M294" i="189"/>
  <c r="M293" i="189"/>
  <c r="M292" i="189"/>
  <c r="M291" i="189"/>
  <c r="M290" i="189"/>
  <c r="M289" i="189"/>
  <c r="M288" i="189"/>
  <c r="M287" i="189"/>
  <c r="M286" i="189"/>
  <c r="M285" i="189"/>
  <c r="M284" i="189"/>
  <c r="M283" i="189"/>
  <c r="M282" i="189"/>
  <c r="M281" i="189"/>
  <c r="M280" i="189"/>
  <c r="M279" i="189"/>
  <c r="M278" i="189"/>
  <c r="M277" i="189"/>
  <c r="M276" i="189"/>
  <c r="M275" i="189"/>
  <c r="M274" i="189"/>
  <c r="M273" i="189"/>
  <c r="M272" i="189"/>
  <c r="M271" i="189"/>
  <c r="M270" i="189"/>
  <c r="M269" i="189"/>
  <c r="M268" i="189"/>
  <c r="M267" i="189"/>
  <c r="M266" i="189"/>
  <c r="M265" i="189"/>
  <c r="M264" i="189"/>
  <c r="M263" i="189"/>
  <c r="M262" i="189"/>
  <c r="M261" i="189"/>
  <c r="M260" i="189"/>
  <c r="M259" i="189"/>
  <c r="M258" i="189"/>
  <c r="M257" i="189"/>
  <c r="M256" i="189"/>
  <c r="M255" i="189"/>
  <c r="M254" i="189"/>
  <c r="M253" i="189"/>
  <c r="M252" i="189"/>
  <c r="M251" i="189"/>
  <c r="M250" i="189"/>
  <c r="M249" i="189"/>
  <c r="M248" i="189"/>
  <c r="M247" i="189"/>
  <c r="M246" i="189"/>
  <c r="M245" i="189"/>
  <c r="M244" i="189"/>
  <c r="M243" i="189"/>
  <c r="M242" i="189"/>
  <c r="M241" i="189"/>
  <c r="M240" i="189"/>
  <c r="M239" i="189"/>
  <c r="M238" i="189"/>
  <c r="M237" i="189"/>
  <c r="M236" i="189"/>
  <c r="M235" i="189"/>
  <c r="M234" i="189"/>
  <c r="M233" i="189"/>
  <c r="M232" i="189"/>
  <c r="M231" i="189"/>
  <c r="M230" i="189"/>
  <c r="M229" i="189"/>
  <c r="M228" i="189"/>
  <c r="M227" i="189"/>
  <c r="M226" i="189"/>
  <c r="M225" i="189"/>
  <c r="M224" i="189"/>
  <c r="M223" i="189"/>
  <c r="M222" i="189"/>
  <c r="M221" i="189"/>
  <c r="M220" i="189"/>
  <c r="M219" i="189"/>
  <c r="M218" i="189"/>
  <c r="M217" i="189"/>
  <c r="M216" i="189"/>
  <c r="M215" i="189"/>
  <c r="M214" i="189"/>
  <c r="M213" i="189"/>
  <c r="M212" i="189"/>
  <c r="M211" i="189"/>
  <c r="M210" i="189"/>
  <c r="M209" i="189"/>
  <c r="M208" i="189"/>
  <c r="M207" i="189"/>
  <c r="M206" i="189"/>
  <c r="M205" i="189"/>
  <c r="M204" i="189"/>
  <c r="M203" i="189"/>
  <c r="M202" i="189"/>
  <c r="M201" i="189"/>
  <c r="M200" i="189"/>
  <c r="M199" i="189"/>
  <c r="M198" i="189"/>
  <c r="M197" i="189"/>
  <c r="M196" i="189"/>
  <c r="M195" i="189"/>
  <c r="M194" i="189"/>
  <c r="M193" i="189"/>
  <c r="M192" i="189"/>
  <c r="M191" i="189"/>
  <c r="M190" i="189"/>
  <c r="M189" i="189"/>
  <c r="M188" i="189"/>
  <c r="M187" i="189"/>
  <c r="M186" i="189"/>
  <c r="M185" i="189"/>
  <c r="M184" i="189"/>
  <c r="M183" i="189"/>
  <c r="M182" i="189"/>
  <c r="M181" i="189"/>
  <c r="M180" i="189"/>
  <c r="M179" i="189"/>
  <c r="M178" i="189"/>
  <c r="M177" i="189"/>
  <c r="M176" i="189"/>
  <c r="M175" i="189"/>
  <c r="M174" i="189"/>
  <c r="M173" i="189"/>
  <c r="M172" i="189"/>
  <c r="M171" i="189"/>
  <c r="M170" i="189"/>
  <c r="M169" i="189"/>
  <c r="M168" i="189"/>
  <c r="M167" i="189"/>
  <c r="M166" i="189"/>
  <c r="M165" i="189"/>
  <c r="M164" i="189"/>
  <c r="M163" i="189"/>
  <c r="M162" i="189"/>
  <c r="M161" i="189"/>
  <c r="M160" i="189"/>
  <c r="M159" i="189"/>
  <c r="M158" i="189"/>
  <c r="M157" i="189"/>
  <c r="M156" i="189"/>
  <c r="M155" i="189"/>
  <c r="M154" i="189"/>
  <c r="M153" i="189"/>
  <c r="M152" i="189"/>
  <c r="M151" i="189"/>
  <c r="M150" i="189"/>
  <c r="M149" i="189"/>
  <c r="M148" i="189"/>
  <c r="M147" i="189"/>
  <c r="M146" i="189"/>
  <c r="M145" i="189"/>
  <c r="M144" i="189"/>
  <c r="M143" i="189"/>
  <c r="M142" i="189"/>
  <c r="M141" i="189"/>
  <c r="M140" i="189"/>
  <c r="M139" i="189"/>
  <c r="M138" i="189"/>
  <c r="M137" i="189"/>
  <c r="M136" i="189"/>
  <c r="M135" i="189"/>
  <c r="M134" i="189"/>
  <c r="M133" i="189"/>
  <c r="M132" i="189"/>
  <c r="M131" i="189"/>
  <c r="M130" i="189"/>
  <c r="M129" i="189"/>
  <c r="M128" i="189"/>
  <c r="M127" i="189"/>
  <c r="M126" i="189"/>
  <c r="M125" i="189"/>
  <c r="M124" i="189"/>
  <c r="M123" i="189"/>
  <c r="M122" i="189"/>
  <c r="M121" i="189"/>
  <c r="M120" i="189"/>
  <c r="M119" i="189"/>
  <c r="M118" i="189"/>
  <c r="M117" i="189"/>
  <c r="M116" i="189"/>
  <c r="M115" i="189"/>
  <c r="M114" i="189"/>
  <c r="M113" i="189"/>
  <c r="M112" i="189"/>
  <c r="M111" i="189"/>
  <c r="M110" i="189"/>
  <c r="M109" i="189"/>
  <c r="M108" i="189"/>
  <c r="M107" i="189"/>
  <c r="M106" i="189"/>
  <c r="M105" i="189"/>
  <c r="M104" i="189"/>
  <c r="M103" i="189"/>
  <c r="M102" i="189"/>
  <c r="M101" i="189"/>
  <c r="M100" i="189"/>
  <c r="M99" i="189"/>
  <c r="M98" i="189"/>
  <c r="M97" i="189"/>
  <c r="M96" i="189"/>
  <c r="M95" i="189"/>
  <c r="M94" i="189"/>
  <c r="M93" i="189"/>
  <c r="M92" i="189"/>
  <c r="M91" i="189"/>
  <c r="M90" i="189"/>
  <c r="M89" i="189"/>
  <c r="M88" i="189"/>
  <c r="M87" i="189"/>
  <c r="M86" i="189"/>
  <c r="M85" i="189"/>
  <c r="M84" i="189"/>
  <c r="M83" i="189"/>
  <c r="M82" i="189"/>
  <c r="M81" i="189"/>
  <c r="M80" i="189"/>
  <c r="M79" i="189"/>
  <c r="M78" i="189"/>
  <c r="M77" i="189"/>
  <c r="M76" i="189"/>
  <c r="M75" i="189"/>
  <c r="M74" i="189"/>
  <c r="M73" i="189"/>
  <c r="M72" i="189"/>
  <c r="M71" i="189"/>
  <c r="M70" i="189"/>
  <c r="M69" i="189"/>
  <c r="M68" i="189"/>
  <c r="M67" i="189"/>
  <c r="M66" i="189"/>
  <c r="M65" i="189"/>
  <c r="M64" i="189"/>
  <c r="M63" i="189"/>
  <c r="M62" i="189"/>
  <c r="M61" i="189"/>
  <c r="M60" i="189"/>
  <c r="M59" i="189"/>
  <c r="M58" i="189"/>
  <c r="M57" i="189"/>
  <c r="M56" i="189"/>
  <c r="M55" i="189"/>
  <c r="M54" i="189"/>
  <c r="M53" i="189"/>
  <c r="M52" i="189"/>
  <c r="M51" i="189"/>
  <c r="M50" i="189"/>
  <c r="M49" i="189"/>
  <c r="M48" i="189"/>
  <c r="M47" i="189"/>
  <c r="M46" i="189"/>
  <c r="M45" i="189"/>
  <c r="M44" i="189"/>
  <c r="M43" i="189"/>
  <c r="M42" i="189"/>
  <c r="M41" i="189"/>
  <c r="M40" i="189"/>
  <c r="M39" i="189"/>
  <c r="M38" i="189"/>
  <c r="M37" i="189"/>
  <c r="M36" i="189"/>
  <c r="M35" i="189"/>
  <c r="M34" i="189"/>
  <c r="M33" i="189"/>
  <c r="M32" i="189"/>
  <c r="M31" i="189"/>
  <c r="M30" i="189"/>
  <c r="M29" i="189"/>
  <c r="M28" i="189"/>
  <c r="M27" i="189"/>
  <c r="M26" i="189"/>
  <c r="M25" i="189"/>
  <c r="M24" i="189"/>
  <c r="M23" i="189"/>
  <c r="M22" i="189"/>
  <c r="M21" i="189"/>
  <c r="M20" i="189"/>
  <c r="M19" i="189"/>
  <c r="M16" i="189"/>
  <c r="L482" i="189"/>
  <c r="L481" i="189"/>
  <c r="L480" i="189"/>
  <c r="L479" i="189"/>
  <c r="L478" i="189"/>
  <c r="L477" i="189"/>
  <c r="L476" i="189"/>
  <c r="L475" i="189"/>
  <c r="L474" i="189"/>
  <c r="L473" i="189"/>
  <c r="L472" i="189"/>
  <c r="L471" i="189"/>
  <c r="L470" i="189"/>
  <c r="L469" i="189"/>
  <c r="L468" i="189"/>
  <c r="L467" i="189"/>
  <c r="L466" i="189"/>
  <c r="L465" i="189"/>
  <c r="L464" i="189"/>
  <c r="L463" i="189"/>
  <c r="L462" i="189"/>
  <c r="L461" i="189"/>
  <c r="L460" i="189"/>
  <c r="L459" i="189"/>
  <c r="L458" i="189"/>
  <c r="L457" i="189"/>
  <c r="L456" i="189"/>
  <c r="L455" i="189"/>
  <c r="L454" i="189"/>
  <c r="L453" i="189"/>
  <c r="L452" i="189"/>
  <c r="L451" i="189"/>
  <c r="L450" i="189"/>
  <c r="L449" i="189"/>
  <c r="L448" i="189"/>
  <c r="L447" i="189"/>
  <c r="L446" i="189"/>
  <c r="L445" i="189"/>
  <c r="L444" i="189"/>
  <c r="L443" i="189"/>
  <c r="L442" i="189"/>
  <c r="L441" i="189"/>
  <c r="L440" i="189"/>
  <c r="L439" i="189"/>
  <c r="L438" i="189"/>
  <c r="L437" i="189"/>
  <c r="L436" i="189"/>
  <c r="L435" i="189"/>
  <c r="L434" i="189"/>
  <c r="L433" i="189"/>
  <c r="L432" i="189"/>
  <c r="L431" i="189"/>
  <c r="L430" i="189"/>
  <c r="L429" i="189"/>
  <c r="L428" i="189"/>
  <c r="L427" i="189"/>
  <c r="L426" i="189"/>
  <c r="L425" i="189"/>
  <c r="L424" i="189"/>
  <c r="L423" i="189"/>
  <c r="L422" i="189"/>
  <c r="L421" i="189"/>
  <c r="L420" i="189"/>
  <c r="L419" i="189"/>
  <c r="L418" i="189"/>
  <c r="L417" i="189"/>
  <c r="L416" i="189"/>
  <c r="L415" i="189"/>
  <c r="L414" i="189"/>
  <c r="L413" i="189"/>
  <c r="L412" i="189"/>
  <c r="L411" i="189"/>
  <c r="L410" i="189"/>
  <c r="L409" i="189"/>
  <c r="L408" i="189"/>
  <c r="L407" i="189"/>
  <c r="L406" i="189"/>
  <c r="L405" i="189"/>
  <c r="L404" i="189"/>
  <c r="L403" i="189"/>
  <c r="L402" i="189"/>
  <c r="L401" i="189"/>
  <c r="L400" i="189"/>
  <c r="L399" i="189"/>
  <c r="L398" i="189"/>
  <c r="L397" i="189"/>
  <c r="L396" i="189"/>
  <c r="L395" i="189"/>
  <c r="L394" i="189"/>
  <c r="L393" i="189"/>
  <c r="L392" i="189"/>
  <c r="L391" i="189"/>
  <c r="L390" i="189"/>
  <c r="L389" i="189"/>
  <c r="L388" i="189"/>
  <c r="L387" i="189"/>
  <c r="L386" i="189"/>
  <c r="L385" i="189"/>
  <c r="L384" i="189"/>
  <c r="L383" i="189"/>
  <c r="L382" i="189"/>
  <c r="L381" i="189"/>
  <c r="L380" i="189"/>
  <c r="L379" i="189"/>
  <c r="L378" i="189"/>
  <c r="L377" i="189"/>
  <c r="L376" i="189"/>
  <c r="L375" i="189"/>
  <c r="L374" i="189"/>
  <c r="L373" i="189"/>
  <c r="L372" i="189"/>
  <c r="L371" i="189"/>
  <c r="L370" i="189"/>
  <c r="L369" i="189"/>
  <c r="L368" i="189"/>
  <c r="L367" i="189"/>
  <c r="L366" i="189"/>
  <c r="L365" i="189"/>
  <c r="L364" i="189"/>
  <c r="L363" i="189"/>
  <c r="L362" i="189"/>
  <c r="L361" i="189"/>
  <c r="L360" i="189"/>
  <c r="L359" i="189"/>
  <c r="L358" i="189"/>
  <c r="L357" i="189"/>
  <c r="L356" i="189"/>
  <c r="L355" i="189"/>
  <c r="L354" i="189"/>
  <c r="L353" i="189"/>
  <c r="L352" i="189"/>
  <c r="L351" i="189"/>
  <c r="L350" i="189"/>
  <c r="L349" i="189"/>
  <c r="L348" i="189"/>
  <c r="L347" i="189"/>
  <c r="L346" i="189"/>
  <c r="L345" i="189"/>
  <c r="L344" i="189"/>
  <c r="L343" i="189"/>
  <c r="L342" i="189"/>
  <c r="L341" i="189"/>
  <c r="L340" i="189"/>
  <c r="L339" i="189"/>
  <c r="L338" i="189"/>
  <c r="L337" i="189"/>
  <c r="L336" i="189"/>
  <c r="L335" i="189"/>
  <c r="L334" i="189"/>
  <c r="L333" i="189"/>
  <c r="L332" i="189"/>
  <c r="L331" i="189"/>
  <c r="L330" i="189"/>
  <c r="L329" i="189"/>
  <c r="L328" i="189"/>
  <c r="L327" i="189"/>
  <c r="L326" i="189"/>
  <c r="L325" i="189"/>
  <c r="L324" i="189"/>
  <c r="L323" i="189"/>
  <c r="L322" i="189"/>
  <c r="L321" i="189"/>
  <c r="L320" i="189"/>
  <c r="L319" i="189"/>
  <c r="L318" i="189"/>
  <c r="L317" i="189"/>
  <c r="L316" i="189"/>
  <c r="L315" i="189"/>
  <c r="L314" i="189"/>
  <c r="L313" i="189"/>
  <c r="L312" i="189"/>
  <c r="L311" i="189"/>
  <c r="L310" i="189"/>
  <c r="L309" i="189"/>
  <c r="L308" i="189"/>
  <c r="L307" i="189"/>
  <c r="L306" i="189"/>
  <c r="L305" i="189"/>
  <c r="L304" i="189"/>
  <c r="L303" i="189"/>
  <c r="L302" i="189"/>
  <c r="L301" i="189"/>
  <c r="L300" i="189"/>
  <c r="L299" i="189"/>
  <c r="L298" i="189"/>
  <c r="L297" i="189"/>
  <c r="L296" i="189"/>
  <c r="L295" i="189"/>
  <c r="L294" i="189"/>
  <c r="L293" i="189"/>
  <c r="L292" i="189"/>
  <c r="L291" i="189"/>
  <c r="L290" i="189"/>
  <c r="L289" i="189"/>
  <c r="L288" i="189"/>
  <c r="L287" i="189"/>
  <c r="L286" i="189"/>
  <c r="L285" i="189"/>
  <c r="L284" i="189"/>
  <c r="L283" i="189"/>
  <c r="L282" i="189"/>
  <c r="L281" i="189"/>
  <c r="L280" i="189"/>
  <c r="L279" i="189"/>
  <c r="L278" i="189"/>
  <c r="L277" i="189"/>
  <c r="L276" i="189"/>
  <c r="L275" i="189"/>
  <c r="L274" i="189"/>
  <c r="L273" i="189"/>
  <c r="L272" i="189"/>
  <c r="L271" i="189"/>
  <c r="L270" i="189"/>
  <c r="L269" i="189"/>
  <c r="L268" i="189"/>
  <c r="L267" i="189"/>
  <c r="L266" i="189"/>
  <c r="L265" i="189"/>
  <c r="L264" i="189"/>
  <c r="L263" i="189"/>
  <c r="L262" i="189"/>
  <c r="L261" i="189"/>
  <c r="L260" i="189"/>
  <c r="L259" i="189"/>
  <c r="L258" i="189"/>
  <c r="L257" i="189"/>
  <c r="L256" i="189"/>
  <c r="L255" i="189"/>
  <c r="L254" i="189"/>
  <c r="L253" i="189"/>
  <c r="L252" i="189"/>
  <c r="L251" i="189"/>
  <c r="L250" i="189"/>
  <c r="L249" i="189"/>
  <c r="L248" i="189"/>
  <c r="L247" i="189"/>
  <c r="L246" i="189"/>
  <c r="L245" i="189"/>
  <c r="L244" i="189"/>
  <c r="L243" i="189"/>
  <c r="L242" i="189"/>
  <c r="L241" i="189"/>
  <c r="L240" i="189"/>
  <c r="L239" i="189"/>
  <c r="L238" i="189"/>
  <c r="L237" i="189"/>
  <c r="L236" i="189"/>
  <c r="L235" i="189"/>
  <c r="L234" i="189"/>
  <c r="L233" i="189"/>
  <c r="L232" i="189"/>
  <c r="L231" i="189"/>
  <c r="L230" i="189"/>
  <c r="L229" i="189"/>
  <c r="L228" i="189"/>
  <c r="L227" i="189"/>
  <c r="L226" i="189"/>
  <c r="L225" i="189"/>
  <c r="L224" i="189"/>
  <c r="L223" i="189"/>
  <c r="L222" i="189"/>
  <c r="L221" i="189"/>
  <c r="L220" i="189"/>
  <c r="L219" i="189"/>
  <c r="L218" i="189"/>
  <c r="L217" i="189"/>
  <c r="L216" i="189"/>
  <c r="L215" i="189"/>
  <c r="L214" i="189"/>
  <c r="L213" i="189"/>
  <c r="L212" i="189"/>
  <c r="L211" i="189"/>
  <c r="L210" i="189"/>
  <c r="L209" i="189"/>
  <c r="L208" i="189"/>
  <c r="L207" i="189"/>
  <c r="L206" i="189"/>
  <c r="L205" i="189"/>
  <c r="L204" i="189"/>
  <c r="L203" i="189"/>
  <c r="L202" i="189"/>
  <c r="L201" i="189"/>
  <c r="L200" i="189"/>
  <c r="L199" i="189"/>
  <c r="L198" i="189"/>
  <c r="L197" i="189"/>
  <c r="L196" i="189"/>
  <c r="L195" i="189"/>
  <c r="L194" i="189"/>
  <c r="L193" i="189"/>
  <c r="L192" i="189"/>
  <c r="L191" i="189"/>
  <c r="L190" i="189"/>
  <c r="L189" i="189"/>
  <c r="L188" i="189"/>
  <c r="L187" i="189"/>
  <c r="L186" i="189"/>
  <c r="L185" i="189"/>
  <c r="L184" i="189"/>
  <c r="L183" i="189"/>
  <c r="L182" i="189"/>
  <c r="L181" i="189"/>
  <c r="L180" i="189"/>
  <c r="L179" i="189"/>
  <c r="L178" i="189"/>
  <c r="L177" i="189"/>
  <c r="L176" i="189"/>
  <c r="L175" i="189"/>
  <c r="L174" i="189"/>
  <c r="L173" i="189"/>
  <c r="L172" i="189"/>
  <c r="L171" i="189"/>
  <c r="L170" i="189"/>
  <c r="L169" i="189"/>
  <c r="L168" i="189"/>
  <c r="L167" i="189"/>
  <c r="L166" i="189"/>
  <c r="L165" i="189"/>
  <c r="L164" i="189"/>
  <c r="L163" i="189"/>
  <c r="L162" i="189"/>
  <c r="L161" i="189"/>
  <c r="L160" i="189"/>
  <c r="L159" i="189"/>
  <c r="L158" i="189"/>
  <c r="L157" i="189"/>
  <c r="L156" i="189"/>
  <c r="L155" i="189"/>
  <c r="L154" i="189"/>
  <c r="L153" i="189"/>
  <c r="L152" i="189"/>
  <c r="L151" i="189"/>
  <c r="L150" i="189"/>
  <c r="L149" i="189"/>
  <c r="L148" i="189"/>
  <c r="L147" i="189"/>
  <c r="L146" i="189"/>
  <c r="L145" i="189"/>
  <c r="L144" i="189"/>
  <c r="L143" i="189"/>
  <c r="L142" i="189"/>
  <c r="L141" i="189"/>
  <c r="L140" i="189"/>
  <c r="L139" i="189"/>
  <c r="L138" i="189"/>
  <c r="L137" i="189"/>
  <c r="L136" i="189"/>
  <c r="L135" i="189"/>
  <c r="L134" i="189"/>
  <c r="L133" i="189"/>
  <c r="L132" i="189"/>
  <c r="L131" i="189"/>
  <c r="L130" i="189"/>
  <c r="L129" i="189"/>
  <c r="L128" i="189"/>
  <c r="L127" i="189"/>
  <c r="L126" i="189"/>
  <c r="L125" i="189"/>
  <c r="L124" i="189"/>
  <c r="L123" i="189"/>
  <c r="L122" i="189"/>
  <c r="L121" i="189"/>
  <c r="L120" i="189"/>
  <c r="L119" i="189"/>
  <c r="L118" i="189"/>
  <c r="L117" i="189"/>
  <c r="L116" i="189"/>
  <c r="L115" i="189"/>
  <c r="L114" i="189"/>
  <c r="L113" i="189"/>
  <c r="L112" i="189"/>
  <c r="L111" i="189"/>
  <c r="L110" i="189"/>
  <c r="L109" i="189"/>
  <c r="L108" i="189"/>
  <c r="L107" i="189"/>
  <c r="L106" i="189"/>
  <c r="L105" i="189"/>
  <c r="L104" i="189"/>
  <c r="L103" i="189"/>
  <c r="L102" i="189"/>
  <c r="L101" i="189"/>
  <c r="L100" i="189"/>
  <c r="L99" i="189"/>
  <c r="L98" i="189"/>
  <c r="L97" i="189"/>
  <c r="L96" i="189"/>
  <c r="L95" i="189"/>
  <c r="L94" i="189"/>
  <c r="L93" i="189"/>
  <c r="L92" i="189"/>
  <c r="L91" i="189"/>
  <c r="L90" i="189"/>
  <c r="L89" i="189"/>
  <c r="L88" i="189"/>
  <c r="L87" i="189"/>
  <c r="L86" i="189"/>
  <c r="L85" i="189"/>
  <c r="L84" i="189"/>
  <c r="L83" i="189"/>
  <c r="L82" i="189"/>
  <c r="L81" i="189"/>
  <c r="L80" i="189"/>
  <c r="L79" i="189"/>
  <c r="L78" i="189"/>
  <c r="L77" i="189"/>
  <c r="L76" i="189"/>
  <c r="L75" i="189"/>
  <c r="L74" i="189"/>
  <c r="L73" i="189"/>
  <c r="L72" i="189"/>
  <c r="L71" i="189"/>
  <c r="L70" i="189"/>
  <c r="L69" i="189"/>
  <c r="L68" i="189"/>
  <c r="L67" i="189"/>
  <c r="L66" i="189"/>
  <c r="L65" i="189"/>
  <c r="L64" i="189"/>
  <c r="L63" i="189"/>
  <c r="L62" i="189"/>
  <c r="L61" i="189"/>
  <c r="L60" i="189"/>
  <c r="L59" i="189"/>
  <c r="L58" i="189"/>
  <c r="L57" i="189"/>
  <c r="L56" i="189"/>
  <c r="L55" i="189"/>
  <c r="L54" i="189"/>
  <c r="L53" i="189"/>
  <c r="L52" i="189"/>
  <c r="L51" i="189"/>
  <c r="L50" i="189"/>
  <c r="L49" i="189"/>
  <c r="L48" i="189"/>
  <c r="L47" i="189"/>
  <c r="L46" i="189"/>
  <c r="L45" i="189"/>
  <c r="L44" i="189"/>
  <c r="L43" i="189"/>
  <c r="L42" i="189"/>
  <c r="L41" i="189"/>
  <c r="L40" i="189"/>
  <c r="L39" i="189"/>
  <c r="L38" i="189"/>
  <c r="L37" i="189"/>
  <c r="L36" i="189"/>
  <c r="L35" i="189"/>
  <c r="L34" i="189"/>
  <c r="L33" i="189"/>
  <c r="L32" i="189"/>
  <c r="L31" i="189"/>
  <c r="L30" i="189"/>
  <c r="L29" i="189"/>
  <c r="L28" i="189"/>
  <c r="L27" i="189"/>
  <c r="L26" i="189"/>
  <c r="L25" i="189"/>
  <c r="L23" i="189"/>
  <c r="L21" i="189"/>
  <c r="L20" i="189"/>
  <c r="L17" i="189"/>
  <c r="A400" i="190"/>
  <c r="M397" i="190"/>
  <c r="G397" i="190" s="1"/>
  <c r="I397" i="190" s="1"/>
  <c r="K397" i="190"/>
  <c r="M396" i="190"/>
  <c r="G396" i="190" s="1"/>
  <c r="K396" i="190"/>
  <c r="M395" i="190"/>
  <c r="K395" i="190"/>
  <c r="F395" i="190" s="1"/>
  <c r="M394" i="190"/>
  <c r="G394" i="190" s="1"/>
  <c r="I394" i="190" s="1"/>
  <c r="K394" i="190"/>
  <c r="M393" i="190"/>
  <c r="G393" i="190" s="1"/>
  <c r="K393" i="190"/>
  <c r="F393" i="190" s="1"/>
  <c r="M392" i="190"/>
  <c r="G392" i="190" s="1"/>
  <c r="K392" i="190"/>
  <c r="F392" i="190" s="1"/>
  <c r="M391" i="190"/>
  <c r="G391" i="190" s="1"/>
  <c r="K391" i="190"/>
  <c r="F391" i="190" s="1"/>
  <c r="M390" i="190"/>
  <c r="G390" i="190" s="1"/>
  <c r="I390" i="190" s="1"/>
  <c r="G390" i="5" s="1"/>
  <c r="K390" i="190"/>
  <c r="M389" i="190"/>
  <c r="G389" i="190" s="1"/>
  <c r="I389" i="190" s="1"/>
  <c r="G389" i="5" s="1"/>
  <c r="K389" i="190"/>
  <c r="M388" i="190"/>
  <c r="G388" i="190" s="1"/>
  <c r="K388" i="190"/>
  <c r="M387" i="190"/>
  <c r="G387" i="190" s="1"/>
  <c r="K387" i="190"/>
  <c r="M386" i="190"/>
  <c r="G386" i="190" s="1"/>
  <c r="I386" i="190" s="1"/>
  <c r="K386" i="190"/>
  <c r="M385" i="190"/>
  <c r="G385" i="190" s="1"/>
  <c r="I385" i="190" s="1"/>
  <c r="K385" i="190"/>
  <c r="M384" i="190"/>
  <c r="G384" i="190" s="1"/>
  <c r="K384" i="190"/>
  <c r="M383" i="190"/>
  <c r="G383" i="190" s="1"/>
  <c r="K383" i="190"/>
  <c r="M382" i="190"/>
  <c r="G382" i="190" s="1"/>
  <c r="K382" i="190"/>
  <c r="F382" i="190" s="1"/>
  <c r="M381" i="190"/>
  <c r="G381" i="190" s="1"/>
  <c r="K381" i="190"/>
  <c r="F381" i="190" s="1"/>
  <c r="M380" i="190"/>
  <c r="G380" i="190" s="1"/>
  <c r="K380" i="190"/>
  <c r="F380" i="190" s="1"/>
  <c r="M379" i="190"/>
  <c r="G379" i="190" s="1"/>
  <c r="K379" i="190"/>
  <c r="F379" i="190" s="1"/>
  <c r="M378" i="190"/>
  <c r="G378" i="190" s="1"/>
  <c r="K378" i="190"/>
  <c r="F378" i="190" s="1"/>
  <c r="M377" i="190"/>
  <c r="G377" i="190" s="1"/>
  <c r="K377" i="190"/>
  <c r="M376" i="190"/>
  <c r="G376" i="190" s="1"/>
  <c r="I376" i="190" s="1"/>
  <c r="K376" i="190"/>
  <c r="M375" i="190"/>
  <c r="G375" i="190" s="1"/>
  <c r="K375" i="190"/>
  <c r="F375" i="190" s="1"/>
  <c r="M374" i="190"/>
  <c r="G374" i="190" s="1"/>
  <c r="K374" i="190"/>
  <c r="F374" i="190" s="1"/>
  <c r="M373" i="190"/>
  <c r="G373" i="190" s="1"/>
  <c r="K373" i="190"/>
  <c r="F373" i="190" s="1"/>
  <c r="M372" i="190"/>
  <c r="G372" i="190" s="1"/>
  <c r="I372" i="190" s="1"/>
  <c r="K372" i="190"/>
  <c r="M371" i="190"/>
  <c r="G371" i="190" s="1"/>
  <c r="K371" i="190"/>
  <c r="F371" i="190" s="1"/>
  <c r="M370" i="190"/>
  <c r="G370" i="190" s="1"/>
  <c r="K370" i="190"/>
  <c r="F370" i="190" s="1"/>
  <c r="M369" i="190"/>
  <c r="G369" i="190" s="1"/>
  <c r="K369" i="190"/>
  <c r="F369" i="190" s="1"/>
  <c r="M368" i="190"/>
  <c r="G368" i="190" s="1"/>
  <c r="K368" i="190"/>
  <c r="F368" i="190" s="1"/>
  <c r="M367" i="190"/>
  <c r="G367" i="190" s="1"/>
  <c r="K367" i="190"/>
  <c r="F367" i="190" s="1"/>
  <c r="M366" i="190"/>
  <c r="K366" i="190"/>
  <c r="F366" i="190" s="1"/>
  <c r="M365" i="190"/>
  <c r="G365" i="190" s="1"/>
  <c r="K365" i="190"/>
  <c r="F365" i="190" s="1"/>
  <c r="M364" i="190"/>
  <c r="G364" i="190" s="1"/>
  <c r="I364" i="190" s="1"/>
  <c r="K364" i="190"/>
  <c r="M363" i="190"/>
  <c r="G363" i="190" s="1"/>
  <c r="K363" i="190"/>
  <c r="F363" i="190" s="1"/>
  <c r="M362" i="190"/>
  <c r="G362" i="190" s="1"/>
  <c r="K362" i="190"/>
  <c r="F362" i="190" s="1"/>
  <c r="M361" i="190"/>
  <c r="K361" i="190"/>
  <c r="F361" i="190" s="1"/>
  <c r="M360" i="190"/>
  <c r="G360" i="190" s="1"/>
  <c r="K360" i="190"/>
  <c r="F360" i="190" s="1"/>
  <c r="M359" i="190"/>
  <c r="G359" i="190" s="1"/>
  <c r="K359" i="190"/>
  <c r="F359" i="190" s="1"/>
  <c r="M358" i="190"/>
  <c r="G358" i="190" s="1"/>
  <c r="K358" i="190"/>
  <c r="F358" i="190" s="1"/>
  <c r="M357" i="190"/>
  <c r="G357" i="190" s="1"/>
  <c r="I357" i="190" s="1"/>
  <c r="K357" i="190"/>
  <c r="M356" i="190"/>
  <c r="G356" i="190" s="1"/>
  <c r="K356" i="190"/>
  <c r="F356" i="190" s="1"/>
  <c r="M355" i="190"/>
  <c r="G355" i="190" s="1"/>
  <c r="K355" i="190"/>
  <c r="F355" i="190" s="1"/>
  <c r="M354" i="190"/>
  <c r="G354" i="190" s="1"/>
  <c r="K354" i="190"/>
  <c r="F354" i="190" s="1"/>
  <c r="M353" i="190"/>
  <c r="K353" i="190"/>
  <c r="F353" i="190" s="1"/>
  <c r="M352" i="190"/>
  <c r="G352" i="190" s="1"/>
  <c r="I352" i="190" s="1"/>
  <c r="K352" i="190"/>
  <c r="M347" i="190"/>
  <c r="G347" i="190" s="1"/>
  <c r="K347" i="190"/>
  <c r="F347" i="190" s="1"/>
  <c r="M346" i="190"/>
  <c r="G346" i="190" s="1"/>
  <c r="K346" i="190"/>
  <c r="F346" i="190" s="1"/>
  <c r="M345" i="190"/>
  <c r="G345" i="190" s="1"/>
  <c r="K345" i="190"/>
  <c r="F345" i="190" s="1"/>
  <c r="M344" i="190"/>
  <c r="G344" i="190" s="1"/>
  <c r="K344" i="190"/>
  <c r="F344" i="190" s="1"/>
  <c r="M343" i="190"/>
  <c r="G343" i="190" s="1"/>
  <c r="K343" i="190"/>
  <c r="F343" i="190" s="1"/>
  <c r="M341" i="190"/>
  <c r="G341" i="190" s="1"/>
  <c r="K341" i="190"/>
  <c r="F341" i="190" s="1"/>
  <c r="M340" i="190"/>
  <c r="G340" i="190" s="1"/>
  <c r="K340" i="190"/>
  <c r="F340" i="190" s="1"/>
  <c r="M338" i="190"/>
  <c r="G338" i="190" s="1"/>
  <c r="K338" i="190"/>
  <c r="F338" i="190" s="1"/>
  <c r="M336" i="190"/>
  <c r="G336" i="190" s="1"/>
  <c r="K336" i="190"/>
  <c r="M335" i="190"/>
  <c r="G335" i="190" s="1"/>
  <c r="K335" i="190"/>
  <c r="F335" i="190" s="1"/>
  <c r="M334" i="190"/>
  <c r="G334" i="190" s="1"/>
  <c r="K334" i="190"/>
  <c r="F334" i="190" s="1"/>
  <c r="M332" i="190"/>
  <c r="G332" i="190" s="1"/>
  <c r="K332" i="190"/>
  <c r="F332" i="190" s="1"/>
  <c r="M330" i="190"/>
  <c r="G330" i="190" s="1"/>
  <c r="K330" i="190"/>
  <c r="F330" i="190" s="1"/>
  <c r="M327" i="190"/>
  <c r="G327" i="190" s="1"/>
  <c r="K327" i="190"/>
  <c r="F327" i="190" s="1"/>
  <c r="M325" i="190"/>
  <c r="G325" i="190" s="1"/>
  <c r="I325" i="190" s="1"/>
  <c r="K325" i="190"/>
  <c r="M302" i="190"/>
  <c r="G302" i="190" s="1"/>
  <c r="K302" i="190"/>
  <c r="F302" i="190" s="1"/>
  <c r="M301" i="190"/>
  <c r="G301" i="190" s="1"/>
  <c r="K301" i="190"/>
  <c r="F301" i="190" s="1"/>
  <c r="M300" i="190"/>
  <c r="G300" i="190" s="1"/>
  <c r="K300" i="190"/>
  <c r="F300" i="190" s="1"/>
  <c r="M299" i="190"/>
  <c r="G299" i="190" s="1"/>
  <c r="K299" i="190"/>
  <c r="F299" i="190" s="1"/>
  <c r="M298" i="190"/>
  <c r="G298" i="190" s="1"/>
  <c r="K298" i="190"/>
  <c r="F298" i="190" s="1"/>
  <c r="M297" i="190"/>
  <c r="G297" i="190" s="1"/>
  <c r="K297" i="190"/>
  <c r="M296" i="190"/>
  <c r="G296" i="190" s="1"/>
  <c r="K296" i="190"/>
  <c r="F296" i="190" s="1"/>
  <c r="M295" i="190"/>
  <c r="G295" i="190" s="1"/>
  <c r="K295" i="190"/>
  <c r="F295" i="190" s="1"/>
  <c r="M294" i="190"/>
  <c r="G294" i="190" s="1"/>
  <c r="K294" i="190"/>
  <c r="F294" i="190" s="1"/>
  <c r="M293" i="190"/>
  <c r="G293" i="190" s="1"/>
  <c r="K293" i="190"/>
  <c r="F293" i="190" s="1"/>
  <c r="M292" i="190"/>
  <c r="G292" i="190" s="1"/>
  <c r="K292" i="190"/>
  <c r="F292" i="190" s="1"/>
  <c r="M291" i="190"/>
  <c r="G291" i="190" s="1"/>
  <c r="K291" i="190"/>
  <c r="M290" i="190"/>
  <c r="G290" i="190" s="1"/>
  <c r="I290" i="190" s="1"/>
  <c r="K290" i="190"/>
  <c r="M271" i="190"/>
  <c r="G271" i="190" s="1"/>
  <c r="I271" i="190" s="1"/>
  <c r="K271" i="190"/>
  <c r="M270" i="190"/>
  <c r="G270" i="190" s="1"/>
  <c r="I270" i="190" s="1"/>
  <c r="G270" i="5" s="1"/>
  <c r="K270" i="190"/>
  <c r="M269" i="190"/>
  <c r="G269" i="190" s="1"/>
  <c r="K269" i="190"/>
  <c r="M268" i="190"/>
  <c r="G268" i="190" s="1"/>
  <c r="K268" i="190"/>
  <c r="M267" i="190"/>
  <c r="G267" i="190" s="1"/>
  <c r="I267" i="190" s="1"/>
  <c r="K267" i="190"/>
  <c r="M266" i="190"/>
  <c r="G266" i="190" s="1"/>
  <c r="I266" i="190" s="1"/>
  <c r="G266" i="5" s="1"/>
  <c r="K266" i="190"/>
  <c r="M265" i="190"/>
  <c r="G265" i="190" s="1"/>
  <c r="K265" i="190"/>
  <c r="M264" i="190"/>
  <c r="G264" i="190" s="1"/>
  <c r="K264" i="190"/>
  <c r="M263" i="190"/>
  <c r="G263" i="190" s="1"/>
  <c r="I263" i="190" s="1"/>
  <c r="K263" i="190"/>
  <c r="M262" i="190"/>
  <c r="G262" i="190" s="1"/>
  <c r="K262" i="190"/>
  <c r="M261" i="190"/>
  <c r="G261" i="190" s="1"/>
  <c r="K261" i="190"/>
  <c r="M260" i="190"/>
  <c r="G260" i="190" s="1"/>
  <c r="K260" i="190"/>
  <c r="M259" i="190"/>
  <c r="G259" i="190" s="1"/>
  <c r="I259" i="190" s="1"/>
  <c r="K259" i="190"/>
  <c r="M258" i="190"/>
  <c r="G258" i="190" s="1"/>
  <c r="I258" i="190" s="1"/>
  <c r="G258" i="5" s="1"/>
  <c r="K258" i="190"/>
  <c r="M257" i="190"/>
  <c r="G257" i="190" s="1"/>
  <c r="I257" i="190" s="1"/>
  <c r="G257" i="5" s="1"/>
  <c r="K257" i="190"/>
  <c r="M256" i="190"/>
  <c r="G256" i="190" s="1"/>
  <c r="K256" i="190"/>
  <c r="M255" i="190"/>
  <c r="G255" i="190" s="1"/>
  <c r="I255" i="190" s="1"/>
  <c r="K255" i="190"/>
  <c r="M254" i="190"/>
  <c r="G254" i="190" s="1"/>
  <c r="K254" i="190"/>
  <c r="M253" i="190"/>
  <c r="G253" i="190" s="1"/>
  <c r="K253" i="190"/>
  <c r="M252" i="190"/>
  <c r="G252" i="190" s="1"/>
  <c r="K252" i="190"/>
  <c r="M251" i="190"/>
  <c r="G251" i="190" s="1"/>
  <c r="I251" i="190" s="1"/>
  <c r="K251" i="190"/>
  <c r="M250" i="190"/>
  <c r="G250" i="190" s="1"/>
  <c r="I250" i="190" s="1"/>
  <c r="G250" i="5" s="1"/>
  <c r="K250" i="190"/>
  <c r="M249" i="190"/>
  <c r="G249" i="190" s="1"/>
  <c r="K249" i="190"/>
  <c r="M248" i="190"/>
  <c r="G248" i="190" s="1"/>
  <c r="K248" i="190"/>
  <c r="M247" i="190"/>
  <c r="G247" i="190" s="1"/>
  <c r="I247" i="190" s="1"/>
  <c r="K247" i="190"/>
  <c r="M246" i="190"/>
  <c r="G246" i="190" s="1"/>
  <c r="K246" i="190"/>
  <c r="M245" i="190"/>
  <c r="G245" i="190" s="1"/>
  <c r="K245" i="190"/>
  <c r="M244" i="190"/>
  <c r="G244" i="190" s="1"/>
  <c r="K244" i="190"/>
  <c r="M243" i="190"/>
  <c r="G243" i="190" s="1"/>
  <c r="I243" i="190" s="1"/>
  <c r="K243" i="190"/>
  <c r="M242" i="190"/>
  <c r="G242" i="190" s="1"/>
  <c r="I242" i="190" s="1"/>
  <c r="G242" i="5" s="1"/>
  <c r="K242" i="190"/>
  <c r="M241" i="190"/>
  <c r="G241" i="190" s="1"/>
  <c r="I241" i="190" s="1"/>
  <c r="G241" i="5" s="1"/>
  <c r="K241" i="190"/>
  <c r="M240" i="190"/>
  <c r="G240" i="190" s="1"/>
  <c r="K240" i="190"/>
  <c r="M239" i="190"/>
  <c r="G239" i="190" s="1"/>
  <c r="K239" i="190"/>
  <c r="M233" i="190"/>
  <c r="G233" i="190" s="1"/>
  <c r="K233" i="190"/>
  <c r="M232" i="190"/>
  <c r="G232" i="190" s="1"/>
  <c r="I232" i="190" s="1"/>
  <c r="G232" i="5" s="1"/>
  <c r="K232" i="190"/>
  <c r="M231" i="190"/>
  <c r="G231" i="190" s="1"/>
  <c r="K231" i="190"/>
  <c r="F231" i="190" s="1"/>
  <c r="M230" i="190"/>
  <c r="G230" i="190" s="1"/>
  <c r="I230" i="190" s="1"/>
  <c r="K230" i="190"/>
  <c r="M229" i="190"/>
  <c r="G229" i="190" s="1"/>
  <c r="I229" i="190" s="1"/>
  <c r="G229" i="5" s="1"/>
  <c r="K229" i="190"/>
  <c r="M228" i="190"/>
  <c r="G228" i="190" s="1"/>
  <c r="K228" i="190"/>
  <c r="M227" i="190"/>
  <c r="G227" i="190" s="1"/>
  <c r="K227" i="190"/>
  <c r="M226" i="190"/>
  <c r="G226" i="190" s="1"/>
  <c r="K226" i="190"/>
  <c r="M225" i="190"/>
  <c r="G225" i="190" s="1"/>
  <c r="K225" i="190"/>
  <c r="F225" i="190" s="1"/>
  <c r="M224" i="190"/>
  <c r="G224" i="190" s="1"/>
  <c r="K224" i="190"/>
  <c r="F224" i="190" s="1"/>
  <c r="M223" i="190"/>
  <c r="G223" i="190" s="1"/>
  <c r="K223" i="190"/>
  <c r="F223" i="190" s="1"/>
  <c r="M222" i="190"/>
  <c r="G222" i="190" s="1"/>
  <c r="K222" i="190"/>
  <c r="F222" i="190" s="1"/>
  <c r="M221" i="190"/>
  <c r="G221" i="190" s="1"/>
  <c r="K221" i="190"/>
  <c r="F221" i="190" s="1"/>
  <c r="M220" i="190"/>
  <c r="G220" i="190" s="1"/>
  <c r="K220" i="190"/>
  <c r="F220" i="190" s="1"/>
  <c r="M219" i="190"/>
  <c r="G219" i="190" s="1"/>
  <c r="K219" i="190"/>
  <c r="F219" i="190" s="1"/>
  <c r="M218" i="190"/>
  <c r="G218" i="190" s="1"/>
  <c r="K218" i="190"/>
  <c r="F218" i="190" s="1"/>
  <c r="M217" i="190"/>
  <c r="G217" i="190" s="1"/>
  <c r="K217" i="190"/>
  <c r="F217" i="190" s="1"/>
  <c r="M216" i="190"/>
  <c r="K216" i="190"/>
  <c r="F216" i="190" s="1"/>
  <c r="M215" i="190"/>
  <c r="G215" i="190" s="1"/>
  <c r="K215" i="190"/>
  <c r="F215" i="190" s="1"/>
  <c r="M214" i="190"/>
  <c r="G214" i="190" s="1"/>
  <c r="K214" i="190"/>
  <c r="F214" i="190" s="1"/>
  <c r="M213" i="190"/>
  <c r="K213" i="190"/>
  <c r="F213" i="190" s="1"/>
  <c r="M212" i="190"/>
  <c r="G212" i="190" s="1"/>
  <c r="K212" i="190"/>
  <c r="F212" i="190" s="1"/>
  <c r="M211" i="190"/>
  <c r="G211" i="190" s="1"/>
  <c r="K211" i="190"/>
  <c r="F211" i="190" s="1"/>
  <c r="M210" i="190"/>
  <c r="G210" i="190" s="1"/>
  <c r="K210" i="190"/>
  <c r="F210" i="190" s="1"/>
  <c r="M209" i="190"/>
  <c r="G209" i="190" s="1"/>
  <c r="K209" i="190"/>
  <c r="F209" i="190" s="1"/>
  <c r="M208" i="190"/>
  <c r="G208" i="190" s="1"/>
  <c r="K208" i="190"/>
  <c r="F208" i="190" s="1"/>
  <c r="M207" i="190"/>
  <c r="G207" i="190" s="1"/>
  <c r="K207" i="190"/>
  <c r="F207" i="190" s="1"/>
  <c r="M206" i="190"/>
  <c r="G206" i="190" s="1"/>
  <c r="K206" i="190"/>
  <c r="F206" i="190" s="1"/>
  <c r="M203" i="190"/>
  <c r="G203" i="190" s="1"/>
  <c r="K203" i="190"/>
  <c r="F203" i="190" s="1"/>
  <c r="M202" i="190"/>
  <c r="G202" i="190" s="1"/>
  <c r="K202" i="190"/>
  <c r="F202" i="190" s="1"/>
  <c r="M201" i="190"/>
  <c r="G201" i="190" s="1"/>
  <c r="K201" i="190"/>
  <c r="F201" i="190" s="1"/>
  <c r="M200" i="190"/>
  <c r="G200" i="190" s="1"/>
  <c r="K200" i="190"/>
  <c r="F200" i="190" s="1"/>
  <c r="M199" i="190"/>
  <c r="G199" i="190" s="1"/>
  <c r="K199" i="190"/>
  <c r="F199" i="190" s="1"/>
  <c r="M198" i="190"/>
  <c r="G198" i="190" s="1"/>
  <c r="K198" i="190"/>
  <c r="F198" i="190" s="1"/>
  <c r="M197" i="190"/>
  <c r="G197" i="190" s="1"/>
  <c r="K197" i="190"/>
  <c r="F197" i="190" s="1"/>
  <c r="M196" i="190"/>
  <c r="G196" i="190" s="1"/>
  <c r="K196" i="190"/>
  <c r="F196" i="190" s="1"/>
  <c r="M195" i="190"/>
  <c r="G195" i="190" s="1"/>
  <c r="K195" i="190"/>
  <c r="F195" i="190" s="1"/>
  <c r="M194" i="190"/>
  <c r="G194" i="190" s="1"/>
  <c r="K194" i="190"/>
  <c r="F194" i="190" s="1"/>
  <c r="M193" i="190"/>
  <c r="G193" i="190" s="1"/>
  <c r="K193" i="190"/>
  <c r="F193" i="190" s="1"/>
  <c r="M192" i="190"/>
  <c r="G192" i="190" s="1"/>
  <c r="K192" i="190"/>
  <c r="F192" i="190" s="1"/>
  <c r="M191" i="190"/>
  <c r="G191" i="190" s="1"/>
  <c r="K191" i="190"/>
  <c r="M190" i="190"/>
  <c r="G190" i="190" s="1"/>
  <c r="K190" i="190"/>
  <c r="F190" i="190" s="1"/>
  <c r="M184" i="190"/>
  <c r="G184" i="190" s="1"/>
  <c r="I184" i="190" s="1"/>
  <c r="M183" i="190"/>
  <c r="G183" i="190" s="1"/>
  <c r="K183" i="190"/>
  <c r="F183" i="190" s="1"/>
  <c r="M182" i="190"/>
  <c r="G182" i="190" s="1"/>
  <c r="K182" i="190"/>
  <c r="F182" i="190" s="1"/>
  <c r="M181" i="190"/>
  <c r="G181" i="190" s="1"/>
  <c r="K181" i="190"/>
  <c r="F181" i="190" s="1"/>
  <c r="M180" i="190"/>
  <c r="G180" i="190" s="1"/>
  <c r="K180" i="190"/>
  <c r="F180" i="190" s="1"/>
  <c r="M179" i="190"/>
  <c r="G179" i="190" s="1"/>
  <c r="I179" i="190" s="1"/>
  <c r="K179" i="190"/>
  <c r="M178" i="190"/>
  <c r="K178" i="190"/>
  <c r="M177" i="190"/>
  <c r="K177" i="190"/>
  <c r="M176" i="190"/>
  <c r="K176" i="190"/>
  <c r="M175" i="190"/>
  <c r="M174" i="190"/>
  <c r="M173" i="190"/>
  <c r="M172" i="190"/>
  <c r="G141" i="190"/>
  <c r="M140" i="190"/>
  <c r="G140" i="190" s="1"/>
  <c r="I140" i="190" s="1"/>
  <c r="M139" i="190"/>
  <c r="O648" i="1"/>
  <c r="M138" i="190"/>
  <c r="G138" i="190" s="1"/>
  <c r="I138" i="190" s="1"/>
  <c r="O645" i="248" s="1"/>
  <c r="R645" i="248" s="1"/>
  <c r="O647" i="1"/>
  <c r="M134" i="190"/>
  <c r="G134" i="190" s="1"/>
  <c r="I134" i="190" s="1"/>
  <c r="O641" i="248" s="1"/>
  <c r="R641" i="248" s="1"/>
  <c r="O643" i="1"/>
  <c r="M133" i="190"/>
  <c r="G133" i="190" s="1"/>
  <c r="I133" i="190" s="1"/>
  <c r="O640" i="248" s="1"/>
  <c r="R640" i="248" s="1"/>
  <c r="O642" i="1"/>
  <c r="M132" i="190"/>
  <c r="G132" i="190" s="1"/>
  <c r="I132" i="190" s="1"/>
  <c r="O639" i="248" s="1"/>
  <c r="R639" i="248" s="1"/>
  <c r="O641" i="1"/>
  <c r="M131" i="190"/>
  <c r="G131" i="190" s="1"/>
  <c r="I131" i="190" s="1"/>
  <c r="O638" i="248" s="1"/>
  <c r="R638" i="248" s="1"/>
  <c r="O640" i="1"/>
  <c r="M130" i="190"/>
  <c r="G130" i="190" s="1"/>
  <c r="I130" i="190" s="1"/>
  <c r="O637" i="248" s="1"/>
  <c r="R637" i="248" s="1"/>
  <c r="O639" i="1"/>
  <c r="M129" i="190"/>
  <c r="G129" i="190" s="1"/>
  <c r="I129" i="190" s="1"/>
  <c r="M128" i="190"/>
  <c r="G128" i="190" s="1"/>
  <c r="I128" i="190" s="1"/>
  <c r="M127" i="190"/>
  <c r="G127" i="190" s="1"/>
  <c r="I127" i="190" s="1"/>
  <c r="M125" i="190"/>
  <c r="G125" i="190" s="1"/>
  <c r="I125" i="190" s="1"/>
  <c r="O2080" i="248" s="1"/>
  <c r="M124" i="190"/>
  <c r="G124" i="190" s="1"/>
  <c r="I124" i="190" s="1"/>
  <c r="O2079" i="248" s="1"/>
  <c r="M123" i="190"/>
  <c r="G123" i="190" s="1"/>
  <c r="I123" i="190" s="1"/>
  <c r="O2078" i="248" s="1"/>
  <c r="M122" i="190"/>
  <c r="G122" i="190" s="1"/>
  <c r="I122" i="190" s="1"/>
  <c r="O2077" i="248" s="1"/>
  <c r="M121" i="190"/>
  <c r="G121" i="190" s="1"/>
  <c r="I121" i="190" s="1"/>
  <c r="O2076" i="248" s="1"/>
  <c r="M120" i="190"/>
  <c r="G120" i="190" s="1"/>
  <c r="I120" i="190" s="1"/>
  <c r="O2075" i="248" s="1"/>
  <c r="M119" i="190"/>
  <c r="G119" i="190" s="1"/>
  <c r="I119" i="190" s="1"/>
  <c r="O2074" i="248" s="1"/>
  <c r="M118" i="190"/>
  <c r="G118" i="190" s="1"/>
  <c r="I118" i="190" s="1"/>
  <c r="O2073" i="248" s="1"/>
  <c r="M117" i="190"/>
  <c r="G117" i="190" s="1"/>
  <c r="I117" i="190" s="1"/>
  <c r="O2072" i="248" s="1"/>
  <c r="M116" i="190"/>
  <c r="G116" i="190" s="1"/>
  <c r="I116" i="190" s="1"/>
  <c r="O2071" i="248" s="1"/>
  <c r="M115" i="190"/>
  <c r="G115" i="190" s="1"/>
  <c r="I115" i="190" s="1"/>
  <c r="O2069" i="248" s="1"/>
  <c r="M114" i="190"/>
  <c r="G114" i="190" s="1"/>
  <c r="I114" i="190" s="1"/>
  <c r="O2068" i="248" s="1"/>
  <c r="M113" i="190"/>
  <c r="G113" i="190" s="1"/>
  <c r="I113" i="190" s="1"/>
  <c r="O2067" i="248" s="1"/>
  <c r="M112" i="190"/>
  <c r="G112" i="190" s="1"/>
  <c r="I112" i="190" s="1"/>
  <c r="M111" i="190"/>
  <c r="G111" i="190" s="1"/>
  <c r="I111" i="190" s="1"/>
  <c r="M110" i="190"/>
  <c r="G110" i="190" s="1"/>
  <c r="I110" i="190" s="1"/>
  <c r="O2065" i="248" s="1"/>
  <c r="M109" i="190"/>
  <c r="G109" i="190" s="1"/>
  <c r="I109" i="190" s="1"/>
  <c r="O2064" i="248" s="1"/>
  <c r="M108" i="190"/>
  <c r="G108" i="190" s="1"/>
  <c r="I108" i="190" s="1"/>
  <c r="M107" i="190"/>
  <c r="G107" i="190" s="1"/>
  <c r="I107" i="190" s="1"/>
  <c r="M106" i="190"/>
  <c r="G106" i="190" s="1"/>
  <c r="I106" i="190" s="1"/>
  <c r="O2060" i="248" s="1"/>
  <c r="M105" i="190"/>
  <c r="G105" i="190" s="1"/>
  <c r="I105" i="190" s="1"/>
  <c r="O2059" i="248" s="1"/>
  <c r="M104" i="190"/>
  <c r="G104" i="190" s="1"/>
  <c r="I104" i="190" s="1"/>
  <c r="O2058" i="248" s="1"/>
  <c r="M103" i="190"/>
  <c r="G103" i="190" s="1"/>
  <c r="I103" i="190" s="1"/>
  <c r="O2057" i="248" s="1"/>
  <c r="M102" i="190"/>
  <c r="G102" i="190" s="1"/>
  <c r="I102" i="190" s="1"/>
  <c r="M101" i="190"/>
  <c r="G101" i="190" s="1"/>
  <c r="I101" i="190" s="1"/>
  <c r="M100" i="190"/>
  <c r="G100" i="190" s="1"/>
  <c r="I100" i="190" s="1"/>
  <c r="M99" i="190"/>
  <c r="G99" i="190" s="1"/>
  <c r="I99" i="190" s="1"/>
  <c r="M98" i="190"/>
  <c r="G98" i="190" s="1"/>
  <c r="I98" i="190" s="1"/>
  <c r="M97" i="190"/>
  <c r="G97" i="190" s="1"/>
  <c r="I97" i="190" s="1"/>
  <c r="M96" i="190"/>
  <c r="G96" i="190" s="1"/>
  <c r="I96" i="190" s="1"/>
  <c r="M95" i="190"/>
  <c r="G95" i="190" s="1"/>
  <c r="I95" i="190" s="1"/>
  <c r="M94" i="190"/>
  <c r="G94" i="190" s="1"/>
  <c r="I94" i="190" s="1"/>
  <c r="M92" i="190"/>
  <c r="G92" i="190" s="1"/>
  <c r="I92" i="190" s="1"/>
  <c r="O2054" i="248" s="1"/>
  <c r="M91" i="190"/>
  <c r="G91" i="190" s="1"/>
  <c r="I91" i="190" s="1"/>
  <c r="O2053" i="248" s="1"/>
  <c r="M90" i="190"/>
  <c r="G90" i="190" s="1"/>
  <c r="I90" i="190" s="1"/>
  <c r="O2051" i="248" s="1"/>
  <c r="M89" i="190"/>
  <c r="G89" i="190" s="1"/>
  <c r="I89" i="190" s="1"/>
  <c r="O2052" i="248" s="1"/>
  <c r="M88" i="190"/>
  <c r="G88" i="190" s="1"/>
  <c r="I88" i="190" s="1"/>
  <c r="M87" i="190"/>
  <c r="G87" i="190" s="1"/>
  <c r="I87" i="190" s="1"/>
  <c r="M86" i="190"/>
  <c r="G86" i="190" s="1"/>
  <c r="I86" i="190" s="1"/>
  <c r="M85" i="190"/>
  <c r="G85" i="190" s="1"/>
  <c r="I85" i="190" s="1"/>
  <c r="M84" i="190"/>
  <c r="G84" i="190" s="1"/>
  <c r="I84" i="190" s="1"/>
  <c r="M83" i="190"/>
  <c r="G83" i="190" s="1"/>
  <c r="I83" i="190" s="1"/>
  <c r="O2091" i="248" s="1"/>
  <c r="M82" i="190"/>
  <c r="G82" i="190" s="1"/>
  <c r="I82" i="190" s="1"/>
  <c r="O2090" i="248" s="1"/>
  <c r="M81" i="190"/>
  <c r="G81" i="190" s="1"/>
  <c r="I81" i="190" s="1"/>
  <c r="M80" i="190"/>
  <c r="G80" i="190" s="1"/>
  <c r="I80" i="190" s="1"/>
  <c r="O2093" i="248" s="1"/>
  <c r="M79" i="190"/>
  <c r="G79" i="190" s="1"/>
  <c r="I79" i="190" s="1"/>
  <c r="M78" i="190"/>
  <c r="G78" i="190" s="1"/>
  <c r="I78" i="190" s="1"/>
  <c r="O2024" i="248" s="1"/>
  <c r="M77" i="190"/>
  <c r="G77" i="190" s="1"/>
  <c r="I77" i="190" s="1"/>
  <c r="O2023" i="248" s="1"/>
  <c r="M76" i="190"/>
  <c r="G76" i="190" s="1"/>
  <c r="I76" i="190" s="1"/>
  <c r="O2022" i="248" s="1"/>
  <c r="M75" i="190"/>
  <c r="G75" i="190" s="1"/>
  <c r="I75" i="190" s="1"/>
  <c r="O2021" i="248" s="1"/>
  <c r="M74" i="190"/>
  <c r="G74" i="190" s="1"/>
  <c r="I74" i="190" s="1"/>
  <c r="O2020" i="248" s="1"/>
  <c r="M73" i="190"/>
  <c r="G73" i="190" s="1"/>
  <c r="I73" i="190" s="1"/>
  <c r="O2019" i="248" s="1"/>
  <c r="M72" i="190"/>
  <c r="G72" i="190" s="1"/>
  <c r="I72" i="190" s="1"/>
  <c r="O2018" i="248" s="1"/>
  <c r="M71" i="190"/>
  <c r="G71" i="190" s="1"/>
  <c r="I71" i="190" s="1"/>
  <c r="O2017" i="248" s="1"/>
  <c r="M70" i="190"/>
  <c r="G70" i="190" s="1"/>
  <c r="I70" i="190" s="1"/>
  <c r="O2016" i="248" s="1"/>
  <c r="M69" i="190"/>
  <c r="G69" i="190" s="1"/>
  <c r="I69" i="190" s="1"/>
  <c r="O2015" i="248" s="1"/>
  <c r="M68" i="190"/>
  <c r="G68" i="190" s="1"/>
  <c r="I68" i="190" s="1"/>
  <c r="O2014" i="248" s="1"/>
  <c r="M67" i="190"/>
  <c r="G67" i="190" s="1"/>
  <c r="I67" i="190" s="1"/>
  <c r="O2013" i="248" s="1"/>
  <c r="M66" i="190"/>
  <c r="G66" i="190" s="1"/>
  <c r="I66" i="190" s="1"/>
  <c r="M65" i="190"/>
  <c r="G65" i="190" s="1"/>
  <c r="I65" i="190" s="1"/>
  <c r="M64" i="190"/>
  <c r="G64" i="190" s="1"/>
  <c r="I64" i="190" s="1"/>
  <c r="M63" i="190"/>
  <c r="G63" i="190" s="1"/>
  <c r="I63" i="190" s="1"/>
  <c r="M62" i="190"/>
  <c r="G62" i="190" s="1"/>
  <c r="I62" i="190" s="1"/>
  <c r="M61" i="190"/>
  <c r="G61" i="190" s="1"/>
  <c r="I61" i="190" s="1"/>
  <c r="O2010" i="248" s="1"/>
  <c r="M60" i="190"/>
  <c r="G60" i="190" s="1"/>
  <c r="I60" i="190" s="1"/>
  <c r="O722" i="248" s="1"/>
  <c r="R722" i="248" s="1"/>
  <c r="O724" i="1"/>
  <c r="M59" i="190"/>
  <c r="G59" i="190" s="1"/>
  <c r="I59" i="190" s="1"/>
  <c r="O721" i="248" s="1"/>
  <c r="R721" i="248" s="1"/>
  <c r="O723" i="1"/>
  <c r="M58" i="190"/>
  <c r="G58" i="190" s="1"/>
  <c r="I58" i="190" s="1"/>
  <c r="M57" i="190"/>
  <c r="G57" i="190" s="1"/>
  <c r="I57" i="190" s="1"/>
  <c r="M56" i="190"/>
  <c r="G56" i="190" s="1"/>
  <c r="I56" i="190" s="1"/>
  <c r="M55" i="190"/>
  <c r="G55" i="190" s="1"/>
  <c r="I55" i="190" s="1"/>
  <c r="M54" i="190"/>
  <c r="G54" i="190" s="1"/>
  <c r="I54" i="190" s="1"/>
  <c r="M53" i="190"/>
  <c r="G53" i="190" s="1"/>
  <c r="I53" i="190" s="1"/>
  <c r="M52" i="190"/>
  <c r="G52" i="190" s="1"/>
  <c r="I52" i="190" s="1"/>
  <c r="M51" i="190"/>
  <c r="G51" i="190" s="1"/>
  <c r="I51" i="190" s="1"/>
  <c r="M50" i="190"/>
  <c r="G50" i="190" s="1"/>
  <c r="I50" i="190" s="1"/>
  <c r="O2007" i="248" s="1"/>
  <c r="M49" i="190"/>
  <c r="G49" i="190" s="1"/>
  <c r="I49" i="190" s="1"/>
  <c r="M48" i="190"/>
  <c r="G48" i="190" s="1"/>
  <c r="I48" i="190" s="1"/>
  <c r="M47" i="190"/>
  <c r="G47" i="190" s="1"/>
  <c r="I47" i="190" s="1"/>
  <c r="O2005" i="248" s="1"/>
  <c r="M46" i="190"/>
  <c r="G46" i="190" s="1"/>
  <c r="I46" i="190" s="1"/>
  <c r="O2004" i="248" s="1"/>
  <c r="M45" i="190"/>
  <c r="G45" i="190" s="1"/>
  <c r="I45" i="190" s="1"/>
  <c r="O2003" i="248" s="1"/>
  <c r="M44" i="190"/>
  <c r="G44" i="190" s="1"/>
  <c r="I44" i="190" s="1"/>
  <c r="O2002" i="248" s="1"/>
  <c r="M43" i="190"/>
  <c r="G43" i="190" s="1"/>
  <c r="I43" i="190" s="1"/>
  <c r="M42" i="190"/>
  <c r="G42" i="190" s="1"/>
  <c r="I42" i="190" s="1"/>
  <c r="M41" i="190"/>
  <c r="G41" i="190" s="1"/>
  <c r="I41" i="190" s="1"/>
  <c r="M40" i="190"/>
  <c r="G40" i="190" s="1"/>
  <c r="I40" i="190" s="1"/>
  <c r="M39" i="190"/>
  <c r="G39" i="190" s="1"/>
  <c r="I39" i="190" s="1"/>
  <c r="O2000" i="248" s="1"/>
  <c r="M38" i="190"/>
  <c r="G38" i="190" s="1"/>
  <c r="I38" i="190" s="1"/>
  <c r="O1999" i="248" s="1"/>
  <c r="M37" i="190"/>
  <c r="G37" i="190" s="1"/>
  <c r="I37" i="190" s="1"/>
  <c r="O1998" i="248" s="1"/>
  <c r="M36" i="190"/>
  <c r="G36" i="190" s="1"/>
  <c r="I36" i="190" s="1"/>
  <c r="M35" i="190"/>
  <c r="G35" i="190" s="1"/>
  <c r="I35" i="190" s="1"/>
  <c r="M34" i="190"/>
  <c r="G34" i="190" s="1"/>
  <c r="I34" i="190" s="1"/>
  <c r="M33" i="190"/>
  <c r="G33" i="190" s="1"/>
  <c r="I33" i="190" s="1"/>
  <c r="M32" i="190"/>
  <c r="G32" i="190" s="1"/>
  <c r="I32" i="190" s="1"/>
  <c r="M31" i="190"/>
  <c r="G31" i="190" s="1"/>
  <c r="I31" i="190" s="1"/>
  <c r="M29" i="190"/>
  <c r="G29" i="190" s="1"/>
  <c r="I29" i="190" s="1"/>
  <c r="O1988" i="248" s="1"/>
  <c r="M28" i="190"/>
  <c r="G28" i="190" s="1"/>
  <c r="I28" i="190" s="1"/>
  <c r="O1987" i="248" s="1"/>
  <c r="M27" i="190"/>
  <c r="G27" i="190" s="1"/>
  <c r="I27" i="190" s="1"/>
  <c r="O1986" i="248" s="1"/>
  <c r="M26" i="190"/>
  <c r="G26" i="190" s="1"/>
  <c r="I26" i="190" s="1"/>
  <c r="O1985" i="248" s="1"/>
  <c r="M25" i="190"/>
  <c r="G25" i="190" s="1"/>
  <c r="I25" i="190" s="1"/>
  <c r="M24" i="190"/>
  <c r="G24" i="190" s="1"/>
  <c r="I24" i="190" s="1"/>
  <c r="M23" i="190"/>
  <c r="G23" i="190" s="1"/>
  <c r="I23" i="190" s="1"/>
  <c r="M22" i="190"/>
  <c r="G22" i="190" s="1"/>
  <c r="I22" i="190" s="1"/>
  <c r="M21" i="190"/>
  <c r="G21" i="190" s="1"/>
  <c r="I21" i="190" s="1"/>
  <c r="M20" i="190"/>
  <c r="M19" i="190"/>
  <c r="G19" i="190" s="1"/>
  <c r="I19" i="190" s="1"/>
  <c r="O1974" i="248" s="1"/>
  <c r="M18" i="190"/>
  <c r="G18" i="190" s="1"/>
  <c r="I18" i="190" s="1"/>
  <c r="O1973" i="248" s="1"/>
  <c r="M17" i="190"/>
  <c r="G17" i="190" s="1"/>
  <c r="I17" i="190" s="1"/>
  <c r="O1972" i="248" s="1"/>
  <c r="M16" i="190"/>
  <c r="G16" i="190" s="1"/>
  <c r="I16" i="190" s="1"/>
  <c r="O1971" i="248" s="1"/>
  <c r="M15" i="190"/>
  <c r="G15" i="190" s="1"/>
  <c r="I15" i="190" s="1"/>
  <c r="O1970" i="248" s="1"/>
  <c r="M14" i="190"/>
  <c r="M13" i="190"/>
  <c r="G13" i="190" s="1"/>
  <c r="I13" i="190" s="1"/>
  <c r="M12" i="190"/>
  <c r="G12" i="190" s="1"/>
  <c r="I12" i="190" s="1"/>
  <c r="M11" i="190"/>
  <c r="G11" i="190" s="1"/>
  <c r="I11" i="190" s="1"/>
  <c r="M10" i="190"/>
  <c r="M9" i="190"/>
  <c r="G9" i="190" s="1"/>
  <c r="I9" i="190" s="1"/>
  <c r="M8" i="190"/>
  <c r="G8" i="190" s="1"/>
  <c r="I8" i="190" s="1"/>
  <c r="M7" i="190"/>
  <c r="G7" i="190" s="1"/>
  <c r="I7" i="190" s="1"/>
  <c r="M6" i="190"/>
  <c r="G6" i="190" s="1"/>
  <c r="I6" i="190" s="1"/>
  <c r="E400" i="190"/>
  <c r="I1" i="190"/>
  <c r="H484" i="189"/>
  <c r="G484" i="189"/>
  <c r="F484" i="189"/>
  <c r="K482" i="189"/>
  <c r="J482" i="189"/>
  <c r="K481" i="189"/>
  <c r="J481" i="189"/>
  <c r="K480" i="189"/>
  <c r="J480" i="189"/>
  <c r="K479" i="189"/>
  <c r="J479" i="189"/>
  <c r="K478" i="189"/>
  <c r="J478" i="189"/>
  <c r="K477" i="189"/>
  <c r="J477" i="189"/>
  <c r="K476" i="189"/>
  <c r="J476" i="189"/>
  <c r="K475" i="189"/>
  <c r="J475" i="189"/>
  <c r="K474" i="189"/>
  <c r="J474" i="189"/>
  <c r="K473" i="189"/>
  <c r="J473" i="189"/>
  <c r="K472" i="189"/>
  <c r="J472" i="189"/>
  <c r="K471" i="189"/>
  <c r="J471" i="189"/>
  <c r="K470" i="189"/>
  <c r="J470" i="189"/>
  <c r="K469" i="189"/>
  <c r="J469" i="189"/>
  <c r="K468" i="189"/>
  <c r="J468" i="189"/>
  <c r="K467" i="189"/>
  <c r="J467" i="189"/>
  <c r="K466" i="189"/>
  <c r="J466" i="189"/>
  <c r="K465" i="189"/>
  <c r="J465" i="189"/>
  <c r="K464" i="189"/>
  <c r="J464" i="189"/>
  <c r="K463" i="189"/>
  <c r="J463" i="189"/>
  <c r="K462" i="189"/>
  <c r="J462" i="189"/>
  <c r="K461" i="189"/>
  <c r="J461" i="189"/>
  <c r="K460" i="189"/>
  <c r="J460" i="189"/>
  <c r="K459" i="189"/>
  <c r="J459" i="189"/>
  <c r="K458" i="189"/>
  <c r="J458" i="189"/>
  <c r="K457" i="189"/>
  <c r="J457" i="189"/>
  <c r="K456" i="189"/>
  <c r="J456" i="189"/>
  <c r="K455" i="189"/>
  <c r="J455" i="189"/>
  <c r="K454" i="189"/>
  <c r="J454" i="189"/>
  <c r="K453" i="189"/>
  <c r="J453" i="189"/>
  <c r="K452" i="189"/>
  <c r="J452" i="189"/>
  <c r="K451" i="189"/>
  <c r="J451" i="189"/>
  <c r="K450" i="189"/>
  <c r="J450" i="189"/>
  <c r="K449" i="189"/>
  <c r="J449" i="189"/>
  <c r="K448" i="189"/>
  <c r="J448" i="189"/>
  <c r="K447" i="189"/>
  <c r="J447" i="189"/>
  <c r="K446" i="189"/>
  <c r="J446" i="189"/>
  <c r="K445" i="189"/>
  <c r="J445" i="189"/>
  <c r="K444" i="189"/>
  <c r="J444" i="189"/>
  <c r="K443" i="189"/>
  <c r="J443" i="189"/>
  <c r="K442" i="189"/>
  <c r="J442" i="189"/>
  <c r="K441" i="189"/>
  <c r="J441" i="189"/>
  <c r="K440" i="189"/>
  <c r="J440" i="189"/>
  <c r="K439" i="189"/>
  <c r="J439" i="189"/>
  <c r="K438" i="189"/>
  <c r="J438" i="189"/>
  <c r="K437" i="189"/>
  <c r="J437" i="189"/>
  <c r="K436" i="189"/>
  <c r="J436" i="189"/>
  <c r="K435" i="189"/>
  <c r="J435" i="189"/>
  <c r="K434" i="189"/>
  <c r="J434" i="189"/>
  <c r="K433" i="189"/>
  <c r="J433" i="189"/>
  <c r="K432" i="189"/>
  <c r="J432" i="189"/>
  <c r="K431" i="189"/>
  <c r="J431" i="189"/>
  <c r="K430" i="189"/>
  <c r="J430" i="189"/>
  <c r="K429" i="189"/>
  <c r="J429" i="189"/>
  <c r="K428" i="189"/>
  <c r="J428" i="189"/>
  <c r="K427" i="189"/>
  <c r="J427" i="189"/>
  <c r="K426" i="189"/>
  <c r="J426" i="189"/>
  <c r="K425" i="189"/>
  <c r="J425" i="189"/>
  <c r="K424" i="189"/>
  <c r="J424" i="189"/>
  <c r="K423" i="189"/>
  <c r="J423" i="189"/>
  <c r="K422" i="189"/>
  <c r="J422" i="189"/>
  <c r="K421" i="189"/>
  <c r="J421" i="189"/>
  <c r="K420" i="189"/>
  <c r="J420" i="189"/>
  <c r="K419" i="189"/>
  <c r="J419" i="189"/>
  <c r="K418" i="189"/>
  <c r="J418" i="189"/>
  <c r="K417" i="189"/>
  <c r="J417" i="189"/>
  <c r="K416" i="189"/>
  <c r="J416" i="189"/>
  <c r="K415" i="189"/>
  <c r="J415" i="189"/>
  <c r="K414" i="189"/>
  <c r="J414" i="189"/>
  <c r="K413" i="189"/>
  <c r="J413" i="189"/>
  <c r="K412" i="189"/>
  <c r="J412" i="189"/>
  <c r="K411" i="189"/>
  <c r="J411" i="189"/>
  <c r="K410" i="189"/>
  <c r="J410" i="189"/>
  <c r="K409" i="189"/>
  <c r="J409" i="189"/>
  <c r="K408" i="189"/>
  <c r="J408" i="189"/>
  <c r="K407" i="189"/>
  <c r="J407" i="189"/>
  <c r="K406" i="189"/>
  <c r="J406" i="189"/>
  <c r="K405" i="189"/>
  <c r="J405" i="189"/>
  <c r="K404" i="189"/>
  <c r="J404" i="189"/>
  <c r="K403" i="189"/>
  <c r="J403" i="189"/>
  <c r="K402" i="189"/>
  <c r="J402" i="189"/>
  <c r="K401" i="189"/>
  <c r="J401" i="189"/>
  <c r="K400" i="189"/>
  <c r="J400" i="189"/>
  <c r="K399" i="189"/>
  <c r="J399" i="189"/>
  <c r="K398" i="189"/>
  <c r="J398" i="189"/>
  <c r="K397" i="189"/>
  <c r="J397" i="189"/>
  <c r="K396" i="189"/>
  <c r="J396" i="189"/>
  <c r="K395" i="189"/>
  <c r="J395" i="189"/>
  <c r="K394" i="189"/>
  <c r="J394" i="189"/>
  <c r="K393" i="189"/>
  <c r="J393" i="189"/>
  <c r="K392" i="189"/>
  <c r="J392" i="189"/>
  <c r="K391" i="189"/>
  <c r="J391" i="189"/>
  <c r="K390" i="189"/>
  <c r="J390" i="189"/>
  <c r="K389" i="189"/>
  <c r="J389" i="189"/>
  <c r="K388" i="189"/>
  <c r="J388" i="189"/>
  <c r="K387" i="189"/>
  <c r="J387" i="189"/>
  <c r="K386" i="189"/>
  <c r="J386" i="189"/>
  <c r="K385" i="189"/>
  <c r="J385" i="189"/>
  <c r="K384" i="189"/>
  <c r="J384" i="189"/>
  <c r="K383" i="189"/>
  <c r="J383" i="189"/>
  <c r="K382" i="189"/>
  <c r="J382" i="189"/>
  <c r="K381" i="189"/>
  <c r="J381" i="189"/>
  <c r="K380" i="189"/>
  <c r="J380" i="189"/>
  <c r="K379" i="189"/>
  <c r="J379" i="189"/>
  <c r="K378" i="189"/>
  <c r="J378" i="189"/>
  <c r="K377" i="189"/>
  <c r="J377" i="189"/>
  <c r="K376" i="189"/>
  <c r="J376" i="189"/>
  <c r="K375" i="189"/>
  <c r="J375" i="189"/>
  <c r="K374" i="189"/>
  <c r="J374" i="189"/>
  <c r="K373" i="189"/>
  <c r="J373" i="189"/>
  <c r="K372" i="189"/>
  <c r="J372" i="189"/>
  <c r="K371" i="189"/>
  <c r="J371" i="189"/>
  <c r="K370" i="189"/>
  <c r="J370" i="189"/>
  <c r="K369" i="189"/>
  <c r="J369" i="189"/>
  <c r="K368" i="189"/>
  <c r="J368" i="189"/>
  <c r="K367" i="189"/>
  <c r="J367" i="189"/>
  <c r="K366" i="189"/>
  <c r="J366" i="189"/>
  <c r="K365" i="189"/>
  <c r="J365" i="189"/>
  <c r="K364" i="189"/>
  <c r="J364" i="189"/>
  <c r="K363" i="189"/>
  <c r="J363" i="189"/>
  <c r="K362" i="189"/>
  <c r="J362" i="189"/>
  <c r="K361" i="189"/>
  <c r="J361" i="189"/>
  <c r="K360" i="189"/>
  <c r="J360" i="189"/>
  <c r="K359" i="189"/>
  <c r="J359" i="189"/>
  <c r="K358" i="189"/>
  <c r="J358" i="189"/>
  <c r="K357" i="189"/>
  <c r="J357" i="189"/>
  <c r="K356" i="189"/>
  <c r="J356" i="189"/>
  <c r="K355" i="189"/>
  <c r="J355" i="189"/>
  <c r="K354" i="189"/>
  <c r="J354" i="189"/>
  <c r="K353" i="189"/>
  <c r="J353" i="189"/>
  <c r="K352" i="189"/>
  <c r="J352" i="189"/>
  <c r="K351" i="189"/>
  <c r="J351" i="189"/>
  <c r="K350" i="189"/>
  <c r="J350" i="189"/>
  <c r="K349" i="189"/>
  <c r="J349" i="189"/>
  <c r="K348" i="189"/>
  <c r="J348" i="189"/>
  <c r="K347" i="189"/>
  <c r="J347" i="189"/>
  <c r="K346" i="189"/>
  <c r="J346" i="189"/>
  <c r="K345" i="189"/>
  <c r="J345" i="189"/>
  <c r="K344" i="189"/>
  <c r="J344" i="189"/>
  <c r="K343" i="189"/>
  <c r="J343" i="189"/>
  <c r="K342" i="189"/>
  <c r="J342" i="189"/>
  <c r="K341" i="189"/>
  <c r="J341" i="189"/>
  <c r="K340" i="189"/>
  <c r="J340" i="189"/>
  <c r="K339" i="189"/>
  <c r="J339" i="189"/>
  <c r="K338" i="189"/>
  <c r="J338" i="189"/>
  <c r="K337" i="189"/>
  <c r="J337" i="189"/>
  <c r="K336" i="189"/>
  <c r="J336" i="189"/>
  <c r="K335" i="189"/>
  <c r="J335" i="189"/>
  <c r="K334" i="189"/>
  <c r="J334" i="189"/>
  <c r="K333" i="189"/>
  <c r="J333" i="189"/>
  <c r="K332" i="189"/>
  <c r="J332" i="189"/>
  <c r="K331" i="189"/>
  <c r="J331" i="189"/>
  <c r="K330" i="189"/>
  <c r="J330" i="189"/>
  <c r="K329" i="189"/>
  <c r="J329" i="189"/>
  <c r="K328" i="189"/>
  <c r="J328" i="189"/>
  <c r="K327" i="189"/>
  <c r="J327" i="189"/>
  <c r="K326" i="189"/>
  <c r="J326" i="189"/>
  <c r="K325" i="189"/>
  <c r="J325" i="189"/>
  <c r="K324" i="189"/>
  <c r="J324" i="189"/>
  <c r="K323" i="189"/>
  <c r="J323" i="189"/>
  <c r="K322" i="189"/>
  <c r="J322" i="189"/>
  <c r="K321" i="189"/>
  <c r="J321" i="189"/>
  <c r="K320" i="189"/>
  <c r="J320" i="189"/>
  <c r="K319" i="189"/>
  <c r="J319" i="189"/>
  <c r="K318" i="189"/>
  <c r="J318" i="189"/>
  <c r="K317" i="189"/>
  <c r="J317" i="189"/>
  <c r="K316" i="189"/>
  <c r="J316" i="189"/>
  <c r="K315" i="189"/>
  <c r="J315" i="189"/>
  <c r="K314" i="189"/>
  <c r="J314" i="189"/>
  <c r="K313" i="189"/>
  <c r="J313" i="189"/>
  <c r="K312" i="189"/>
  <c r="J312" i="189"/>
  <c r="K311" i="189"/>
  <c r="J311" i="189"/>
  <c r="K310" i="189"/>
  <c r="J310" i="189"/>
  <c r="K309" i="189"/>
  <c r="J309" i="189"/>
  <c r="K308" i="189"/>
  <c r="J308" i="189"/>
  <c r="K307" i="189"/>
  <c r="J307" i="189"/>
  <c r="K306" i="189"/>
  <c r="J306" i="189"/>
  <c r="K305" i="189"/>
  <c r="J305" i="189"/>
  <c r="K304" i="189"/>
  <c r="J304" i="189"/>
  <c r="K303" i="189"/>
  <c r="J303" i="189"/>
  <c r="K302" i="189"/>
  <c r="J302" i="189"/>
  <c r="K301" i="189"/>
  <c r="J301" i="189"/>
  <c r="K300" i="189"/>
  <c r="J300" i="189"/>
  <c r="K299" i="189"/>
  <c r="J299" i="189"/>
  <c r="K298" i="189"/>
  <c r="J298" i="189"/>
  <c r="K297" i="189"/>
  <c r="J297" i="189"/>
  <c r="K296" i="189"/>
  <c r="J296" i="189"/>
  <c r="K295" i="189"/>
  <c r="J295" i="189"/>
  <c r="K294" i="189"/>
  <c r="J294" i="189"/>
  <c r="K293" i="189"/>
  <c r="J293" i="189"/>
  <c r="K292" i="189"/>
  <c r="J292" i="189"/>
  <c r="K291" i="189"/>
  <c r="J291" i="189"/>
  <c r="K290" i="189"/>
  <c r="J290" i="189"/>
  <c r="K289" i="189"/>
  <c r="J289" i="189"/>
  <c r="K288" i="189"/>
  <c r="J288" i="189"/>
  <c r="K287" i="189"/>
  <c r="J287" i="189"/>
  <c r="K286" i="189"/>
  <c r="J286" i="189"/>
  <c r="K285" i="189"/>
  <c r="J285" i="189"/>
  <c r="K284" i="189"/>
  <c r="J284" i="189"/>
  <c r="K283" i="189"/>
  <c r="J283" i="189"/>
  <c r="K282" i="189"/>
  <c r="J282" i="189"/>
  <c r="K281" i="189"/>
  <c r="J281" i="189"/>
  <c r="K280" i="189"/>
  <c r="J280" i="189"/>
  <c r="K279" i="189"/>
  <c r="J279" i="189"/>
  <c r="K278" i="189"/>
  <c r="J278" i="189"/>
  <c r="K277" i="189"/>
  <c r="J277" i="189"/>
  <c r="K276" i="189"/>
  <c r="J276" i="189"/>
  <c r="K275" i="189"/>
  <c r="J275" i="189"/>
  <c r="K274" i="189"/>
  <c r="J274" i="189"/>
  <c r="K273" i="189"/>
  <c r="J273" i="189"/>
  <c r="K272" i="189"/>
  <c r="J272" i="189"/>
  <c r="K271" i="189"/>
  <c r="J271" i="189"/>
  <c r="K270" i="189"/>
  <c r="J270" i="189"/>
  <c r="K269" i="189"/>
  <c r="J269" i="189"/>
  <c r="K268" i="189"/>
  <c r="J268" i="189"/>
  <c r="K267" i="189"/>
  <c r="J267" i="189"/>
  <c r="K266" i="189"/>
  <c r="J266" i="189"/>
  <c r="K265" i="189"/>
  <c r="J265" i="189"/>
  <c r="K264" i="189"/>
  <c r="J264" i="189"/>
  <c r="K263" i="189"/>
  <c r="J263" i="189"/>
  <c r="K262" i="189"/>
  <c r="J262" i="189"/>
  <c r="K261" i="189"/>
  <c r="J261" i="189"/>
  <c r="K260" i="189"/>
  <c r="J260" i="189"/>
  <c r="K259" i="189"/>
  <c r="J259" i="189"/>
  <c r="K258" i="189"/>
  <c r="J258" i="189"/>
  <c r="K257" i="189"/>
  <c r="J257" i="189"/>
  <c r="K256" i="189"/>
  <c r="J256" i="189"/>
  <c r="K255" i="189"/>
  <c r="J255" i="189"/>
  <c r="K254" i="189"/>
  <c r="J254" i="189"/>
  <c r="K253" i="189"/>
  <c r="J253" i="189"/>
  <c r="K252" i="189"/>
  <c r="J252" i="189"/>
  <c r="K251" i="189"/>
  <c r="J251" i="189"/>
  <c r="K250" i="189"/>
  <c r="J250" i="189"/>
  <c r="K249" i="189"/>
  <c r="J249" i="189"/>
  <c r="K248" i="189"/>
  <c r="J248" i="189"/>
  <c r="K247" i="189"/>
  <c r="J247" i="189"/>
  <c r="K246" i="189"/>
  <c r="J246" i="189"/>
  <c r="K245" i="189"/>
  <c r="J245" i="189"/>
  <c r="K244" i="189"/>
  <c r="J244" i="189"/>
  <c r="K243" i="189"/>
  <c r="J243" i="189"/>
  <c r="K242" i="189"/>
  <c r="J242" i="189"/>
  <c r="K241" i="189"/>
  <c r="J241" i="189"/>
  <c r="K240" i="189"/>
  <c r="J240" i="189"/>
  <c r="K239" i="189"/>
  <c r="J239" i="189"/>
  <c r="K238" i="189"/>
  <c r="J238" i="189"/>
  <c r="K237" i="189"/>
  <c r="J237" i="189"/>
  <c r="K236" i="189"/>
  <c r="J236" i="189"/>
  <c r="K235" i="189"/>
  <c r="J235" i="189"/>
  <c r="K234" i="189"/>
  <c r="J234" i="189"/>
  <c r="K233" i="189"/>
  <c r="J233" i="189"/>
  <c r="K232" i="189"/>
  <c r="J232" i="189"/>
  <c r="K231" i="189"/>
  <c r="J231" i="189"/>
  <c r="K230" i="189"/>
  <c r="J230" i="189"/>
  <c r="K229" i="189"/>
  <c r="J229" i="189"/>
  <c r="K228" i="189"/>
  <c r="J228" i="189"/>
  <c r="K227" i="189"/>
  <c r="J227" i="189"/>
  <c r="K226" i="189"/>
  <c r="J226" i="189"/>
  <c r="K225" i="189"/>
  <c r="J225" i="189"/>
  <c r="K224" i="189"/>
  <c r="J224" i="189"/>
  <c r="K223" i="189"/>
  <c r="J223" i="189"/>
  <c r="K222" i="189"/>
  <c r="J222" i="189"/>
  <c r="K221" i="189"/>
  <c r="J221" i="189"/>
  <c r="K220" i="189"/>
  <c r="J220" i="189"/>
  <c r="K219" i="189"/>
  <c r="J219" i="189"/>
  <c r="K218" i="189"/>
  <c r="J218" i="189"/>
  <c r="K217" i="189"/>
  <c r="J217" i="189"/>
  <c r="K216" i="189"/>
  <c r="J216" i="189"/>
  <c r="K215" i="189"/>
  <c r="J215" i="189"/>
  <c r="K214" i="189"/>
  <c r="J214" i="189"/>
  <c r="K213" i="189"/>
  <c r="J213" i="189"/>
  <c r="K212" i="189"/>
  <c r="J212" i="189"/>
  <c r="K211" i="189"/>
  <c r="J211" i="189"/>
  <c r="K210" i="189"/>
  <c r="J210" i="189"/>
  <c r="K209" i="189"/>
  <c r="J209" i="189"/>
  <c r="K208" i="189"/>
  <c r="J208" i="189"/>
  <c r="K207" i="189"/>
  <c r="J207" i="189"/>
  <c r="K206" i="189"/>
  <c r="J206" i="189"/>
  <c r="K205" i="189"/>
  <c r="J205" i="189"/>
  <c r="K204" i="189"/>
  <c r="J204" i="189"/>
  <c r="K203" i="189"/>
  <c r="J203" i="189"/>
  <c r="K202" i="189"/>
  <c r="J202" i="189"/>
  <c r="K201" i="189"/>
  <c r="J201" i="189"/>
  <c r="K200" i="189"/>
  <c r="J200" i="189"/>
  <c r="K199" i="189"/>
  <c r="J199" i="189"/>
  <c r="K198" i="189"/>
  <c r="J198" i="189"/>
  <c r="K197" i="189"/>
  <c r="J197" i="189"/>
  <c r="K196" i="189"/>
  <c r="J196" i="189"/>
  <c r="K195" i="189"/>
  <c r="J195" i="189"/>
  <c r="K194" i="189"/>
  <c r="J194" i="189"/>
  <c r="K193" i="189"/>
  <c r="J193" i="189"/>
  <c r="K192" i="189"/>
  <c r="J192" i="189"/>
  <c r="K191" i="189"/>
  <c r="J191" i="189"/>
  <c r="K190" i="189"/>
  <c r="J190" i="189"/>
  <c r="K189" i="189"/>
  <c r="J189" i="189"/>
  <c r="K188" i="189"/>
  <c r="J188" i="189"/>
  <c r="K187" i="189"/>
  <c r="J187" i="189"/>
  <c r="K186" i="189"/>
  <c r="J186" i="189"/>
  <c r="K185" i="189"/>
  <c r="J185" i="189"/>
  <c r="K184" i="189"/>
  <c r="J184" i="189"/>
  <c r="K183" i="189"/>
  <c r="J183" i="189"/>
  <c r="K182" i="189"/>
  <c r="J182" i="189"/>
  <c r="K181" i="189"/>
  <c r="J181" i="189"/>
  <c r="K180" i="189"/>
  <c r="J180" i="189"/>
  <c r="K179" i="189"/>
  <c r="J179" i="189"/>
  <c r="K178" i="189"/>
  <c r="J178" i="189"/>
  <c r="K177" i="189"/>
  <c r="J177" i="189"/>
  <c r="K176" i="189"/>
  <c r="J176" i="189"/>
  <c r="K175" i="189"/>
  <c r="J175" i="189"/>
  <c r="K174" i="189"/>
  <c r="J174" i="189"/>
  <c r="K173" i="189"/>
  <c r="J173" i="189"/>
  <c r="K172" i="189"/>
  <c r="J172" i="189"/>
  <c r="K171" i="189"/>
  <c r="J171" i="189"/>
  <c r="K170" i="189"/>
  <c r="J170" i="189"/>
  <c r="K169" i="189"/>
  <c r="J169" i="189"/>
  <c r="K168" i="189"/>
  <c r="J168" i="189"/>
  <c r="K167" i="189"/>
  <c r="J167" i="189"/>
  <c r="K166" i="189"/>
  <c r="J166" i="189"/>
  <c r="K165" i="189"/>
  <c r="J165" i="189"/>
  <c r="K164" i="189"/>
  <c r="J164" i="189"/>
  <c r="K163" i="189"/>
  <c r="J163" i="189"/>
  <c r="K162" i="189"/>
  <c r="J162" i="189"/>
  <c r="K161" i="189"/>
  <c r="J161" i="189"/>
  <c r="K160" i="189"/>
  <c r="J160" i="189"/>
  <c r="K159" i="189"/>
  <c r="J159" i="189"/>
  <c r="K158" i="189"/>
  <c r="J158" i="189"/>
  <c r="K157" i="189"/>
  <c r="J157" i="189"/>
  <c r="K156" i="189"/>
  <c r="J156" i="189"/>
  <c r="K155" i="189"/>
  <c r="J155" i="189"/>
  <c r="K154" i="189"/>
  <c r="J154" i="189"/>
  <c r="K153" i="189"/>
  <c r="J153" i="189"/>
  <c r="K152" i="189"/>
  <c r="J152" i="189"/>
  <c r="K151" i="189"/>
  <c r="J151" i="189"/>
  <c r="K150" i="189"/>
  <c r="J150" i="189"/>
  <c r="K149" i="189"/>
  <c r="J149" i="189"/>
  <c r="K148" i="189"/>
  <c r="J148" i="189"/>
  <c r="K147" i="189"/>
  <c r="J147" i="189"/>
  <c r="K146" i="189"/>
  <c r="J146" i="189"/>
  <c r="K145" i="189"/>
  <c r="J145" i="189"/>
  <c r="K144" i="189"/>
  <c r="J144" i="189"/>
  <c r="K143" i="189"/>
  <c r="J143" i="189"/>
  <c r="K142" i="189"/>
  <c r="J142" i="189"/>
  <c r="K141" i="189"/>
  <c r="J141" i="189"/>
  <c r="K140" i="189"/>
  <c r="J140" i="189"/>
  <c r="K139" i="189"/>
  <c r="J139" i="189"/>
  <c r="K138" i="189"/>
  <c r="J138" i="189"/>
  <c r="K137" i="189"/>
  <c r="J137" i="189"/>
  <c r="K136" i="189"/>
  <c r="J136" i="189"/>
  <c r="K135" i="189"/>
  <c r="J135" i="189"/>
  <c r="K134" i="189"/>
  <c r="J134" i="189"/>
  <c r="K133" i="189"/>
  <c r="J133" i="189"/>
  <c r="K132" i="189"/>
  <c r="J132" i="189"/>
  <c r="K131" i="189"/>
  <c r="J131" i="189"/>
  <c r="K130" i="189"/>
  <c r="J130" i="189"/>
  <c r="K129" i="189"/>
  <c r="J129" i="189"/>
  <c r="K128" i="189"/>
  <c r="J128" i="189"/>
  <c r="K127" i="189"/>
  <c r="J127" i="189"/>
  <c r="K126" i="189"/>
  <c r="J126" i="189"/>
  <c r="K125" i="189"/>
  <c r="J125" i="189"/>
  <c r="K124" i="189"/>
  <c r="J124" i="189"/>
  <c r="K123" i="189"/>
  <c r="J123" i="189"/>
  <c r="K122" i="189"/>
  <c r="J122" i="189"/>
  <c r="K121" i="189"/>
  <c r="J121" i="189"/>
  <c r="K120" i="189"/>
  <c r="J120" i="189"/>
  <c r="K119" i="189"/>
  <c r="J119" i="189"/>
  <c r="K118" i="189"/>
  <c r="J118" i="189"/>
  <c r="K117" i="189"/>
  <c r="J117" i="189"/>
  <c r="K116" i="189"/>
  <c r="J116" i="189"/>
  <c r="K115" i="189"/>
  <c r="J115" i="189"/>
  <c r="K114" i="189"/>
  <c r="J114" i="189"/>
  <c r="K113" i="189"/>
  <c r="J113" i="189"/>
  <c r="K112" i="189"/>
  <c r="J112" i="189"/>
  <c r="K111" i="189"/>
  <c r="J111" i="189"/>
  <c r="K110" i="189"/>
  <c r="J110" i="189"/>
  <c r="K109" i="189"/>
  <c r="J109" i="189"/>
  <c r="K108" i="189"/>
  <c r="J108" i="189"/>
  <c r="K107" i="189"/>
  <c r="J107" i="189"/>
  <c r="K106" i="189"/>
  <c r="J106" i="189"/>
  <c r="K105" i="189"/>
  <c r="J105" i="189"/>
  <c r="K104" i="189"/>
  <c r="J104" i="189"/>
  <c r="K103" i="189"/>
  <c r="J103" i="189"/>
  <c r="K102" i="189"/>
  <c r="J102" i="189"/>
  <c r="K101" i="189"/>
  <c r="J101" i="189"/>
  <c r="K100" i="189"/>
  <c r="J100" i="189"/>
  <c r="K99" i="189"/>
  <c r="J99" i="189"/>
  <c r="K98" i="189"/>
  <c r="J98" i="189"/>
  <c r="K97" i="189"/>
  <c r="J97" i="189"/>
  <c r="K96" i="189"/>
  <c r="J96" i="189"/>
  <c r="K95" i="189"/>
  <c r="J95" i="189"/>
  <c r="K94" i="189"/>
  <c r="J94" i="189"/>
  <c r="K93" i="189"/>
  <c r="J93" i="189"/>
  <c r="K92" i="189"/>
  <c r="J92" i="189"/>
  <c r="K91" i="189"/>
  <c r="J91" i="189"/>
  <c r="K90" i="189"/>
  <c r="J90" i="189"/>
  <c r="K89" i="189"/>
  <c r="J89" i="189"/>
  <c r="K88" i="189"/>
  <c r="J88" i="189"/>
  <c r="K87" i="189"/>
  <c r="J87" i="189"/>
  <c r="K86" i="189"/>
  <c r="J86" i="189"/>
  <c r="K85" i="189"/>
  <c r="J85" i="189"/>
  <c r="K84" i="189"/>
  <c r="J84" i="189"/>
  <c r="K83" i="189"/>
  <c r="J83" i="189"/>
  <c r="K82" i="189"/>
  <c r="J82" i="189"/>
  <c r="K81" i="189"/>
  <c r="J81" i="189"/>
  <c r="K80" i="189"/>
  <c r="J80" i="189"/>
  <c r="K79" i="189"/>
  <c r="J79" i="189"/>
  <c r="K78" i="189"/>
  <c r="J78" i="189"/>
  <c r="K77" i="189"/>
  <c r="J77" i="189"/>
  <c r="K76" i="189"/>
  <c r="J76" i="189"/>
  <c r="K75" i="189"/>
  <c r="J75" i="189"/>
  <c r="K74" i="189"/>
  <c r="J74" i="189"/>
  <c r="K73" i="189"/>
  <c r="J73" i="189"/>
  <c r="K72" i="189"/>
  <c r="J72" i="189"/>
  <c r="K71" i="189"/>
  <c r="J71" i="189"/>
  <c r="K70" i="189"/>
  <c r="J70" i="189"/>
  <c r="K69" i="189"/>
  <c r="J69" i="189"/>
  <c r="K68" i="189"/>
  <c r="J68" i="189"/>
  <c r="K67" i="189"/>
  <c r="J67" i="189"/>
  <c r="K66" i="189"/>
  <c r="J66" i="189"/>
  <c r="K65" i="189"/>
  <c r="J65" i="189"/>
  <c r="K64" i="189"/>
  <c r="J64" i="189"/>
  <c r="K63" i="189"/>
  <c r="J63" i="189"/>
  <c r="K62" i="189"/>
  <c r="J62" i="189"/>
  <c r="K61" i="189"/>
  <c r="J61" i="189"/>
  <c r="K60" i="189"/>
  <c r="J60" i="189"/>
  <c r="K59" i="189"/>
  <c r="J59" i="189"/>
  <c r="K58" i="189"/>
  <c r="J58" i="189"/>
  <c r="K57" i="189"/>
  <c r="J57" i="189"/>
  <c r="K56" i="189"/>
  <c r="J56" i="189"/>
  <c r="K55" i="189"/>
  <c r="J55" i="189"/>
  <c r="K54" i="189"/>
  <c r="J54" i="189"/>
  <c r="K53" i="189"/>
  <c r="J53" i="189"/>
  <c r="K52" i="189"/>
  <c r="J52" i="189"/>
  <c r="K51" i="189"/>
  <c r="J51" i="189"/>
  <c r="K50" i="189"/>
  <c r="J50" i="189"/>
  <c r="K49" i="189"/>
  <c r="J49" i="189"/>
  <c r="K48" i="189"/>
  <c r="J48" i="189"/>
  <c r="K47" i="189"/>
  <c r="J47" i="189"/>
  <c r="K46" i="189"/>
  <c r="J46" i="189"/>
  <c r="K45" i="189"/>
  <c r="J45" i="189"/>
  <c r="K44" i="189"/>
  <c r="J44" i="189"/>
  <c r="K43" i="189"/>
  <c r="J43" i="189"/>
  <c r="K42" i="189"/>
  <c r="J42" i="189"/>
  <c r="K41" i="189"/>
  <c r="J41" i="189"/>
  <c r="K40" i="189"/>
  <c r="J40" i="189"/>
  <c r="K39" i="189"/>
  <c r="J39" i="189"/>
  <c r="K38" i="189"/>
  <c r="J38" i="189"/>
  <c r="K37" i="189"/>
  <c r="J37" i="189"/>
  <c r="K36" i="189"/>
  <c r="J36" i="189"/>
  <c r="K35" i="189"/>
  <c r="J35" i="189"/>
  <c r="K34" i="189"/>
  <c r="J34" i="189"/>
  <c r="K33" i="189"/>
  <c r="J33" i="189"/>
  <c r="K32" i="189"/>
  <c r="J32" i="189"/>
  <c r="K31" i="189"/>
  <c r="J31" i="189"/>
  <c r="K30" i="189"/>
  <c r="J30" i="189"/>
  <c r="K29" i="189"/>
  <c r="J29" i="189"/>
  <c r="K28" i="189"/>
  <c r="J28" i="189"/>
  <c r="K27" i="189"/>
  <c r="J27" i="189"/>
  <c r="K26" i="189"/>
  <c r="J26" i="189"/>
  <c r="K25" i="189"/>
  <c r="J25" i="189"/>
  <c r="K24" i="189"/>
  <c r="J24" i="189"/>
  <c r="K23" i="189"/>
  <c r="J23" i="189"/>
  <c r="I484" i="189"/>
  <c r="K22" i="189"/>
  <c r="J22" i="189"/>
  <c r="K21" i="189"/>
  <c r="J21" i="189"/>
  <c r="K20" i="189"/>
  <c r="J20" i="189"/>
  <c r="K19" i="189"/>
  <c r="J19" i="189"/>
  <c r="G156" i="190" s="1"/>
  <c r="I156" i="190" s="1"/>
  <c r="K18" i="189"/>
  <c r="J18" i="189"/>
  <c r="K17" i="189"/>
  <c r="J17" i="189"/>
  <c r="K16" i="189"/>
  <c r="J16" i="189"/>
  <c r="G144" i="190" s="1"/>
  <c r="I144" i="190" s="1"/>
  <c r="K15" i="189"/>
  <c r="J15" i="189"/>
  <c r="G314" i="190" s="1"/>
  <c r="I314" i="190" s="1"/>
  <c r="G314" i="5" s="1"/>
  <c r="L314" i="5" s="1"/>
  <c r="D1105" i="1" s="1"/>
  <c r="D4" i="189"/>
  <c r="C2" i="189"/>
  <c r="I400" i="192" l="1"/>
  <c r="I2" i="192" s="1"/>
  <c r="G400" i="192"/>
  <c r="G2" i="192" s="1"/>
  <c r="M2485" i="1"/>
  <c r="O2645" i="1"/>
  <c r="O2642" i="1" s="1"/>
  <c r="S2642" i="1" s="1"/>
  <c r="M311" i="1"/>
  <c r="Z311" i="1" s="1"/>
  <c r="N3" i="192"/>
  <c r="H34" i="5" s="1"/>
  <c r="M15" i="189"/>
  <c r="M18" i="189"/>
  <c r="O311" i="248"/>
  <c r="R311" i="248" s="1"/>
  <c r="R312" i="248" s="1"/>
  <c r="L19" i="189"/>
  <c r="O521" i="248"/>
  <c r="R521" i="248" s="1"/>
  <c r="M523" i="1"/>
  <c r="R523" i="1" s="1"/>
  <c r="M458" i="1"/>
  <c r="R458" i="1" s="1"/>
  <c r="O456" i="248"/>
  <c r="R456" i="248" s="1"/>
  <c r="M2482" i="1"/>
  <c r="S2482" i="1" s="1"/>
  <c r="O1984" i="248"/>
  <c r="G139" i="190"/>
  <c r="I139" i="190" s="1"/>
  <c r="O646" i="248" s="1"/>
  <c r="R646" i="248" s="1"/>
  <c r="I174" i="190"/>
  <c r="O2001" i="248"/>
  <c r="I175" i="190"/>
  <c r="I172" i="190"/>
  <c r="O1961" i="248"/>
  <c r="S1961" i="248" s="1"/>
  <c r="I173" i="190"/>
  <c r="O1963" i="248"/>
  <c r="S1963" i="248" s="1"/>
  <c r="O636" i="248"/>
  <c r="O2009" i="248"/>
  <c r="O720" i="248"/>
  <c r="R720" i="248" s="1"/>
  <c r="O2012" i="248"/>
  <c r="O2092" i="248"/>
  <c r="O2087" i="248" s="1"/>
  <c r="S2087" i="248" s="1"/>
  <c r="O2063" i="248"/>
  <c r="O2050" i="248"/>
  <c r="O2070" i="248"/>
  <c r="O2006" i="248"/>
  <c r="O2008" i="248"/>
  <c r="O2011" i="248"/>
  <c r="O2056" i="248"/>
  <c r="O2062" i="248"/>
  <c r="O2066" i="248"/>
  <c r="O1087" i="248"/>
  <c r="R1087" i="248" s="1"/>
  <c r="D1084" i="248"/>
  <c r="R652" i="248"/>
  <c r="O649" i="248"/>
  <c r="O2153" i="248"/>
  <c r="O2188" i="248"/>
  <c r="C2188" i="248" s="1"/>
  <c r="O2257" i="248"/>
  <c r="O2245" i="248"/>
  <c r="C2245" i="248" s="1"/>
  <c r="O2262" i="248"/>
  <c r="O2204" i="248"/>
  <c r="O2139" i="248"/>
  <c r="C2139" i="248" s="1"/>
  <c r="R654" i="1"/>
  <c r="M651" i="1"/>
  <c r="V651" i="1" s="1"/>
  <c r="I141" i="190"/>
  <c r="O2061" i="248" s="1"/>
  <c r="M1108" i="1"/>
  <c r="I180" i="190"/>
  <c r="I182" i="190"/>
  <c r="I181" i="190"/>
  <c r="I183" i="190"/>
  <c r="O2494" i="1"/>
  <c r="O2529" i="1"/>
  <c r="O2304" i="1"/>
  <c r="S2304" i="1" s="1"/>
  <c r="F227" i="190"/>
  <c r="I227" i="190" s="1"/>
  <c r="M2243" i="1"/>
  <c r="O2626" i="1"/>
  <c r="S2626" i="1" s="1"/>
  <c r="M2182" i="1"/>
  <c r="M2169" i="1"/>
  <c r="O2329" i="1"/>
  <c r="M2180" i="1"/>
  <c r="O2340" i="1"/>
  <c r="O2345" i="1"/>
  <c r="M2185" i="1"/>
  <c r="M2195" i="1"/>
  <c r="O2355" i="1"/>
  <c r="M2203" i="1"/>
  <c r="O2363" i="1"/>
  <c r="O2433" i="1"/>
  <c r="M2273" i="1"/>
  <c r="O2404" i="1"/>
  <c r="M2244" i="1"/>
  <c r="O2393" i="1"/>
  <c r="M2233" i="1"/>
  <c r="M2241" i="1"/>
  <c r="O2401" i="1"/>
  <c r="M2254" i="1"/>
  <c r="O2414" i="1"/>
  <c r="M2142" i="1"/>
  <c r="S2142" i="1" s="1"/>
  <c r="O2302" i="1"/>
  <c r="S2302" i="1" s="1"/>
  <c r="M2181" i="1"/>
  <c r="O2341" i="1"/>
  <c r="O2346" i="1"/>
  <c r="M2186" i="1"/>
  <c r="O2353" i="1"/>
  <c r="M2193" i="1"/>
  <c r="M2200" i="1"/>
  <c r="O2360" i="1"/>
  <c r="M2237" i="1"/>
  <c r="O2397" i="1"/>
  <c r="M2250" i="1"/>
  <c r="O2410" i="1"/>
  <c r="O2419" i="1"/>
  <c r="M2259" i="1"/>
  <c r="M2144" i="1"/>
  <c r="S2144" i="1" s="1"/>
  <c r="O2312" i="1"/>
  <c r="M2152" i="1"/>
  <c r="M2168" i="1"/>
  <c r="O2328" i="1"/>
  <c r="O2339" i="1"/>
  <c r="M2179" i="1"/>
  <c r="O2344" i="1"/>
  <c r="M2184" i="1"/>
  <c r="O2354" i="1"/>
  <c r="M2194" i="1"/>
  <c r="O2358" i="1"/>
  <c r="M2198" i="1"/>
  <c r="O2362" i="1"/>
  <c r="M2202" i="1"/>
  <c r="M2231" i="1"/>
  <c r="O2395" i="1"/>
  <c r="M2235" i="1"/>
  <c r="M2240" i="1"/>
  <c r="O2400" i="1"/>
  <c r="M2245" i="1"/>
  <c r="O2405" i="1"/>
  <c r="M2248" i="1"/>
  <c r="O2408" i="1"/>
  <c r="M2253" i="1"/>
  <c r="O2413" i="1"/>
  <c r="O2417" i="1"/>
  <c r="M2257" i="1"/>
  <c r="M2261" i="1"/>
  <c r="O2421" i="1"/>
  <c r="O2313" i="1"/>
  <c r="M2153" i="1"/>
  <c r="O2348" i="1"/>
  <c r="M2188" i="1"/>
  <c r="O2350" i="1"/>
  <c r="M2190" i="1"/>
  <c r="M2199" i="1"/>
  <c r="O2359" i="1"/>
  <c r="O2434" i="1"/>
  <c r="M2274" i="1"/>
  <c r="M2246" i="1"/>
  <c r="O2406" i="1"/>
  <c r="O2409" i="1"/>
  <c r="M2249" i="1"/>
  <c r="M2258" i="1"/>
  <c r="O2418" i="1"/>
  <c r="O2314" i="1"/>
  <c r="M2154" i="1"/>
  <c r="O2326" i="1"/>
  <c r="M2166" i="1"/>
  <c r="O2342" i="1"/>
  <c r="O2351" i="1"/>
  <c r="M2191" i="1"/>
  <c r="O2356" i="1"/>
  <c r="M2196" i="1"/>
  <c r="O2364" i="1"/>
  <c r="M2204" i="1"/>
  <c r="M2271" i="1"/>
  <c r="O2431" i="1"/>
  <c r="O2392" i="1"/>
  <c r="M2232" i="1"/>
  <c r="O2398" i="1"/>
  <c r="M2238" i="1"/>
  <c r="M2247" i="1"/>
  <c r="O2407" i="1"/>
  <c r="O2415" i="1"/>
  <c r="M2255" i="1"/>
  <c r="M2151" i="1"/>
  <c r="O2311" i="1"/>
  <c r="M2155" i="1"/>
  <c r="O2315" i="1"/>
  <c r="O2327" i="1"/>
  <c r="M2167" i="1"/>
  <c r="O2343" i="1"/>
  <c r="M2183" i="1"/>
  <c r="M2187" i="1"/>
  <c r="O2347" i="1"/>
  <c r="O2349" i="1"/>
  <c r="M2189" i="1"/>
  <c r="O2352" i="1"/>
  <c r="M2192" i="1"/>
  <c r="M2197" i="1"/>
  <c r="O2357" i="1"/>
  <c r="M2201" i="1"/>
  <c r="O2361" i="1"/>
  <c r="M2205" i="1"/>
  <c r="O2365" i="1"/>
  <c r="M2272" i="1"/>
  <c r="O2432" i="1"/>
  <c r="O2391" i="1"/>
  <c r="O2394" i="1"/>
  <c r="M2234" i="1"/>
  <c r="O2399" i="1"/>
  <c r="M2239" i="1"/>
  <c r="O2403" i="1"/>
  <c r="O2412" i="1"/>
  <c r="M2252" i="1"/>
  <c r="O2416" i="1"/>
  <c r="M2256" i="1"/>
  <c r="M2260" i="1"/>
  <c r="O2420" i="1"/>
  <c r="O2325" i="1"/>
  <c r="M2165" i="1"/>
  <c r="M2251" i="1"/>
  <c r="O2411" i="1"/>
  <c r="M2466" i="1"/>
  <c r="S2466" i="1" s="1"/>
  <c r="M2548" i="1"/>
  <c r="S2548" i="1" s="1"/>
  <c r="O2708" i="1"/>
  <c r="S2708" i="1" s="1"/>
  <c r="O2603" i="1"/>
  <c r="X2603" i="1" s="1"/>
  <c r="O2598" i="1"/>
  <c r="O2586" i="1"/>
  <c r="O2545" i="1"/>
  <c r="M723" i="1"/>
  <c r="R723" i="1" s="1"/>
  <c r="M724" i="1"/>
  <c r="R724" i="1" s="1"/>
  <c r="E100" i="231"/>
  <c r="F100" i="231" s="1"/>
  <c r="G100" i="231" s="1"/>
  <c r="I200" i="190"/>
  <c r="G200" i="5" s="1"/>
  <c r="G397" i="5"/>
  <c r="I355" i="190"/>
  <c r="G355" i="5" s="1"/>
  <c r="G353" i="190"/>
  <c r="I353" i="190" s="1"/>
  <c r="G353" i="5" s="1"/>
  <c r="G395" i="190"/>
  <c r="I395" i="190" s="1"/>
  <c r="G395" i="5" s="1"/>
  <c r="I195" i="190"/>
  <c r="G195" i="5" s="1"/>
  <c r="F252" i="190"/>
  <c r="I252" i="190" s="1"/>
  <c r="F260" i="190"/>
  <c r="I260" i="190" s="1"/>
  <c r="I298" i="190"/>
  <c r="G298" i="5" s="1"/>
  <c r="G20" i="190"/>
  <c r="I20" i="190" s="1"/>
  <c r="O1975" i="248" s="1"/>
  <c r="I365" i="190"/>
  <c r="G365" i="5" s="1"/>
  <c r="I380" i="190"/>
  <c r="G380" i="5" s="1"/>
  <c r="I293" i="190"/>
  <c r="G293" i="5" s="1"/>
  <c r="O722" i="1"/>
  <c r="I222" i="190"/>
  <c r="G222" i="5" s="1"/>
  <c r="I196" i="190"/>
  <c r="G196" i="5" s="1"/>
  <c r="I206" i="190"/>
  <c r="G206" i="5" s="1"/>
  <c r="I218" i="190"/>
  <c r="G218" i="5" s="1"/>
  <c r="G213" i="190"/>
  <c r="I213" i="190" s="1"/>
  <c r="G213" i="5" s="1"/>
  <c r="O638" i="1"/>
  <c r="O635" i="1" s="1"/>
  <c r="I231" i="190"/>
  <c r="F244" i="190"/>
  <c r="I244" i="190" s="1"/>
  <c r="L18" i="189"/>
  <c r="L22" i="189"/>
  <c r="A22" i="189" s="1"/>
  <c r="L24" i="189"/>
  <c r="A24" i="189" s="1"/>
  <c r="G14" i="190"/>
  <c r="I14" i="190" s="1"/>
  <c r="O1969" i="248" s="1"/>
  <c r="G216" i="190"/>
  <c r="I216" i="190" s="1"/>
  <c r="G216" i="5" s="1"/>
  <c r="I369" i="190"/>
  <c r="G369" i="5" s="1"/>
  <c r="G361" i="190"/>
  <c r="I361" i="190" s="1"/>
  <c r="G361" i="5" s="1"/>
  <c r="I375" i="190"/>
  <c r="G375" i="5" s="1"/>
  <c r="I193" i="190"/>
  <c r="G193" i="5" s="1"/>
  <c r="I334" i="190"/>
  <c r="G334" i="5" s="1"/>
  <c r="I249" i="190"/>
  <c r="G249" i="5" s="1"/>
  <c r="I261" i="190"/>
  <c r="G261" i="5" s="1"/>
  <c r="I269" i="190"/>
  <c r="G269" i="5" s="1"/>
  <c r="M17" i="189"/>
  <c r="A17" i="189" s="1"/>
  <c r="G366" i="190"/>
  <c r="I366" i="190" s="1"/>
  <c r="G366" i="5" s="1"/>
  <c r="L16" i="189"/>
  <c r="A16" i="189" s="1"/>
  <c r="L15" i="189"/>
  <c r="I373" i="190"/>
  <c r="G373" i="5" s="1"/>
  <c r="I176" i="190"/>
  <c r="F8" i="189"/>
  <c r="D8" i="189" s="1"/>
  <c r="I177" i="190"/>
  <c r="I178" i="190"/>
  <c r="G10" i="190"/>
  <c r="I10" i="190" s="1"/>
  <c r="O1968" i="248" s="1"/>
  <c r="I359" i="190"/>
  <c r="G359" i="5" s="1"/>
  <c r="I197" i="190"/>
  <c r="G197" i="5" s="1"/>
  <c r="I219" i="190"/>
  <c r="G219" i="5" s="1"/>
  <c r="I291" i="190"/>
  <c r="I299" i="190"/>
  <c r="G299" i="5" s="1"/>
  <c r="I215" i="190"/>
  <c r="G215" i="5" s="1"/>
  <c r="I302" i="190"/>
  <c r="G302" i="5" s="1"/>
  <c r="I368" i="190"/>
  <c r="G368" i="5" s="1"/>
  <c r="I297" i="190"/>
  <c r="I347" i="190"/>
  <c r="G347" i="5" s="1"/>
  <c r="I226" i="190"/>
  <c r="I254" i="190"/>
  <c r="G254" i="5" s="1"/>
  <c r="I327" i="190"/>
  <c r="G327" i="5" s="1"/>
  <c r="I360" i="190"/>
  <c r="G360" i="5" s="1"/>
  <c r="I396" i="190"/>
  <c r="I192" i="190"/>
  <c r="G192" i="5" s="1"/>
  <c r="I294" i="190"/>
  <c r="G294" i="5" s="1"/>
  <c r="I332" i="190"/>
  <c r="G332" i="5" s="1"/>
  <c r="I335" i="190"/>
  <c r="G335" i="5" s="1"/>
  <c r="I356" i="190"/>
  <c r="G356" i="5" s="1"/>
  <c r="I388" i="190"/>
  <c r="G388" i="5" s="1"/>
  <c r="I387" i="190"/>
  <c r="G387" i="5" s="1"/>
  <c r="I391" i="190"/>
  <c r="G391" i="5" s="1"/>
  <c r="I301" i="190"/>
  <c r="G301" i="5" s="1"/>
  <c r="I367" i="190"/>
  <c r="G367" i="5" s="1"/>
  <c r="I383" i="190"/>
  <c r="I330" i="190"/>
  <c r="G330" i="5" s="1"/>
  <c r="I191" i="190"/>
  <c r="I199" i="190"/>
  <c r="G199" i="5" s="1"/>
  <c r="I217" i="190"/>
  <c r="G217" i="5" s="1"/>
  <c r="I239" i="190"/>
  <c r="I336" i="190"/>
  <c r="F384" i="190"/>
  <c r="I384" i="190" s="1"/>
  <c r="I203" i="190"/>
  <c r="G203" i="5" s="1"/>
  <c r="I221" i="190"/>
  <c r="G221" i="5" s="1"/>
  <c r="I214" i="190"/>
  <c r="G214" i="5" s="1"/>
  <c r="I225" i="190"/>
  <c r="G225" i="5" s="1"/>
  <c r="F256" i="190"/>
  <c r="I256" i="190" s="1"/>
  <c r="F264" i="190"/>
  <c r="I264" i="190" s="1"/>
  <c r="I338" i="190"/>
  <c r="G338" i="5" s="1"/>
  <c r="I343" i="190"/>
  <c r="G343" i="5" s="1"/>
  <c r="I194" i="190"/>
  <c r="G194" i="5" s="1"/>
  <c r="I341" i="190"/>
  <c r="G341" i="5" s="1"/>
  <c r="I354" i="190"/>
  <c r="G354" i="5" s="1"/>
  <c r="I370" i="190"/>
  <c r="G370" i="5" s="1"/>
  <c r="I374" i="190"/>
  <c r="G374" i="5" s="1"/>
  <c r="F240" i="190"/>
  <c r="I240" i="190" s="1"/>
  <c r="F248" i="190"/>
  <c r="I248" i="190" s="1"/>
  <c r="F268" i="190"/>
  <c r="I268" i="190" s="1"/>
  <c r="I233" i="190"/>
  <c r="G233" i="5" s="1"/>
  <c r="I246" i="190"/>
  <c r="G246" i="5" s="1"/>
  <c r="I378" i="190"/>
  <c r="G378" i="5" s="1"/>
  <c r="I296" i="190"/>
  <c r="G296" i="5" s="1"/>
  <c r="I345" i="190"/>
  <c r="G345" i="5" s="1"/>
  <c r="I393" i="190"/>
  <c r="G393" i="5" s="1"/>
  <c r="I224" i="190"/>
  <c r="G224" i="5" s="1"/>
  <c r="I228" i="190"/>
  <c r="G228" i="5" s="1"/>
  <c r="I253" i="190"/>
  <c r="G253" i="5" s="1"/>
  <c r="I265" i="190"/>
  <c r="G265" i="5" s="1"/>
  <c r="I292" i="190"/>
  <c r="G292" i="5" s="1"/>
  <c r="I346" i="190"/>
  <c r="G346" i="5" s="1"/>
  <c r="I377" i="190"/>
  <c r="I381" i="190"/>
  <c r="G381" i="5" s="1"/>
  <c r="I220" i="190"/>
  <c r="G220" i="5" s="1"/>
  <c r="I245" i="190"/>
  <c r="G245" i="5" s="1"/>
  <c r="I262" i="190"/>
  <c r="G262" i="5" s="1"/>
  <c r="I210" i="190"/>
  <c r="G210" i="5" s="1"/>
  <c r="D400" i="190"/>
  <c r="D2" i="190" s="1"/>
  <c r="H2" i="190" s="1"/>
  <c r="I190" i="190"/>
  <c r="I198" i="190"/>
  <c r="G198" i="5" s="1"/>
  <c r="I201" i="190"/>
  <c r="G201" i="5" s="1"/>
  <c r="I208" i="190"/>
  <c r="I209" i="190"/>
  <c r="G209" i="5" s="1"/>
  <c r="I223" i="190"/>
  <c r="G223" i="5" s="1"/>
  <c r="K400" i="190"/>
  <c r="K2" i="190" s="1"/>
  <c r="I202" i="190"/>
  <c r="G202" i="5" s="1"/>
  <c r="I207" i="190"/>
  <c r="I211" i="190"/>
  <c r="G211" i="5" s="1"/>
  <c r="I212" i="190"/>
  <c r="G212" i="5" s="1"/>
  <c r="I358" i="190"/>
  <c r="G358" i="5" s="1"/>
  <c r="I363" i="190"/>
  <c r="G363" i="5" s="1"/>
  <c r="I392" i="190"/>
  <c r="G392" i="5" s="1"/>
  <c r="I295" i="190"/>
  <c r="G295" i="5" s="1"/>
  <c r="I300" i="190"/>
  <c r="G300" i="5" s="1"/>
  <c r="I340" i="190"/>
  <c r="G340" i="5" s="1"/>
  <c r="I344" i="190"/>
  <c r="G344" i="5" s="1"/>
  <c r="I362" i="190"/>
  <c r="G362" i="5" s="1"/>
  <c r="I379" i="190"/>
  <c r="G379" i="5" s="1"/>
  <c r="I382" i="190"/>
  <c r="G382" i="5" s="1"/>
  <c r="I371" i="190"/>
  <c r="G371" i="5" s="1"/>
  <c r="A71" i="189"/>
  <c r="A260" i="189"/>
  <c r="A472" i="189"/>
  <c r="A473" i="189"/>
  <c r="A51" i="189"/>
  <c r="A248" i="189"/>
  <c r="A256" i="189"/>
  <c r="A424" i="189"/>
  <c r="A452" i="189"/>
  <c r="A468" i="189"/>
  <c r="A164" i="189"/>
  <c r="A181" i="189"/>
  <c r="A205" i="189"/>
  <c r="A220" i="189"/>
  <c r="A224" i="189"/>
  <c r="A226" i="189"/>
  <c r="A227" i="189"/>
  <c r="A229" i="189"/>
  <c r="A230" i="189"/>
  <c r="A231" i="189"/>
  <c r="A232" i="189"/>
  <c r="A234" i="189"/>
  <c r="A235" i="189"/>
  <c r="A236" i="189"/>
  <c r="A237" i="189"/>
  <c r="A245" i="189"/>
  <c r="A246" i="189"/>
  <c r="A247" i="189"/>
  <c r="A309" i="189"/>
  <c r="A333" i="189"/>
  <c r="A389" i="189"/>
  <c r="A396" i="189"/>
  <c r="A400" i="189"/>
  <c r="A402" i="189"/>
  <c r="A403" i="189"/>
  <c r="A404" i="189"/>
  <c r="A405" i="189"/>
  <c r="A406" i="189"/>
  <c r="A407" i="189"/>
  <c r="A408" i="189"/>
  <c r="A412" i="189"/>
  <c r="A79" i="189"/>
  <c r="A95" i="189"/>
  <c r="A97" i="189"/>
  <c r="A98" i="189"/>
  <c r="A103" i="189"/>
  <c r="A105" i="189"/>
  <c r="A106" i="189"/>
  <c r="A107" i="189"/>
  <c r="A109" i="189"/>
  <c r="A110" i="189"/>
  <c r="A111" i="189"/>
  <c r="A113" i="189"/>
  <c r="A114" i="189"/>
  <c r="A115" i="189"/>
  <c r="A119" i="189"/>
  <c r="A143" i="189"/>
  <c r="A145" i="189"/>
  <c r="A146" i="189"/>
  <c r="A147" i="189"/>
  <c r="A148" i="189"/>
  <c r="A153" i="189"/>
  <c r="A156" i="189"/>
  <c r="A158" i="189"/>
  <c r="A159" i="189"/>
  <c r="A160" i="189"/>
  <c r="A162" i="189"/>
  <c r="A163" i="189"/>
  <c r="A277" i="189"/>
  <c r="A292" i="189"/>
  <c r="A293" i="189"/>
  <c r="A300" i="189"/>
  <c r="A336" i="189"/>
  <c r="A376" i="189"/>
  <c r="A84" i="189"/>
  <c r="A63" i="189"/>
  <c r="A65" i="189"/>
  <c r="A316" i="189"/>
  <c r="A318" i="189"/>
  <c r="A319" i="189"/>
  <c r="A323" i="189"/>
  <c r="A326" i="189"/>
  <c r="A328" i="189"/>
  <c r="A331" i="189"/>
  <c r="A438" i="189"/>
  <c r="A444" i="189"/>
  <c r="A447" i="189"/>
  <c r="A127" i="189"/>
  <c r="A184" i="189"/>
  <c r="A192" i="189"/>
  <c r="A194" i="189"/>
  <c r="A195" i="189"/>
  <c r="A197" i="189"/>
  <c r="A198" i="189"/>
  <c r="A199" i="189"/>
  <c r="A200" i="189"/>
  <c r="A202" i="189"/>
  <c r="A203" i="189"/>
  <c r="A204" i="189"/>
  <c r="A261" i="189"/>
  <c r="A262" i="189"/>
  <c r="A263" i="189"/>
  <c r="A264" i="189"/>
  <c r="A266" i="189"/>
  <c r="A267" i="189"/>
  <c r="A268" i="189"/>
  <c r="A272" i="189"/>
  <c r="A274" i="189"/>
  <c r="A275" i="189"/>
  <c r="A276" i="189"/>
  <c r="A352" i="189"/>
  <c r="A354" i="189"/>
  <c r="A355" i="189"/>
  <c r="A364" i="189"/>
  <c r="A368" i="189"/>
  <c r="A370" i="189"/>
  <c r="A371" i="189"/>
  <c r="A372" i="189"/>
  <c r="A373" i="189"/>
  <c r="A374" i="189"/>
  <c r="A375" i="189"/>
  <c r="A83" i="189"/>
  <c r="A55" i="189"/>
  <c r="A66" i="189"/>
  <c r="A280" i="189"/>
  <c r="A312" i="189"/>
  <c r="A317" i="189"/>
  <c r="A320" i="189"/>
  <c r="A322" i="189"/>
  <c r="A325" i="189"/>
  <c r="A327" i="189"/>
  <c r="A330" i="189"/>
  <c r="A332" i="189"/>
  <c r="A436" i="189"/>
  <c r="A439" i="189"/>
  <c r="A446" i="189"/>
  <c r="A448" i="189"/>
  <c r="A450" i="189"/>
  <c r="A451" i="189"/>
  <c r="A99" i="189"/>
  <c r="A100" i="189"/>
  <c r="A185" i="189"/>
  <c r="A196" i="189"/>
  <c r="A313" i="189"/>
  <c r="A397" i="189"/>
  <c r="A52" i="189"/>
  <c r="A56" i="189"/>
  <c r="A60" i="189"/>
  <c r="A131" i="189"/>
  <c r="A132" i="189"/>
  <c r="A228" i="189"/>
  <c r="A281" i="189"/>
  <c r="A337" i="189"/>
  <c r="A344" i="189"/>
  <c r="A345" i="189"/>
  <c r="A356" i="189"/>
  <c r="A361" i="189"/>
  <c r="A365" i="189"/>
  <c r="A425" i="189"/>
  <c r="A428" i="189"/>
  <c r="A429" i="189"/>
  <c r="A433" i="189"/>
  <c r="A440" i="189"/>
  <c r="A441" i="189"/>
  <c r="A27" i="189"/>
  <c r="A31" i="189"/>
  <c r="A32" i="189"/>
  <c r="A44" i="189"/>
  <c r="A81" i="189"/>
  <c r="A82" i="189"/>
  <c r="A87" i="189"/>
  <c r="A89" i="189"/>
  <c r="A90" i="189"/>
  <c r="A91" i="189"/>
  <c r="A93" i="189"/>
  <c r="A94" i="189"/>
  <c r="A120" i="189"/>
  <c r="A124" i="189"/>
  <c r="A129" i="189"/>
  <c r="A130" i="189"/>
  <c r="A135" i="189"/>
  <c r="A137" i="189"/>
  <c r="A138" i="189"/>
  <c r="A139" i="189"/>
  <c r="A141" i="189"/>
  <c r="A142" i="189"/>
  <c r="A165" i="189"/>
  <c r="A169" i="189"/>
  <c r="A173" i="189"/>
  <c r="A182" i="189"/>
  <c r="A183" i="189"/>
  <c r="A208" i="189"/>
  <c r="A209" i="189"/>
  <c r="A216" i="189"/>
  <c r="A217" i="189"/>
  <c r="A221" i="189"/>
  <c r="A222" i="189"/>
  <c r="A223" i="189"/>
  <c r="A249" i="189"/>
  <c r="A252" i="189"/>
  <c r="A258" i="189"/>
  <c r="A259" i="189"/>
  <c r="A284" i="189"/>
  <c r="A285" i="189"/>
  <c r="A286" i="189"/>
  <c r="A287" i="189"/>
  <c r="A288" i="189"/>
  <c r="A290" i="189"/>
  <c r="A291" i="189"/>
  <c r="A301" i="189"/>
  <c r="A310" i="189"/>
  <c r="A311" i="189"/>
  <c r="A341" i="189"/>
  <c r="A342" i="189"/>
  <c r="A343" i="189"/>
  <c r="A348" i="189"/>
  <c r="A349" i="189"/>
  <c r="A350" i="189"/>
  <c r="A351" i="189"/>
  <c r="A377" i="189"/>
  <c r="A380" i="189"/>
  <c r="A388" i="189"/>
  <c r="A390" i="189"/>
  <c r="A391" i="189"/>
  <c r="A392" i="189"/>
  <c r="A394" i="189"/>
  <c r="A395" i="189"/>
  <c r="A413" i="189"/>
  <c r="A417" i="189"/>
  <c r="A456" i="189"/>
  <c r="A457" i="189"/>
  <c r="A470" i="189"/>
  <c r="A471" i="189"/>
  <c r="A476" i="189"/>
  <c r="A478" i="189"/>
  <c r="A479" i="189"/>
  <c r="A480" i="189"/>
  <c r="A482" i="189"/>
  <c r="A47" i="189"/>
  <c r="A49" i="189"/>
  <c r="A50" i="189"/>
  <c r="A67" i="189"/>
  <c r="A68" i="189"/>
  <c r="A73" i="189"/>
  <c r="A74" i="189"/>
  <c r="A75" i="189"/>
  <c r="A77" i="189"/>
  <c r="A78" i="189"/>
  <c r="A116" i="189"/>
  <c r="A149" i="189"/>
  <c r="A172" i="189"/>
  <c r="A176" i="189"/>
  <c r="A178" i="189"/>
  <c r="A179" i="189"/>
  <c r="A180" i="189"/>
  <c r="A213" i="189"/>
  <c r="A214" i="189"/>
  <c r="A215" i="189"/>
  <c r="A240" i="189"/>
  <c r="A241" i="189"/>
  <c r="A269" i="189"/>
  <c r="A278" i="189"/>
  <c r="A279" i="189"/>
  <c r="A297" i="189"/>
  <c r="A304" i="189"/>
  <c r="A306" i="189"/>
  <c r="A307" i="189"/>
  <c r="A308" i="189"/>
  <c r="A324" i="189"/>
  <c r="A384" i="189"/>
  <c r="A386" i="189"/>
  <c r="A387" i="189"/>
  <c r="A409" i="189"/>
  <c r="A420" i="189"/>
  <c r="A422" i="189"/>
  <c r="A423" i="189"/>
  <c r="A454" i="189"/>
  <c r="A455" i="189"/>
  <c r="A460" i="189"/>
  <c r="A462" i="189"/>
  <c r="A463" i="189"/>
  <c r="A464" i="189"/>
  <c r="A466" i="189"/>
  <c r="A467" i="189"/>
  <c r="A108" i="189"/>
  <c r="A401" i="189"/>
  <c r="A477" i="189"/>
  <c r="A481" i="189"/>
  <c r="A88" i="189"/>
  <c r="A92" i="189"/>
  <c r="A104" i="189"/>
  <c r="A35" i="189"/>
  <c r="A37" i="189"/>
  <c r="A38" i="189"/>
  <c r="A39" i="189"/>
  <c r="A41" i="189"/>
  <c r="A42" i="189"/>
  <c r="A43" i="189"/>
  <c r="A45" i="189"/>
  <c r="A46" i="189"/>
  <c r="A154" i="189"/>
  <c r="A233" i="189"/>
  <c r="A157" i="189"/>
  <c r="A273" i="189"/>
  <c r="A329" i="189"/>
  <c r="A461" i="189"/>
  <c r="A465" i="189"/>
  <c r="A57" i="189"/>
  <c r="A58" i="189"/>
  <c r="A59" i="189"/>
  <c r="A61" i="189"/>
  <c r="A62" i="189"/>
  <c r="A72" i="189"/>
  <c r="A76" i="189"/>
  <c r="A121" i="189"/>
  <c r="A122" i="189"/>
  <c r="A123" i="189"/>
  <c r="A125" i="189"/>
  <c r="A126" i="189"/>
  <c r="A136" i="189"/>
  <c r="A140" i="189"/>
  <c r="A188" i="189"/>
  <c r="A189" i="189"/>
  <c r="A190" i="189"/>
  <c r="A191" i="189"/>
  <c r="A201" i="189"/>
  <c r="A242" i="189"/>
  <c r="A243" i="189"/>
  <c r="A244" i="189"/>
  <c r="A357" i="189"/>
  <c r="A358" i="189"/>
  <c r="A359" i="189"/>
  <c r="A360" i="189"/>
  <c r="A362" i="189"/>
  <c r="A363" i="189"/>
  <c r="A369" i="189"/>
  <c r="A414" i="189"/>
  <c r="A415" i="189"/>
  <c r="A416" i="189"/>
  <c r="A418" i="189"/>
  <c r="A419" i="189"/>
  <c r="A21" i="189"/>
  <c r="A23" i="189"/>
  <c r="A26" i="189"/>
  <c r="A48" i="189"/>
  <c r="A53" i="189"/>
  <c r="A54" i="189"/>
  <c r="A64" i="189"/>
  <c r="A69" i="189"/>
  <c r="A70" i="189"/>
  <c r="A80" i="189"/>
  <c r="A85" i="189"/>
  <c r="A86" i="189"/>
  <c r="A96" i="189"/>
  <c r="A101" i="189"/>
  <c r="A102" i="189"/>
  <c r="A112" i="189"/>
  <c r="A117" i="189"/>
  <c r="A118" i="189"/>
  <c r="A128" i="189"/>
  <c r="A133" i="189"/>
  <c r="A134" i="189"/>
  <c r="A166" i="189"/>
  <c r="A167" i="189"/>
  <c r="A168" i="189"/>
  <c r="A170" i="189"/>
  <c r="A171" i="189"/>
  <c r="A177" i="189"/>
  <c r="A210" i="189"/>
  <c r="A211" i="189"/>
  <c r="A212" i="189"/>
  <c r="A253" i="189"/>
  <c r="A254" i="189"/>
  <c r="A255" i="189"/>
  <c r="A265" i="189"/>
  <c r="A294" i="189"/>
  <c r="A295" i="189"/>
  <c r="A296" i="189"/>
  <c r="A298" i="189"/>
  <c r="A299" i="189"/>
  <c r="A305" i="189"/>
  <c r="A338" i="189"/>
  <c r="A339" i="189"/>
  <c r="A340" i="189"/>
  <c r="A381" i="189"/>
  <c r="A382" i="189"/>
  <c r="A383" i="189"/>
  <c r="A393" i="189"/>
  <c r="A430" i="189"/>
  <c r="A431" i="189"/>
  <c r="A432" i="189"/>
  <c r="A434" i="189"/>
  <c r="A435" i="189"/>
  <c r="A445" i="189"/>
  <c r="A449" i="189"/>
  <c r="A144" i="189"/>
  <c r="A150" i="189"/>
  <c r="A151" i="189"/>
  <c r="A152" i="189"/>
  <c r="A161" i="189"/>
  <c r="A174" i="189"/>
  <c r="A175" i="189"/>
  <c r="A186" i="189"/>
  <c r="A187" i="189"/>
  <c r="A193" i="189"/>
  <c r="A206" i="189"/>
  <c r="A207" i="189"/>
  <c r="A218" i="189"/>
  <c r="A219" i="189"/>
  <c r="A225" i="189"/>
  <c r="A238" i="189"/>
  <c r="A239" i="189"/>
  <c r="A250" i="189"/>
  <c r="A251" i="189"/>
  <c r="A257" i="189"/>
  <c r="A270" i="189"/>
  <c r="A271" i="189"/>
  <c r="A282" i="189"/>
  <c r="A283" i="189"/>
  <c r="A289" i="189"/>
  <c r="A302" i="189"/>
  <c r="A303" i="189"/>
  <c r="A314" i="189"/>
  <c r="A315" i="189"/>
  <c r="A321" i="189"/>
  <c r="A334" i="189"/>
  <c r="A335" i="189"/>
  <c r="A346" i="189"/>
  <c r="A347" i="189"/>
  <c r="A353" i="189"/>
  <c r="A366" i="189"/>
  <c r="A367" i="189"/>
  <c r="A378" i="189"/>
  <c r="A379" i="189"/>
  <c r="A385" i="189"/>
  <c r="A398" i="189"/>
  <c r="A399" i="189"/>
  <c r="A410" i="189"/>
  <c r="A411" i="189"/>
  <c r="A421" i="189"/>
  <c r="A426" i="189"/>
  <c r="A427" i="189"/>
  <c r="A437" i="189"/>
  <c r="A442" i="189"/>
  <c r="A443" i="189"/>
  <c r="A453" i="189"/>
  <c r="A458" i="189"/>
  <c r="A459" i="189"/>
  <c r="A469" i="189"/>
  <c r="A474" i="189"/>
  <c r="A475" i="189"/>
  <c r="A19" i="189"/>
  <c r="A20" i="189"/>
  <c r="A25" i="189"/>
  <c r="A29" i="189"/>
  <c r="A30" i="189"/>
  <c r="A40" i="189"/>
  <c r="F486" i="189"/>
  <c r="F9" i="189" s="1"/>
  <c r="A36" i="189"/>
  <c r="A28" i="189"/>
  <c r="A33" i="189"/>
  <c r="A34" i="189"/>
  <c r="A155" i="189"/>
  <c r="U311" i="248" l="1"/>
  <c r="W311" i="248"/>
  <c r="D311" i="248" s="1"/>
  <c r="S311" i="248"/>
  <c r="R311" i="1"/>
  <c r="R312" i="1" s="1"/>
  <c r="S311" i="1"/>
  <c r="Y311" i="1"/>
  <c r="D311" i="1" s="1"/>
  <c r="A15" i="189"/>
  <c r="A18" i="189"/>
  <c r="O2099" i="248"/>
  <c r="S2099" i="248" s="1"/>
  <c r="O2440" i="1"/>
  <c r="S2440" i="1" s="1"/>
  <c r="O2654" i="1"/>
  <c r="O1981" i="248"/>
  <c r="S1981" i="248" s="1"/>
  <c r="M2529" i="1"/>
  <c r="Z2529" i="1" s="1"/>
  <c r="O2322" i="1"/>
  <c r="M2162" i="1"/>
  <c r="N3" i="190"/>
  <c r="G33" i="5" s="1"/>
  <c r="M2280" i="1"/>
  <c r="S2280" i="1" s="1"/>
  <c r="O1965" i="248"/>
  <c r="S1965" i="248" s="1"/>
  <c r="O1979" i="248" s="1"/>
  <c r="C1979" i="248" s="1"/>
  <c r="O1995" i="248"/>
  <c r="S1995" i="248" s="1"/>
  <c r="O2047" i="248"/>
  <c r="S2047" i="248" s="1"/>
  <c r="R636" i="248"/>
  <c r="O633" i="248"/>
  <c r="O309" i="248"/>
  <c r="O1084" i="248"/>
  <c r="R1084" i="248" s="1"/>
  <c r="U649" i="248"/>
  <c r="S649" i="248"/>
  <c r="R649" i="248"/>
  <c r="C2204" i="248"/>
  <c r="U2204" i="248"/>
  <c r="C2262" i="248"/>
  <c r="R2109" i="248"/>
  <c r="U635" i="1"/>
  <c r="X635" i="1"/>
  <c r="R651" i="1"/>
  <c r="S651" i="1"/>
  <c r="M309" i="1"/>
  <c r="Z309" i="1" s="1"/>
  <c r="O2402" i="1"/>
  <c r="O2388" i="1" s="1"/>
  <c r="S2388" i="1" s="1"/>
  <c r="M2242" i="1"/>
  <c r="M2228" i="1" s="1"/>
  <c r="S2228" i="1" s="1"/>
  <c r="R1108" i="1"/>
  <c r="M1105" i="1"/>
  <c r="Y2529" i="1"/>
  <c r="O2316" i="1"/>
  <c r="O2689" i="1"/>
  <c r="C2689" i="1" s="1"/>
  <c r="O2640" i="1"/>
  <c r="C2640" i="1" s="1"/>
  <c r="O2705" i="1"/>
  <c r="C2705" i="1" s="1"/>
  <c r="O2763" i="1"/>
  <c r="O2746" i="1"/>
  <c r="C2746" i="1" s="1"/>
  <c r="M2494" i="1"/>
  <c r="O2428" i="1"/>
  <c r="S2428" i="1" s="1"/>
  <c r="S2322" i="1"/>
  <c r="S2162" i="1"/>
  <c r="M2150" i="1"/>
  <c r="O2310" i="1"/>
  <c r="M2268" i="1"/>
  <c r="S2268" i="1" s="1"/>
  <c r="O2336" i="1"/>
  <c r="S2336" i="1" s="1"/>
  <c r="O2309" i="1"/>
  <c r="M2149" i="1"/>
  <c r="M2176" i="1"/>
  <c r="S2176" i="1" s="1"/>
  <c r="M2156" i="1"/>
  <c r="O2758" i="1"/>
  <c r="M2603" i="1"/>
  <c r="V2603" i="1" s="1"/>
  <c r="M2586" i="1"/>
  <c r="Y2586" i="1" s="1"/>
  <c r="M2598" i="1"/>
  <c r="M2545" i="1"/>
  <c r="Z2545" i="1" s="1"/>
  <c r="M2480" i="1"/>
  <c r="Z2480" i="1" s="1"/>
  <c r="X2545" i="1"/>
  <c r="M639" i="1"/>
  <c r="R639" i="1" s="1"/>
  <c r="M648" i="1"/>
  <c r="R648" i="1" s="1"/>
  <c r="M641" i="1"/>
  <c r="R641" i="1" s="1"/>
  <c r="M642" i="1"/>
  <c r="R642" i="1" s="1"/>
  <c r="M647" i="1"/>
  <c r="R647" i="1" s="1"/>
  <c r="M638" i="1"/>
  <c r="M643" i="1"/>
  <c r="R643" i="1" s="1"/>
  <c r="M640" i="1"/>
  <c r="R640" i="1" s="1"/>
  <c r="E101" i="231"/>
  <c r="F101" i="231" s="1"/>
  <c r="G101" i="231" s="1"/>
  <c r="M722" i="1"/>
  <c r="R722" i="1" s="1"/>
  <c r="G400" i="190"/>
  <c r="G2" i="190" s="1"/>
  <c r="F400" i="190"/>
  <c r="D632" i="1"/>
  <c r="D631" i="1"/>
  <c r="D627" i="1"/>
  <c r="D626" i="1"/>
  <c r="D625" i="1"/>
  <c r="D624" i="1"/>
  <c r="D623" i="1"/>
  <c r="D622" i="1"/>
  <c r="D721" i="1"/>
  <c r="D720" i="1"/>
  <c r="D719" i="1"/>
  <c r="C2763" i="1" l="1"/>
  <c r="V2763" i="1"/>
  <c r="R2241" i="248"/>
  <c r="R2149" i="248"/>
  <c r="C2529" i="1"/>
  <c r="R2221" i="248"/>
  <c r="O2028" i="248"/>
  <c r="C2028" i="248" s="1"/>
  <c r="O1993" i="248"/>
  <c r="S1084" i="248"/>
  <c r="O2044" i="248"/>
  <c r="C2044" i="248" s="1"/>
  <c r="O2102" i="248"/>
  <c r="U309" i="248" s="1"/>
  <c r="O2085" i="248"/>
  <c r="C2085" i="248" s="1"/>
  <c r="O2097" i="248"/>
  <c r="S309" i="248"/>
  <c r="R309" i="248"/>
  <c r="R310" i="248" s="1"/>
  <c r="W309" i="248"/>
  <c r="D309" i="248" s="1"/>
  <c r="U633" i="248"/>
  <c r="S633" i="248"/>
  <c r="R633" i="248"/>
  <c r="R2264" i="248"/>
  <c r="R2238" i="248"/>
  <c r="R2227" i="248"/>
  <c r="R2219" i="248"/>
  <c r="R2200" i="248"/>
  <c r="R2186" i="248"/>
  <c r="R2172" i="248"/>
  <c r="R2134" i="248"/>
  <c r="R2114" i="248"/>
  <c r="R2253" i="248"/>
  <c r="R2231" i="248"/>
  <c r="R2204" i="248"/>
  <c r="R2191" i="248"/>
  <c r="R2168" i="248"/>
  <c r="R2146" i="248"/>
  <c r="R2119" i="248"/>
  <c r="R2266" i="248"/>
  <c r="R2240" i="248"/>
  <c r="R2226" i="248"/>
  <c r="R2218" i="248"/>
  <c r="R2190" i="248"/>
  <c r="R2173" i="248"/>
  <c r="R2158" i="248"/>
  <c r="R2125" i="248"/>
  <c r="R2265" i="248"/>
  <c r="R2148" i="248"/>
  <c r="R2195" i="248"/>
  <c r="R2144" i="248"/>
  <c r="R2198" i="248"/>
  <c r="R2112" i="248"/>
  <c r="R2244" i="248"/>
  <c r="R2201" i="248"/>
  <c r="R2259" i="248"/>
  <c r="R2234" i="248"/>
  <c r="R2225" i="248"/>
  <c r="R2217" i="248"/>
  <c r="R2197" i="248"/>
  <c r="R2182" i="248"/>
  <c r="R2170" i="248"/>
  <c r="R2130" i="248"/>
  <c r="R2267" i="248"/>
  <c r="R2251" i="248"/>
  <c r="R2215" i="248"/>
  <c r="R2202" i="248"/>
  <c r="R2183" i="248"/>
  <c r="R2166" i="248"/>
  <c r="R2141" i="248"/>
  <c r="R2116" i="248"/>
  <c r="R2262" i="248"/>
  <c r="R2224" i="248"/>
  <c r="R2216" i="248"/>
  <c r="R2184" i="248"/>
  <c r="R2171" i="248"/>
  <c r="R2147" i="248"/>
  <c r="R2123" i="248"/>
  <c r="R2124" i="248" s="1"/>
  <c r="R2210" i="248"/>
  <c r="R2245" i="248"/>
  <c r="R2189" i="248"/>
  <c r="R2115" i="248"/>
  <c r="R2165" i="248"/>
  <c r="R2250" i="248"/>
  <c r="R2163" i="248"/>
  <c r="R2187" i="248"/>
  <c r="R2260" i="248"/>
  <c r="R2121" i="248"/>
  <c r="R2122" i="248" s="1"/>
  <c r="R2129" i="248"/>
  <c r="R2155" i="248"/>
  <c r="R2268" i="248"/>
  <c r="R2243" i="248"/>
  <c r="R2229" i="248"/>
  <c r="R2222" i="248"/>
  <c r="R2203" i="248"/>
  <c r="R2188" i="248"/>
  <c r="R2174" i="248"/>
  <c r="R2145" i="248"/>
  <c r="R2117" i="248"/>
  <c r="R2261" i="248"/>
  <c r="R2235" i="248"/>
  <c r="R2211" i="248"/>
  <c r="R2196" i="248"/>
  <c r="R2175" i="248"/>
  <c r="R2162" i="248"/>
  <c r="R2128" i="248"/>
  <c r="R2111" i="248"/>
  <c r="R2246" i="248"/>
  <c r="R2228" i="248"/>
  <c r="R2220" i="248"/>
  <c r="R2194" i="248"/>
  <c r="R2176" i="248"/>
  <c r="R2160" i="248"/>
  <c r="R2132" i="248"/>
  <c r="R2110" i="248"/>
  <c r="R2167" i="248"/>
  <c r="R2212" i="248"/>
  <c r="R2161" i="248"/>
  <c r="R2205" i="248"/>
  <c r="R2118" i="248"/>
  <c r="R2133" i="248"/>
  <c r="R2214" i="248"/>
  <c r="R2236" i="248"/>
  <c r="R2247" i="248"/>
  <c r="R2230" i="248"/>
  <c r="R2223" i="248"/>
  <c r="R2207" i="248"/>
  <c r="R2192" i="248"/>
  <c r="R2178" i="248"/>
  <c r="R2159" i="248"/>
  <c r="R2120" i="248"/>
  <c r="R2263" i="248"/>
  <c r="R2239" i="248"/>
  <c r="R2213" i="248"/>
  <c r="R2199" i="248"/>
  <c r="R2179" i="248"/>
  <c r="R2164" i="248"/>
  <c r="R2131" i="248"/>
  <c r="R2113" i="248"/>
  <c r="R2232" i="248"/>
  <c r="R2206" i="248"/>
  <c r="R2180" i="248"/>
  <c r="R2169" i="248"/>
  <c r="R2135" i="248"/>
  <c r="R2193" i="248"/>
  <c r="R2237" i="248"/>
  <c r="R2181" i="248"/>
  <c r="R2252" i="248"/>
  <c r="R2177" i="248"/>
  <c r="R2233" i="248"/>
  <c r="R650" i="248"/>
  <c r="R651" i="248"/>
  <c r="R663" i="248"/>
  <c r="R1086" i="248"/>
  <c r="R1093" i="248"/>
  <c r="R1092" i="248"/>
  <c r="R1085" i="248"/>
  <c r="R665" i="1"/>
  <c r="R653" i="1"/>
  <c r="R652" i="1"/>
  <c r="R638" i="1"/>
  <c r="M635" i="1"/>
  <c r="V635" i="1" s="1"/>
  <c r="Z2603" i="1"/>
  <c r="Y309" i="1"/>
  <c r="D309" i="1" s="1"/>
  <c r="R309" i="1"/>
  <c r="R310" i="1" s="1"/>
  <c r="S309" i="1"/>
  <c r="R2450" i="1"/>
  <c r="R2490" i="1" s="1"/>
  <c r="R1105" i="1"/>
  <c r="S1105" i="1"/>
  <c r="R2610" i="1"/>
  <c r="V2705" i="1"/>
  <c r="Y2480" i="1"/>
  <c r="C2480" i="1" s="1"/>
  <c r="M2146" i="1"/>
  <c r="S2146" i="1" s="1"/>
  <c r="M2266" i="1" s="1"/>
  <c r="O2306" i="1"/>
  <c r="S2306" i="1" s="1"/>
  <c r="O2438" i="1" s="1"/>
  <c r="Y2603" i="1"/>
  <c r="V2545" i="1"/>
  <c r="Y2545" i="1"/>
  <c r="C2545" i="1" s="1"/>
  <c r="Z2586" i="1"/>
  <c r="C2586" i="1" s="1"/>
  <c r="E102" i="231"/>
  <c r="F102" i="231" s="1"/>
  <c r="G102" i="231" s="1"/>
  <c r="I400" i="190"/>
  <c r="I2" i="190" s="1"/>
  <c r="R2742" i="1" l="1"/>
  <c r="R2650" i="1"/>
  <c r="C2603" i="1"/>
  <c r="R2765" i="1"/>
  <c r="R2722" i="1"/>
  <c r="R2569" i="1"/>
  <c r="R2582" i="1"/>
  <c r="U2044" i="248"/>
  <c r="R1949" i="248"/>
  <c r="C2102" i="248"/>
  <c r="R648" i="248"/>
  <c r="R647" i="248"/>
  <c r="R634" i="248"/>
  <c r="R635" i="248"/>
  <c r="R2208" i="248"/>
  <c r="R2209" i="248" s="1"/>
  <c r="R2242" i="248"/>
  <c r="R2126" i="248"/>
  <c r="R2127" i="248" s="1"/>
  <c r="R2136" i="248"/>
  <c r="R2137" i="248"/>
  <c r="R2138" i="248" s="1"/>
  <c r="R2139" i="248" s="1"/>
  <c r="R2140" i="248" s="1"/>
  <c r="R2185" i="248"/>
  <c r="R2156" i="248"/>
  <c r="R2157" i="248" s="1"/>
  <c r="R2142" i="248"/>
  <c r="R2153" i="248"/>
  <c r="R2154" i="248" s="1"/>
  <c r="R2150" i="248"/>
  <c r="R2151" i="248" s="1"/>
  <c r="R2152" i="248" s="1"/>
  <c r="R2143" i="248"/>
  <c r="R2254" i="248"/>
  <c r="R2255" i="248" s="1"/>
  <c r="R2256" i="248" s="1"/>
  <c r="R2257" i="248" s="1"/>
  <c r="R2258" i="248" s="1"/>
  <c r="R2248" i="248"/>
  <c r="R2249" i="248" s="1"/>
  <c r="R635" i="1"/>
  <c r="S635" i="1"/>
  <c r="R2511" i="1"/>
  <c r="R2537" i="1"/>
  <c r="R2580" i="1"/>
  <c r="R2451" i="1"/>
  <c r="R2527" i="1"/>
  <c r="R2552" i="1"/>
  <c r="R2559" i="1"/>
  <c r="R2496" i="1"/>
  <c r="R2497" i="1" s="1"/>
  <c r="R2498" i="1" s="1"/>
  <c r="R2555" i="1"/>
  <c r="R2505" i="1"/>
  <c r="R2474" i="1"/>
  <c r="R2452" i="1"/>
  <c r="R2476" i="1"/>
  <c r="R2545" i="1"/>
  <c r="R2507" i="1"/>
  <c r="R2510" i="1"/>
  <c r="R2606" i="1"/>
  <c r="R2530" i="1"/>
  <c r="R2566" i="1"/>
  <c r="R2471" i="1"/>
  <c r="R2573" i="1"/>
  <c r="R2548" i="1"/>
  <c r="R2583" i="1" s="1"/>
  <c r="R2459" i="1"/>
  <c r="R2503" i="1"/>
  <c r="R2567" i="1"/>
  <c r="R2499" i="1"/>
  <c r="R2542" i="1"/>
  <c r="R2539" i="1"/>
  <c r="R2608" i="1"/>
  <c r="R2454" i="1"/>
  <c r="R2520" i="1"/>
  <c r="R2522" i="1"/>
  <c r="R2489" i="1"/>
  <c r="R2554" i="1"/>
  <c r="R2504" i="1"/>
  <c r="R2536" i="1"/>
  <c r="R2516" i="1"/>
  <c r="R2560" i="1"/>
  <c r="R2563" i="1"/>
  <c r="R2558" i="1"/>
  <c r="R2581" i="1"/>
  <c r="R2531" i="1"/>
  <c r="R2574" i="1"/>
  <c r="R2473" i="1"/>
  <c r="R2538" i="1"/>
  <c r="R2575" i="1"/>
  <c r="R2514" i="1"/>
  <c r="R2523" i="1"/>
  <c r="R2565" i="1"/>
  <c r="R2464" i="1"/>
  <c r="R2465" i="1" s="1"/>
  <c r="R2513" i="1"/>
  <c r="R2602" i="1"/>
  <c r="R2546" i="1"/>
  <c r="R2455" i="1"/>
  <c r="R2551" i="1"/>
  <c r="R2472" i="1"/>
  <c r="R2587" i="1"/>
  <c r="R2485" i="1"/>
  <c r="R2556" i="1"/>
  <c r="R2461" i="1"/>
  <c r="R2458" i="1"/>
  <c r="R2529" i="1"/>
  <c r="R2544" i="1"/>
  <c r="R2508" i="1"/>
  <c r="R2553" i="1"/>
  <c r="R2605" i="1"/>
  <c r="R2600" i="1"/>
  <c r="R2525" i="1"/>
  <c r="R2534" i="1"/>
  <c r="R2578" i="1"/>
  <c r="R2591" i="1"/>
  <c r="R2475" i="1"/>
  <c r="R2517" i="1"/>
  <c r="R2512" i="1"/>
  <c r="R2482" i="1"/>
  <c r="R2483" i="1" s="1"/>
  <c r="R2506" i="1"/>
  <c r="R2562" i="1"/>
  <c r="R2585" i="1"/>
  <c r="R2524" i="1"/>
  <c r="R2488" i="1"/>
  <c r="R2515" i="1"/>
  <c r="R2502" i="1"/>
  <c r="R2528" i="1"/>
  <c r="R2501" i="1"/>
  <c r="R2609" i="1"/>
  <c r="R2607" i="1"/>
  <c r="R2579" i="1"/>
  <c r="R2570" i="1"/>
  <c r="R2462" i="1"/>
  <c r="R2463" i="1" s="1"/>
  <c r="R2594" i="1"/>
  <c r="R2535" i="1"/>
  <c r="R2460" i="1"/>
  <c r="R2584" i="1"/>
  <c r="R2593" i="1"/>
  <c r="R2540" i="1"/>
  <c r="R2487" i="1"/>
  <c r="R2453" i="1"/>
  <c r="R2519" i="1"/>
  <c r="R2561" i="1"/>
  <c r="R2588" i="1"/>
  <c r="R2589" i="1" s="1"/>
  <c r="R2590" i="1" s="1"/>
  <c r="R2576" i="1"/>
  <c r="R2601" i="1"/>
  <c r="R2568" i="1"/>
  <c r="R2532" i="1"/>
  <c r="R2521" i="1"/>
  <c r="R2541" i="1"/>
  <c r="R2564" i="1"/>
  <c r="R2572" i="1"/>
  <c r="R2603" i="1"/>
  <c r="R2518" i="1"/>
  <c r="R2592" i="1"/>
  <c r="R2533" i="1"/>
  <c r="R2577" i="1"/>
  <c r="R2586" i="1"/>
  <c r="R2571" i="1"/>
  <c r="R2543" i="1"/>
  <c r="R2456" i="1"/>
  <c r="R2500" i="1"/>
  <c r="R2509" i="1"/>
  <c r="R2604" i="1"/>
  <c r="R2557" i="1"/>
  <c r="R2486" i="1"/>
  <c r="R2547" i="1"/>
  <c r="R2466" i="1"/>
  <c r="R2477" i="1" s="1"/>
  <c r="R2469" i="1"/>
  <c r="R2470" i="1"/>
  <c r="R2457" i="1"/>
  <c r="R1107" i="1"/>
  <c r="R1106" i="1"/>
  <c r="R1114" i="1"/>
  <c r="R1113" i="1"/>
  <c r="Y2266" i="1"/>
  <c r="Z2266" i="1"/>
  <c r="R2642" i="1"/>
  <c r="R2644" i="1" s="1"/>
  <c r="R2716" i="1"/>
  <c r="R2668" i="1"/>
  <c r="R2672" i="1"/>
  <c r="R2631" i="1"/>
  <c r="R2659" i="1"/>
  <c r="R2736" i="1"/>
  <c r="R2698" i="1"/>
  <c r="R2699" i="1"/>
  <c r="R2724" i="1"/>
  <c r="R2626" i="1"/>
  <c r="R2627" i="1" s="1"/>
  <c r="R2628" i="1" s="1"/>
  <c r="R2649" i="1"/>
  <c r="R2738" i="1"/>
  <c r="R2725" i="1"/>
  <c r="R2761" i="1"/>
  <c r="R2635" i="1"/>
  <c r="R2769" i="1"/>
  <c r="R2727" i="1"/>
  <c r="R2703" i="1"/>
  <c r="R2739" i="1"/>
  <c r="R2673" i="1"/>
  <c r="R2764" i="1"/>
  <c r="R2763" i="1"/>
  <c r="R2688" i="1"/>
  <c r="R2717" i="1"/>
  <c r="R2662" i="1"/>
  <c r="R2664" i="1"/>
  <c r="R2685" i="1"/>
  <c r="R2694" i="1"/>
  <c r="R2636" i="1"/>
  <c r="R2663" i="1"/>
  <c r="R2741" i="1"/>
  <c r="R2715" i="1"/>
  <c r="R2666" i="1"/>
  <c r="R2744" i="1"/>
  <c r="R2620" i="1"/>
  <c r="R2714" i="1"/>
  <c r="R2760" i="1"/>
  <c r="R2700" i="1"/>
  <c r="R2689" i="1"/>
  <c r="R2754" i="1"/>
  <c r="R2740" i="1"/>
  <c r="R2612" i="1"/>
  <c r="R2707" i="1"/>
  <c r="R2669" i="1"/>
  <c r="R2746" i="1"/>
  <c r="R2681" i="1"/>
  <c r="R2697" i="1"/>
  <c r="R2729" i="1"/>
  <c r="R2676" i="1"/>
  <c r="R2679" i="1"/>
  <c r="R2704" i="1"/>
  <c r="R2645" i="1"/>
  <c r="R2747" i="1"/>
  <c r="R2648" i="1"/>
  <c r="R2721" i="1"/>
  <c r="R2737" i="1"/>
  <c r="R2726" i="1"/>
  <c r="R2616" i="1"/>
  <c r="R2696" i="1"/>
  <c r="R2711" i="1"/>
  <c r="R2767" i="1"/>
  <c r="R2622" i="1"/>
  <c r="R2623" i="1" s="1"/>
  <c r="R2629" i="1"/>
  <c r="R2661" i="1"/>
  <c r="R2614" i="1"/>
  <c r="R2690" i="1"/>
  <c r="R2720" i="1"/>
  <c r="R2745" i="1"/>
  <c r="R2617" i="1"/>
  <c r="R2713" i="1"/>
  <c r="R2665" i="1"/>
  <c r="R2687" i="1"/>
  <c r="R2706" i="1"/>
  <c r="R2692" i="1"/>
  <c r="R2646" i="1"/>
  <c r="R2768" i="1"/>
  <c r="R2624" i="1"/>
  <c r="R2625" i="1" s="1"/>
  <c r="R2613" i="1"/>
  <c r="R2684" i="1"/>
  <c r="R2671" i="1"/>
  <c r="R2728" i="1"/>
  <c r="R2762" i="1"/>
  <c r="R2656" i="1"/>
  <c r="R2657" i="1" s="1"/>
  <c r="R2658" i="1" s="1"/>
  <c r="R2691" i="1"/>
  <c r="R2731" i="1"/>
  <c r="R2632" i="1"/>
  <c r="R2677" i="1"/>
  <c r="R2733" i="1"/>
  <c r="R2683" i="1"/>
  <c r="R2735" i="1"/>
  <c r="R2753" i="1"/>
  <c r="R2675" i="1"/>
  <c r="R2678" i="1"/>
  <c r="R2702" i="1"/>
  <c r="R2633" i="1"/>
  <c r="R2611" i="1"/>
  <c r="R2719" i="1"/>
  <c r="R2670" i="1"/>
  <c r="R2647" i="1"/>
  <c r="R2751" i="1"/>
  <c r="R2752" i="1"/>
  <c r="R2682" i="1"/>
  <c r="R2615" i="1"/>
  <c r="R2693" i="1"/>
  <c r="R2708" i="1"/>
  <c r="R2743" i="1" s="1"/>
  <c r="R2734" i="1"/>
  <c r="R2619" i="1"/>
  <c r="R2634" i="1"/>
  <c r="R2705" i="1"/>
  <c r="R2723" i="1"/>
  <c r="R2730" i="1"/>
  <c r="R2712" i="1"/>
  <c r="R2748" i="1"/>
  <c r="R2755" i="1" s="1"/>
  <c r="R2756" i="1" s="1"/>
  <c r="R2757" i="1" s="1"/>
  <c r="R2758" i="1" s="1"/>
  <c r="R2759" i="1" s="1"/>
  <c r="R2674" i="1"/>
  <c r="R2621" i="1"/>
  <c r="R2667" i="1"/>
  <c r="R2660" i="1"/>
  <c r="R2766" i="1"/>
  <c r="R2630" i="1"/>
  <c r="R2732" i="1"/>
  <c r="R2701" i="1"/>
  <c r="R2695" i="1"/>
  <c r="R2718" i="1"/>
  <c r="R2618" i="1"/>
  <c r="R2680" i="1"/>
  <c r="M2278" i="1"/>
  <c r="M2174" i="1"/>
  <c r="M2209" i="1"/>
  <c r="M2225" i="1"/>
  <c r="M2160" i="1"/>
  <c r="M2283" i="1"/>
  <c r="V2283" i="1" s="1"/>
  <c r="O2369" i="1"/>
  <c r="C2369" i="1" s="1"/>
  <c r="O2443" i="1"/>
  <c r="O2320" i="1"/>
  <c r="C2320" i="1" s="1"/>
  <c r="O2426" i="1"/>
  <c r="C2426" i="1" s="1"/>
  <c r="O2334" i="1"/>
  <c r="O2385" i="1"/>
  <c r="E103" i="231"/>
  <c r="F103" i="231" s="1"/>
  <c r="G103" i="231" s="1"/>
  <c r="D1595" i="1"/>
  <c r="M745" i="1"/>
  <c r="D742" i="1"/>
  <c r="D739" i="1"/>
  <c r="D738" i="1"/>
  <c r="M713" i="1"/>
  <c r="D710" i="1"/>
  <c r="D707" i="1"/>
  <c r="D706" i="1"/>
  <c r="M683" i="1"/>
  <c r="D680" i="1"/>
  <c r="D677" i="1"/>
  <c r="R677" i="1" s="1"/>
  <c r="D676" i="1"/>
  <c r="M1469" i="1"/>
  <c r="D1466" i="1"/>
  <c r="D1463" i="1"/>
  <c r="D1462" i="1"/>
  <c r="M1446" i="1"/>
  <c r="D1443" i="1"/>
  <c r="D1440" i="1"/>
  <c r="D1439" i="1"/>
  <c r="M1394" i="1"/>
  <c r="D1391" i="1"/>
  <c r="D1388" i="1"/>
  <c r="D1387" i="1"/>
  <c r="M1267" i="1"/>
  <c r="D1264" i="1"/>
  <c r="D1261" i="1"/>
  <c r="D1260" i="1"/>
  <c r="M1211" i="1"/>
  <c r="D1208" i="1"/>
  <c r="D1205" i="1"/>
  <c r="D1204" i="1"/>
  <c r="M138" i="136"/>
  <c r="G138" i="136" s="1"/>
  <c r="I138" i="136" s="1"/>
  <c r="O629" i="248" s="1"/>
  <c r="R629" i="248" s="1"/>
  <c r="O631" i="1"/>
  <c r="R2290" i="1" l="1"/>
  <c r="R2330" i="1" s="1"/>
  <c r="V2443" i="1"/>
  <c r="R2081" i="248"/>
  <c r="R1989" i="248"/>
  <c r="R2422" i="1"/>
  <c r="C2266" i="1"/>
  <c r="R2101" i="248"/>
  <c r="R2061" i="248"/>
  <c r="R2040" i="248"/>
  <c r="R1973" i="248"/>
  <c r="R1986" i="248"/>
  <c r="R2038" i="248"/>
  <c r="R1956" i="248"/>
  <c r="R2004" i="248"/>
  <c r="R2100" i="248"/>
  <c r="R2032" i="248"/>
  <c r="R2043" i="248"/>
  <c r="R2045" i="248"/>
  <c r="R2010" i="248"/>
  <c r="R2104" i="248"/>
  <c r="R2079" i="248"/>
  <c r="R1984" i="248"/>
  <c r="R2102" i="248"/>
  <c r="R2021" i="248"/>
  <c r="R2050" i="248"/>
  <c r="R2020" i="248"/>
  <c r="R2103" i="248"/>
  <c r="R2018" i="248"/>
  <c r="R2024" i="248"/>
  <c r="R1972" i="248"/>
  <c r="R1954" i="248"/>
  <c r="R2007" i="248"/>
  <c r="R2084" i="248"/>
  <c r="R2067" i="248"/>
  <c r="R2046" i="248"/>
  <c r="R2019" i="248"/>
  <c r="R2026" i="248"/>
  <c r="R2022" i="248"/>
  <c r="R2105" i="248"/>
  <c r="R2069" i="248"/>
  <c r="R2042" i="248"/>
  <c r="R2012" i="248"/>
  <c r="R2013" i="248"/>
  <c r="R2014" i="248"/>
  <c r="R1987" i="248"/>
  <c r="R2078" i="248"/>
  <c r="R2053" i="248"/>
  <c r="R2052" i="248"/>
  <c r="R2073" i="248"/>
  <c r="R2003" i="248"/>
  <c r="R2011" i="248"/>
  <c r="R2055" i="248"/>
  <c r="R1968" i="248"/>
  <c r="R1958" i="248"/>
  <c r="R2047" i="248"/>
  <c r="R2082" i="248" s="1"/>
  <c r="R2063" i="248"/>
  <c r="R2066" i="248"/>
  <c r="R2044" i="248"/>
  <c r="R2080" i="248"/>
  <c r="R1970" i="248"/>
  <c r="R1952" i="248"/>
  <c r="R1963" i="248"/>
  <c r="R1964" i="248" s="1"/>
  <c r="R2059" i="248"/>
  <c r="R2009" i="248"/>
  <c r="R2072" i="248"/>
  <c r="R2039" i="248"/>
  <c r="R1960" i="248"/>
  <c r="R1959" i="248"/>
  <c r="R1955" i="248"/>
  <c r="R1965" i="248"/>
  <c r="R1976" i="248" s="1"/>
  <c r="R2062" i="248"/>
  <c r="R2076" i="248"/>
  <c r="R2077" i="248"/>
  <c r="R1951" i="248"/>
  <c r="R1950" i="248"/>
  <c r="R1998" i="248"/>
  <c r="R2031" i="248"/>
  <c r="R2035" i="248"/>
  <c r="R1953" i="248"/>
  <c r="R2085" i="248"/>
  <c r="R2057" i="248"/>
  <c r="R1971" i="248"/>
  <c r="R2090" i="248"/>
  <c r="R1961" i="248"/>
  <c r="R1962" i="248" s="1"/>
  <c r="R1969" i="248"/>
  <c r="R1975" i="248"/>
  <c r="R2036" i="248"/>
  <c r="R2065" i="248"/>
  <c r="R2000" i="248"/>
  <c r="R2016" i="248"/>
  <c r="R2068" i="248"/>
  <c r="R2086" i="248"/>
  <c r="R2051" i="248"/>
  <c r="R2083" i="248"/>
  <c r="R2056" i="248"/>
  <c r="R2006" i="248"/>
  <c r="R2091" i="248"/>
  <c r="R1981" i="248"/>
  <c r="R1990" i="248" s="1"/>
  <c r="R1991" i="248" s="1"/>
  <c r="R1992" i="248" s="1"/>
  <c r="R1957" i="248"/>
  <c r="R1995" i="248"/>
  <c r="R1996" i="248" s="1"/>
  <c r="R1997" i="248" s="1"/>
  <c r="R1988" i="248"/>
  <c r="R2017" i="248"/>
  <c r="R2070" i="248"/>
  <c r="R2030" i="248"/>
  <c r="R2106" i="248"/>
  <c r="R2071" i="248"/>
  <c r="R1985" i="248"/>
  <c r="R2001" i="248"/>
  <c r="R2005" i="248"/>
  <c r="R2028" i="248"/>
  <c r="R2074" i="248"/>
  <c r="R2034" i="248"/>
  <c r="R2002" i="248"/>
  <c r="R2075" i="248"/>
  <c r="R2108" i="248"/>
  <c r="R2064" i="248"/>
  <c r="R2023" i="248"/>
  <c r="R2107" i="248"/>
  <c r="R2054" i="248"/>
  <c r="R1974" i="248"/>
  <c r="R2029" i="248"/>
  <c r="R2027" i="248"/>
  <c r="R2092" i="248"/>
  <c r="R2087" i="248"/>
  <c r="R2094" i="248" s="1"/>
  <c r="R2095" i="248" s="1"/>
  <c r="R2096" i="248" s="1"/>
  <c r="R2097" i="248" s="1"/>
  <c r="R2098" i="248" s="1"/>
  <c r="R2058" i="248"/>
  <c r="R2008" i="248"/>
  <c r="R2093" i="248"/>
  <c r="R1999" i="248"/>
  <c r="R2041" i="248"/>
  <c r="R2033" i="248"/>
  <c r="R2037" i="248"/>
  <c r="R2099" i="248"/>
  <c r="R2060" i="248"/>
  <c r="R2015" i="248"/>
  <c r="R2048" i="248"/>
  <c r="R2049" i="248" s="1"/>
  <c r="R636" i="1"/>
  <c r="R650" i="1"/>
  <c r="R637" i="1"/>
  <c r="R649" i="1"/>
  <c r="R2526" i="1"/>
  <c r="R2484" i="1"/>
  <c r="R2491" i="1"/>
  <c r="R2492" i="1" s="1"/>
  <c r="R2493" i="1" s="1"/>
  <c r="R2494" i="1"/>
  <c r="R2495" i="1" s="1"/>
  <c r="R2595" i="1"/>
  <c r="R2596" i="1" s="1"/>
  <c r="R2597" i="1" s="1"/>
  <c r="R2598" i="1" s="1"/>
  <c r="R2599" i="1" s="1"/>
  <c r="R2549" i="1"/>
  <c r="R2550" i="1" s="1"/>
  <c r="R2467" i="1"/>
  <c r="R2468" i="1" s="1"/>
  <c r="R2478" i="1"/>
  <c r="R2479" i="1" s="1"/>
  <c r="R2480" i="1" s="1"/>
  <c r="R2481" i="1" s="1"/>
  <c r="Z2283" i="1"/>
  <c r="R2130" i="1"/>
  <c r="R2638" i="1"/>
  <c r="R2639" i="1" s="1"/>
  <c r="R2640" i="1" s="1"/>
  <c r="R2641" i="1" s="1"/>
  <c r="C2443" i="1"/>
  <c r="Y2225" i="1"/>
  <c r="Z2225" i="1"/>
  <c r="Y2160" i="1"/>
  <c r="Z2160" i="1"/>
  <c r="Y2209" i="1"/>
  <c r="Z2209" i="1"/>
  <c r="R2654" i="1"/>
  <c r="R2655" i="1" s="1"/>
  <c r="R2651" i="1"/>
  <c r="R2652" i="1" s="1"/>
  <c r="R2653" i="1" s="1"/>
  <c r="R2643" i="1"/>
  <c r="R2637" i="1"/>
  <c r="R2749" i="1"/>
  <c r="R2750" i="1" s="1"/>
  <c r="R2709" i="1"/>
  <c r="R2710" i="1" s="1"/>
  <c r="R2686" i="1"/>
  <c r="V2225" i="1"/>
  <c r="Y2283" i="1"/>
  <c r="C2385" i="1"/>
  <c r="V2385" i="1"/>
  <c r="E104" i="231"/>
  <c r="F104" i="231" s="1"/>
  <c r="G104" i="231" s="1"/>
  <c r="M631" i="1"/>
  <c r="R631" i="1" s="1"/>
  <c r="K178" i="136"/>
  <c r="K177" i="136"/>
  <c r="K176" i="136"/>
  <c r="C1" i="136"/>
  <c r="M35" i="136"/>
  <c r="G35" i="136" s="1"/>
  <c r="I35" i="136" s="1"/>
  <c r="M34" i="136"/>
  <c r="G34" i="136" s="1"/>
  <c r="I34" i="136" s="1"/>
  <c r="M33" i="136"/>
  <c r="G33" i="136" s="1"/>
  <c r="I33" i="136" s="1"/>
  <c r="M32" i="136"/>
  <c r="G32" i="136" s="1"/>
  <c r="I32" i="136" s="1"/>
  <c r="M31" i="136"/>
  <c r="G31" i="136" s="1"/>
  <c r="I31" i="136" s="1"/>
  <c r="R2262" i="1" l="1"/>
  <c r="R2170" i="1"/>
  <c r="C2283" i="1"/>
  <c r="C2209" i="1"/>
  <c r="C2225" i="1"/>
  <c r="C2160" i="1"/>
  <c r="R1977" i="248"/>
  <c r="R1978" i="248" s="1"/>
  <c r="R1979" i="248" s="1"/>
  <c r="R1980" i="248" s="1"/>
  <c r="R1966" i="248"/>
  <c r="R1967" i="248" s="1"/>
  <c r="R1993" i="248"/>
  <c r="R1994" i="248" s="1"/>
  <c r="R2088" i="248"/>
  <c r="R2089" i="248" s="1"/>
  <c r="R2025" i="248"/>
  <c r="R1982" i="248"/>
  <c r="R1983" i="248"/>
  <c r="R2372" i="1"/>
  <c r="R2406" i="1"/>
  <c r="R2340" i="1"/>
  <c r="R2428" i="1"/>
  <c r="R2301" i="1"/>
  <c r="R2395" i="1"/>
  <c r="R2310" i="1"/>
  <c r="R2434" i="1"/>
  <c r="R2314" i="1"/>
  <c r="R2298" i="1"/>
  <c r="R2313" i="1"/>
  <c r="R2442" i="1"/>
  <c r="R2350" i="1"/>
  <c r="R2302" i="1"/>
  <c r="R2303" i="1" s="1"/>
  <c r="R2293" i="1"/>
  <c r="R2396" i="1"/>
  <c r="R2409" i="1"/>
  <c r="R2420" i="1"/>
  <c r="R2427" i="1"/>
  <c r="R2311" i="1"/>
  <c r="R2411" i="1"/>
  <c r="R2432" i="1"/>
  <c r="R2361" i="1"/>
  <c r="R2413" i="1"/>
  <c r="R2374" i="1"/>
  <c r="R2294" i="1"/>
  <c r="R2444" i="1"/>
  <c r="R2410" i="1"/>
  <c r="R2358" i="1"/>
  <c r="R2364" i="1"/>
  <c r="R2414" i="1"/>
  <c r="R2365" i="1"/>
  <c r="R2376" i="1"/>
  <c r="R2385" i="1"/>
  <c r="R2309" i="1"/>
  <c r="R2322" i="1"/>
  <c r="R2300" i="1"/>
  <c r="R2424" i="1"/>
  <c r="R2378" i="1"/>
  <c r="R2412" i="1"/>
  <c r="R2398" i="1"/>
  <c r="R2433" i="1"/>
  <c r="R2352" i="1"/>
  <c r="R2351" i="1"/>
  <c r="R2329" i="1"/>
  <c r="R2383" i="1"/>
  <c r="R2354" i="1"/>
  <c r="R2344" i="1"/>
  <c r="R2426" i="1"/>
  <c r="R2292" i="1"/>
  <c r="R2341" i="1"/>
  <c r="R2402" i="1"/>
  <c r="R2370" i="1"/>
  <c r="R2299" i="1"/>
  <c r="R2417" i="1"/>
  <c r="R2304" i="1"/>
  <c r="R2305" i="1" s="1"/>
  <c r="R2379" i="1"/>
  <c r="R2348" i="1"/>
  <c r="R2446" i="1"/>
  <c r="R2346" i="1"/>
  <c r="R2416" i="1"/>
  <c r="R2386" i="1"/>
  <c r="R2380" i="1"/>
  <c r="R2367" i="1"/>
  <c r="R2449" i="1"/>
  <c r="R2407" i="1"/>
  <c r="R2387" i="1"/>
  <c r="R2399" i="1"/>
  <c r="R2408" i="1"/>
  <c r="R2306" i="1"/>
  <c r="R2431" i="1"/>
  <c r="R2342" i="1"/>
  <c r="R2391" i="1"/>
  <c r="R2393" i="1"/>
  <c r="R2425" i="1"/>
  <c r="R2349" i="1"/>
  <c r="R2295" i="1"/>
  <c r="R2362" i="1"/>
  <c r="R2401" i="1"/>
  <c r="R2421" i="1"/>
  <c r="R2296" i="1"/>
  <c r="R2382" i="1"/>
  <c r="R2355" i="1"/>
  <c r="R2440" i="1"/>
  <c r="R2441" i="1"/>
  <c r="R2315" i="1"/>
  <c r="R2405" i="1"/>
  <c r="R2359" i="1"/>
  <c r="R2384" i="1"/>
  <c r="R2448" i="1"/>
  <c r="R2363" i="1"/>
  <c r="R2312" i="1"/>
  <c r="R2377" i="1"/>
  <c r="R2326" i="1"/>
  <c r="R2381" i="1"/>
  <c r="R2419" i="1"/>
  <c r="R2404" i="1"/>
  <c r="R2445" i="1"/>
  <c r="R2415" i="1"/>
  <c r="R2373" i="1"/>
  <c r="R2343" i="1"/>
  <c r="R2328" i="1"/>
  <c r="R2392" i="1"/>
  <c r="R2360" i="1"/>
  <c r="R2443" i="1"/>
  <c r="R2291" i="1"/>
  <c r="R2297" i="1"/>
  <c r="R2369" i="1"/>
  <c r="R2447" i="1"/>
  <c r="R2403" i="1"/>
  <c r="R2327" i="1"/>
  <c r="R2394" i="1"/>
  <c r="R2325" i="1"/>
  <c r="R2371" i="1"/>
  <c r="R2375" i="1"/>
  <c r="R2418" i="1"/>
  <c r="R2353" i="1"/>
  <c r="R2357" i="1"/>
  <c r="R2336" i="1"/>
  <c r="R2397" i="1"/>
  <c r="R2356" i="1"/>
  <c r="R2368" i="1"/>
  <c r="R2345" i="1"/>
  <c r="R2339" i="1"/>
  <c r="R2316" i="1"/>
  <c r="R2400" i="1"/>
  <c r="R2347" i="1"/>
  <c r="R2388" i="1"/>
  <c r="R2142" i="1"/>
  <c r="R2143" i="1" s="1"/>
  <c r="R2136" i="1"/>
  <c r="R2189" i="1"/>
  <c r="R2236" i="1"/>
  <c r="R2226" i="1"/>
  <c r="R2155" i="1"/>
  <c r="R2227" i="1"/>
  <c r="R2268" i="1"/>
  <c r="R2197" i="1"/>
  <c r="R2168" i="1"/>
  <c r="R2186" i="1"/>
  <c r="R2152" i="1"/>
  <c r="R2225" i="1"/>
  <c r="R2237" i="1"/>
  <c r="R2192" i="1"/>
  <c r="R2243" i="1"/>
  <c r="R2289" i="1"/>
  <c r="R2199" i="1"/>
  <c r="R2235" i="1"/>
  <c r="R2132" i="1"/>
  <c r="R2150" i="1"/>
  <c r="R2255" i="1"/>
  <c r="R2218" i="1"/>
  <c r="R2137" i="1"/>
  <c r="R2222" i="1"/>
  <c r="R2273" i="1"/>
  <c r="R2274" i="1"/>
  <c r="R2248" i="1"/>
  <c r="R2182" i="1"/>
  <c r="R2201" i="1"/>
  <c r="R2265" i="1"/>
  <c r="R2260" i="1"/>
  <c r="R2165" i="1"/>
  <c r="R2208" i="1"/>
  <c r="R2196" i="1"/>
  <c r="R2207" i="1"/>
  <c r="R2231" i="1"/>
  <c r="R2146" i="1"/>
  <c r="R2209" i="1"/>
  <c r="R2169" i="1"/>
  <c r="R2271" i="1"/>
  <c r="R2288" i="1"/>
  <c r="R2214" i="1"/>
  <c r="R2223" i="1"/>
  <c r="R2166" i="1"/>
  <c r="R2193" i="1"/>
  <c r="R2139" i="1"/>
  <c r="R2162" i="1"/>
  <c r="R2176" i="1"/>
  <c r="R2134" i="1"/>
  <c r="R2266" i="1"/>
  <c r="R2287" i="1"/>
  <c r="R2252" i="1"/>
  <c r="R2224" i="1"/>
  <c r="R2233" i="1"/>
  <c r="R2133" i="1"/>
  <c r="R2198" i="1"/>
  <c r="R2254" i="1"/>
  <c r="R2181" i="1"/>
  <c r="R2211" i="1"/>
  <c r="R2216" i="1"/>
  <c r="R2244" i="1"/>
  <c r="R2183" i="1"/>
  <c r="R2213" i="1"/>
  <c r="R2285" i="1"/>
  <c r="R2180" i="1"/>
  <c r="R2257" i="1"/>
  <c r="R2253" i="1"/>
  <c r="R2205" i="1"/>
  <c r="R2220" i="1"/>
  <c r="R2251" i="1"/>
  <c r="R2149" i="1"/>
  <c r="R2202" i="1"/>
  <c r="R2190" i="1"/>
  <c r="R2261" i="1"/>
  <c r="R2282" i="1"/>
  <c r="R2241" i="1"/>
  <c r="R2212" i="1"/>
  <c r="R2200" i="1"/>
  <c r="R2249" i="1"/>
  <c r="R2151" i="1"/>
  <c r="R2239" i="1"/>
  <c r="R2242" i="1"/>
  <c r="R2256" i="1"/>
  <c r="R2264" i="1"/>
  <c r="R2240" i="1"/>
  <c r="R2141" i="1"/>
  <c r="R2238" i="1"/>
  <c r="R2280" i="1"/>
  <c r="R2187" i="1"/>
  <c r="R2185" i="1"/>
  <c r="R2135" i="1"/>
  <c r="R2153" i="1"/>
  <c r="R2258" i="1"/>
  <c r="R2144" i="1"/>
  <c r="R2145" i="1" s="1"/>
  <c r="R2203" i="1"/>
  <c r="R2286" i="1"/>
  <c r="R2217" i="1"/>
  <c r="R2194" i="1"/>
  <c r="R2167" i="1"/>
  <c r="R2246" i="1"/>
  <c r="R2195" i="1"/>
  <c r="R2283" i="1"/>
  <c r="R2221" i="1"/>
  <c r="R2234" i="1"/>
  <c r="R2228" i="1"/>
  <c r="R2250" i="1"/>
  <c r="R2156" i="1"/>
  <c r="R2140" i="1"/>
  <c r="R2210" i="1"/>
  <c r="R2232" i="1"/>
  <c r="R2219" i="1"/>
  <c r="R2247" i="1"/>
  <c r="R2184" i="1"/>
  <c r="R2281" i="1"/>
  <c r="R2138" i="1"/>
  <c r="R2284" i="1"/>
  <c r="R2131" i="1"/>
  <c r="R2267" i="1"/>
  <c r="R2259" i="1"/>
  <c r="R2188" i="1"/>
  <c r="R2204" i="1"/>
  <c r="R2245" i="1"/>
  <c r="R2154" i="1"/>
  <c r="R2215" i="1"/>
  <c r="R2191" i="1"/>
  <c r="R2272" i="1"/>
  <c r="R2179" i="1"/>
  <c r="D2005" i="1"/>
  <c r="D1845" i="1"/>
  <c r="E105" i="231"/>
  <c r="F105" i="231" s="1"/>
  <c r="G105" i="231" s="1"/>
  <c r="H400" i="5"/>
  <c r="H2" i="5" s="1"/>
  <c r="H1" i="5"/>
  <c r="G1" i="5"/>
  <c r="F1" i="5"/>
  <c r="D1" i="5"/>
  <c r="R2366" i="1" l="1"/>
  <c r="R2337" i="1"/>
  <c r="R2338" i="1" s="1"/>
  <c r="R2429" i="1"/>
  <c r="R2430" i="1" s="1"/>
  <c r="R2435" i="1"/>
  <c r="R2436" i="1" s="1"/>
  <c r="R2437" i="1" s="1"/>
  <c r="R2438" i="1" s="1"/>
  <c r="R2439" i="1" s="1"/>
  <c r="R2389" i="1"/>
  <c r="R2390" i="1" s="1"/>
  <c r="R2423" i="1"/>
  <c r="R2317" i="1"/>
  <c r="R2307" i="1"/>
  <c r="R2308" i="1" s="1"/>
  <c r="R2318" i="1"/>
  <c r="R2319" i="1" s="1"/>
  <c r="R2320" i="1" s="1"/>
  <c r="R2321" i="1" s="1"/>
  <c r="R2334" i="1"/>
  <c r="R2335" i="1" s="1"/>
  <c r="R2323" i="1"/>
  <c r="R2324" i="1"/>
  <c r="R2331" i="1"/>
  <c r="R2332" i="1" s="1"/>
  <c r="R2333" i="1" s="1"/>
  <c r="R2164" i="1"/>
  <c r="R2163" i="1"/>
  <c r="R2174" i="1"/>
  <c r="R2175" i="1" s="1"/>
  <c r="R2171" i="1"/>
  <c r="R2172" i="1" s="1"/>
  <c r="R2173" i="1" s="1"/>
  <c r="R2263" i="1"/>
  <c r="R2229" i="1"/>
  <c r="R2230" i="1" s="1"/>
  <c r="R2177" i="1"/>
  <c r="R2178" i="1" s="1"/>
  <c r="R2206" i="1"/>
  <c r="R2158" i="1"/>
  <c r="R2159" i="1" s="1"/>
  <c r="R2160" i="1" s="1"/>
  <c r="R2161" i="1" s="1"/>
  <c r="R2147" i="1"/>
  <c r="R2148" i="1" s="1"/>
  <c r="R2157" i="1"/>
  <c r="R2269" i="1"/>
  <c r="R2270" i="1" s="1"/>
  <c r="R2275" i="1"/>
  <c r="R2276" i="1" s="1"/>
  <c r="R2277" i="1" s="1"/>
  <c r="R2278" i="1" s="1"/>
  <c r="R2279" i="1" s="1"/>
  <c r="E106" i="231"/>
  <c r="F106" i="231" s="1"/>
  <c r="G106" i="231" s="1"/>
  <c r="G83" i="187"/>
  <c r="G69" i="187"/>
  <c r="G52" i="187"/>
  <c r="G35" i="187"/>
  <c r="G10" i="187"/>
  <c r="E3" i="187"/>
  <c r="C2" i="187"/>
  <c r="E107" i="231" l="1"/>
  <c r="F107" i="231" s="1"/>
  <c r="G107" i="231" s="1"/>
  <c r="G28" i="178"/>
  <c r="C17" i="178"/>
  <c r="C16" i="178"/>
  <c r="C15" i="178"/>
  <c r="C14" i="178"/>
  <c r="C13" i="178"/>
  <c r="C12" i="178"/>
  <c r="G10" i="178"/>
  <c r="E3" i="178"/>
  <c r="C2" i="178"/>
  <c r="C8" i="169"/>
  <c r="C9" i="169"/>
  <c r="C10" i="169"/>
  <c r="C11" i="169"/>
  <c r="C12" i="169"/>
  <c r="C13" i="169"/>
  <c r="C14" i="169"/>
  <c r="C15" i="169"/>
  <c r="C16" i="169"/>
  <c r="C17" i="169"/>
  <c r="C18" i="169"/>
  <c r="C19" i="169"/>
  <c r="C20" i="169"/>
  <c r="C21" i="169"/>
  <c r="C22" i="169"/>
  <c r="C23" i="169"/>
  <c r="C24" i="169"/>
  <c r="G6" i="169"/>
  <c r="E3" i="169"/>
  <c r="C2" i="169"/>
  <c r="C18" i="168"/>
  <c r="C17" i="168"/>
  <c r="C16" i="168"/>
  <c r="C15" i="168"/>
  <c r="C14" i="168"/>
  <c r="C13" i="168"/>
  <c r="C12" i="168"/>
  <c r="C11" i="168"/>
  <c r="C10" i="168"/>
  <c r="C9" i="168"/>
  <c r="C8" i="168"/>
  <c r="G6" i="168"/>
  <c r="E3" i="168"/>
  <c r="C2" i="168"/>
  <c r="G81" i="167"/>
  <c r="G61" i="167"/>
  <c r="G44" i="167"/>
  <c r="G27" i="167"/>
  <c r="G10" i="167"/>
  <c r="E3" i="167"/>
  <c r="C2" i="167"/>
  <c r="E108" i="231" l="1"/>
  <c r="F108" i="231" s="1"/>
  <c r="G108" i="231" s="1"/>
  <c r="C2" i="124"/>
  <c r="P359" i="5"/>
  <c r="J359" i="5" s="1"/>
  <c r="E109" i="231" l="1"/>
  <c r="F109" i="231" s="1"/>
  <c r="G109" i="231" s="1"/>
  <c r="E110" i="231" l="1"/>
  <c r="F110" i="231" s="1"/>
  <c r="G110" i="231" s="1"/>
  <c r="K39" i="89"/>
  <c r="Q21" i="80"/>
  <c r="R21" i="80" s="1"/>
  <c r="W39" i="89" l="1"/>
  <c r="Y39" i="89" s="1"/>
  <c r="K121" i="89"/>
  <c r="E111" i="231"/>
  <c r="F111" i="231" s="1"/>
  <c r="G111" i="231" s="1"/>
  <c r="Q20" i="80"/>
  <c r="S23" i="80"/>
  <c r="T23" i="80"/>
  <c r="Q18" i="80"/>
  <c r="Q15" i="80"/>
  <c r="Q16" i="80"/>
  <c r="Q17" i="80"/>
  <c r="Q19" i="80"/>
  <c r="P23" i="80"/>
  <c r="O23" i="80"/>
  <c r="F90" i="1"/>
  <c r="W121" i="89" l="1"/>
  <c r="T23" i="242" s="1"/>
  <c r="E112" i="231"/>
  <c r="F112" i="231" s="1"/>
  <c r="G112" i="231" s="1"/>
  <c r="Q23" i="80"/>
  <c r="V13" i="89"/>
  <c r="V14" i="89"/>
  <c r="O13" i="89"/>
  <c r="N13" i="89"/>
  <c r="O14" i="89"/>
  <c r="N14" i="89"/>
  <c r="O15" i="89"/>
  <c r="N15" i="89"/>
  <c r="V23" i="242" l="1"/>
  <c r="W23" i="242" s="1"/>
  <c r="T104" i="242"/>
  <c r="Y121" i="89"/>
  <c r="Z39" i="89"/>
  <c r="Z121" i="89" s="1"/>
  <c r="E113" i="231"/>
  <c r="F113" i="231" s="1"/>
  <c r="G113" i="231" s="1"/>
  <c r="V11" i="89"/>
  <c r="O11" i="89"/>
  <c r="N11" i="89"/>
  <c r="N16" i="242" s="1"/>
  <c r="O12" i="89"/>
  <c r="V12" i="89"/>
  <c r="N12" i="89"/>
  <c r="V15" i="89"/>
  <c r="T10" i="242" l="1"/>
  <c r="G243" i="4" s="1"/>
  <c r="W104" i="242"/>
  <c r="V104" i="242"/>
  <c r="V16" i="89"/>
  <c r="V346" i="89" s="1"/>
  <c r="N16" i="89"/>
  <c r="N346" i="89" s="1"/>
  <c r="O16" i="89"/>
  <c r="O346" i="89" s="1"/>
  <c r="E114" i="231"/>
  <c r="F114" i="231" s="1"/>
  <c r="G114" i="231" s="1"/>
  <c r="D615" i="1"/>
  <c r="J23" i="149"/>
  <c r="G156" i="136" s="1"/>
  <c r="I156" i="136" s="1"/>
  <c r="M482" i="149"/>
  <c r="L482" i="149"/>
  <c r="K482" i="149"/>
  <c r="J482" i="149"/>
  <c r="M481" i="149"/>
  <c r="L481" i="149"/>
  <c r="K481" i="149"/>
  <c r="J481" i="149"/>
  <c r="M480" i="149"/>
  <c r="L480" i="149"/>
  <c r="K480" i="149"/>
  <c r="J480" i="149"/>
  <c r="M479" i="149"/>
  <c r="L479" i="149"/>
  <c r="K479" i="149"/>
  <c r="J479" i="149"/>
  <c r="M478" i="149"/>
  <c r="L478" i="149"/>
  <c r="K478" i="149"/>
  <c r="J478" i="149"/>
  <c r="M477" i="149"/>
  <c r="L477" i="149"/>
  <c r="K477" i="149"/>
  <c r="J477" i="149"/>
  <c r="M476" i="149"/>
  <c r="L476" i="149"/>
  <c r="K476" i="149"/>
  <c r="J476" i="149"/>
  <c r="M475" i="149"/>
  <c r="L475" i="149"/>
  <c r="K475" i="149"/>
  <c r="J475" i="149"/>
  <c r="M474" i="149"/>
  <c r="L474" i="149"/>
  <c r="K474" i="149"/>
  <c r="J474" i="149"/>
  <c r="M473" i="149"/>
  <c r="L473" i="149"/>
  <c r="K473" i="149"/>
  <c r="J473" i="149"/>
  <c r="M472" i="149"/>
  <c r="L472" i="149"/>
  <c r="K472" i="149"/>
  <c r="J472" i="149"/>
  <c r="M471" i="149"/>
  <c r="L471" i="149"/>
  <c r="K471" i="149"/>
  <c r="J471" i="149"/>
  <c r="M470" i="149"/>
  <c r="L470" i="149"/>
  <c r="K470" i="149"/>
  <c r="J470" i="149"/>
  <c r="M469" i="149"/>
  <c r="L469" i="149"/>
  <c r="K469" i="149"/>
  <c r="J469" i="149"/>
  <c r="M468" i="149"/>
  <c r="L468" i="149"/>
  <c r="K468" i="149"/>
  <c r="J468" i="149"/>
  <c r="M467" i="149"/>
  <c r="L467" i="149"/>
  <c r="K467" i="149"/>
  <c r="J467" i="149"/>
  <c r="M466" i="149"/>
  <c r="L466" i="149"/>
  <c r="K466" i="149"/>
  <c r="J466" i="149"/>
  <c r="M465" i="149"/>
  <c r="L465" i="149"/>
  <c r="K465" i="149"/>
  <c r="J465" i="149"/>
  <c r="M464" i="149"/>
  <c r="L464" i="149"/>
  <c r="K464" i="149"/>
  <c r="J464" i="149"/>
  <c r="M463" i="149"/>
  <c r="L463" i="149"/>
  <c r="K463" i="149"/>
  <c r="J463" i="149"/>
  <c r="M462" i="149"/>
  <c r="L462" i="149"/>
  <c r="K462" i="149"/>
  <c r="J462" i="149"/>
  <c r="M461" i="149"/>
  <c r="L461" i="149"/>
  <c r="K461" i="149"/>
  <c r="J461" i="149"/>
  <c r="M460" i="149"/>
  <c r="L460" i="149"/>
  <c r="K460" i="149"/>
  <c r="J460" i="149"/>
  <c r="M459" i="149"/>
  <c r="L459" i="149"/>
  <c r="K459" i="149"/>
  <c r="J459" i="149"/>
  <c r="M458" i="149"/>
  <c r="L458" i="149"/>
  <c r="K458" i="149"/>
  <c r="J458" i="149"/>
  <c r="M457" i="149"/>
  <c r="L457" i="149"/>
  <c r="K457" i="149"/>
  <c r="J457" i="149"/>
  <c r="M456" i="149"/>
  <c r="L456" i="149"/>
  <c r="K456" i="149"/>
  <c r="J456" i="149"/>
  <c r="M455" i="149"/>
  <c r="L455" i="149"/>
  <c r="K455" i="149"/>
  <c r="J455" i="149"/>
  <c r="M454" i="149"/>
  <c r="L454" i="149"/>
  <c r="K454" i="149"/>
  <c r="J454" i="149"/>
  <c r="M453" i="149"/>
  <c r="L453" i="149"/>
  <c r="K453" i="149"/>
  <c r="J453" i="149"/>
  <c r="M452" i="149"/>
  <c r="L452" i="149"/>
  <c r="K452" i="149"/>
  <c r="J452" i="149"/>
  <c r="M451" i="149"/>
  <c r="L451" i="149"/>
  <c r="K451" i="149"/>
  <c r="J451" i="149"/>
  <c r="M450" i="149"/>
  <c r="L450" i="149"/>
  <c r="K450" i="149"/>
  <c r="J450" i="149"/>
  <c r="M449" i="149"/>
  <c r="L449" i="149"/>
  <c r="K449" i="149"/>
  <c r="J449" i="149"/>
  <c r="M448" i="149"/>
  <c r="L448" i="149"/>
  <c r="K448" i="149"/>
  <c r="J448" i="149"/>
  <c r="M447" i="149"/>
  <c r="L447" i="149"/>
  <c r="K447" i="149"/>
  <c r="J447" i="149"/>
  <c r="M446" i="149"/>
  <c r="L446" i="149"/>
  <c r="K446" i="149"/>
  <c r="J446" i="149"/>
  <c r="M445" i="149"/>
  <c r="L445" i="149"/>
  <c r="K445" i="149"/>
  <c r="J445" i="149"/>
  <c r="M444" i="149"/>
  <c r="L444" i="149"/>
  <c r="K444" i="149"/>
  <c r="J444" i="149"/>
  <c r="M443" i="149"/>
  <c r="L443" i="149"/>
  <c r="K443" i="149"/>
  <c r="J443" i="149"/>
  <c r="M442" i="149"/>
  <c r="L442" i="149"/>
  <c r="K442" i="149"/>
  <c r="J442" i="149"/>
  <c r="M441" i="149"/>
  <c r="L441" i="149"/>
  <c r="K441" i="149"/>
  <c r="J441" i="149"/>
  <c r="M440" i="149"/>
  <c r="L440" i="149"/>
  <c r="K440" i="149"/>
  <c r="J440" i="149"/>
  <c r="M439" i="149"/>
  <c r="L439" i="149"/>
  <c r="K439" i="149"/>
  <c r="J439" i="149"/>
  <c r="M438" i="149"/>
  <c r="L438" i="149"/>
  <c r="K438" i="149"/>
  <c r="J438" i="149"/>
  <c r="M437" i="149"/>
  <c r="L437" i="149"/>
  <c r="K437" i="149"/>
  <c r="J437" i="149"/>
  <c r="M436" i="149"/>
  <c r="L436" i="149"/>
  <c r="K436" i="149"/>
  <c r="J436" i="149"/>
  <c r="M435" i="149"/>
  <c r="L435" i="149"/>
  <c r="K435" i="149"/>
  <c r="J435" i="149"/>
  <c r="M434" i="149"/>
  <c r="L434" i="149"/>
  <c r="K434" i="149"/>
  <c r="J434" i="149"/>
  <c r="M433" i="149"/>
  <c r="L433" i="149"/>
  <c r="K433" i="149"/>
  <c r="J433" i="149"/>
  <c r="M432" i="149"/>
  <c r="L432" i="149"/>
  <c r="K432" i="149"/>
  <c r="J432" i="149"/>
  <c r="M431" i="149"/>
  <c r="L431" i="149"/>
  <c r="K431" i="149"/>
  <c r="J431" i="149"/>
  <c r="M430" i="149"/>
  <c r="L430" i="149"/>
  <c r="K430" i="149"/>
  <c r="J430" i="149"/>
  <c r="M429" i="149"/>
  <c r="L429" i="149"/>
  <c r="K429" i="149"/>
  <c r="J429" i="149"/>
  <c r="M428" i="149"/>
  <c r="L428" i="149"/>
  <c r="K428" i="149"/>
  <c r="J428" i="149"/>
  <c r="M427" i="149"/>
  <c r="L427" i="149"/>
  <c r="K427" i="149"/>
  <c r="J427" i="149"/>
  <c r="M426" i="149"/>
  <c r="L426" i="149"/>
  <c r="K426" i="149"/>
  <c r="J426" i="149"/>
  <c r="M425" i="149"/>
  <c r="L425" i="149"/>
  <c r="K425" i="149"/>
  <c r="J425" i="149"/>
  <c r="M424" i="149"/>
  <c r="L424" i="149"/>
  <c r="K424" i="149"/>
  <c r="J424" i="149"/>
  <c r="M423" i="149"/>
  <c r="L423" i="149"/>
  <c r="K423" i="149"/>
  <c r="J423" i="149"/>
  <c r="M422" i="149"/>
  <c r="L422" i="149"/>
  <c r="K422" i="149"/>
  <c r="J422" i="149"/>
  <c r="M421" i="149"/>
  <c r="L421" i="149"/>
  <c r="K421" i="149"/>
  <c r="J421" i="149"/>
  <c r="M420" i="149"/>
  <c r="L420" i="149"/>
  <c r="K420" i="149"/>
  <c r="J420" i="149"/>
  <c r="M419" i="149"/>
  <c r="L419" i="149"/>
  <c r="K419" i="149"/>
  <c r="J419" i="149"/>
  <c r="M418" i="149"/>
  <c r="L418" i="149"/>
  <c r="K418" i="149"/>
  <c r="J418" i="149"/>
  <c r="M417" i="149"/>
  <c r="L417" i="149"/>
  <c r="K417" i="149"/>
  <c r="J417" i="149"/>
  <c r="M416" i="149"/>
  <c r="L416" i="149"/>
  <c r="K416" i="149"/>
  <c r="J416" i="149"/>
  <c r="M415" i="149"/>
  <c r="L415" i="149"/>
  <c r="K415" i="149"/>
  <c r="J415" i="149"/>
  <c r="M414" i="149"/>
  <c r="L414" i="149"/>
  <c r="K414" i="149"/>
  <c r="J414" i="149"/>
  <c r="M413" i="149"/>
  <c r="L413" i="149"/>
  <c r="K413" i="149"/>
  <c r="J413" i="149"/>
  <c r="M412" i="149"/>
  <c r="L412" i="149"/>
  <c r="K412" i="149"/>
  <c r="J412" i="149"/>
  <c r="M411" i="149"/>
  <c r="L411" i="149"/>
  <c r="K411" i="149"/>
  <c r="J411" i="149"/>
  <c r="M410" i="149"/>
  <c r="L410" i="149"/>
  <c r="K410" i="149"/>
  <c r="J410" i="149"/>
  <c r="M409" i="149"/>
  <c r="L409" i="149"/>
  <c r="K409" i="149"/>
  <c r="J409" i="149"/>
  <c r="M408" i="149"/>
  <c r="L408" i="149"/>
  <c r="K408" i="149"/>
  <c r="J408" i="149"/>
  <c r="M407" i="149"/>
  <c r="L407" i="149"/>
  <c r="K407" i="149"/>
  <c r="J407" i="149"/>
  <c r="M406" i="149"/>
  <c r="L406" i="149"/>
  <c r="K406" i="149"/>
  <c r="J406" i="149"/>
  <c r="M405" i="149"/>
  <c r="L405" i="149"/>
  <c r="K405" i="149"/>
  <c r="J405" i="149"/>
  <c r="M404" i="149"/>
  <c r="L404" i="149"/>
  <c r="K404" i="149"/>
  <c r="J404" i="149"/>
  <c r="M403" i="149"/>
  <c r="L403" i="149"/>
  <c r="K403" i="149"/>
  <c r="J403" i="149"/>
  <c r="M402" i="149"/>
  <c r="L402" i="149"/>
  <c r="K402" i="149"/>
  <c r="J402" i="149"/>
  <c r="M401" i="149"/>
  <c r="L401" i="149"/>
  <c r="K401" i="149"/>
  <c r="J401" i="149"/>
  <c r="M400" i="149"/>
  <c r="L400" i="149"/>
  <c r="K400" i="149"/>
  <c r="J400" i="149"/>
  <c r="M399" i="149"/>
  <c r="L399" i="149"/>
  <c r="K399" i="149"/>
  <c r="J399" i="149"/>
  <c r="M398" i="149"/>
  <c r="L398" i="149"/>
  <c r="K398" i="149"/>
  <c r="J398" i="149"/>
  <c r="M397" i="149"/>
  <c r="L397" i="149"/>
  <c r="K397" i="149"/>
  <c r="J397" i="149"/>
  <c r="M396" i="149"/>
  <c r="L396" i="149"/>
  <c r="K396" i="149"/>
  <c r="J396" i="149"/>
  <c r="M395" i="149"/>
  <c r="L395" i="149"/>
  <c r="K395" i="149"/>
  <c r="J395" i="149"/>
  <c r="M394" i="149"/>
  <c r="L394" i="149"/>
  <c r="K394" i="149"/>
  <c r="J394" i="149"/>
  <c r="M393" i="149"/>
  <c r="L393" i="149"/>
  <c r="K393" i="149"/>
  <c r="J393" i="149"/>
  <c r="M392" i="149"/>
  <c r="L392" i="149"/>
  <c r="K392" i="149"/>
  <c r="J392" i="149"/>
  <c r="M391" i="149"/>
  <c r="L391" i="149"/>
  <c r="K391" i="149"/>
  <c r="J391" i="149"/>
  <c r="M390" i="149"/>
  <c r="L390" i="149"/>
  <c r="K390" i="149"/>
  <c r="J390" i="149"/>
  <c r="M389" i="149"/>
  <c r="L389" i="149"/>
  <c r="K389" i="149"/>
  <c r="J389" i="149"/>
  <c r="M388" i="149"/>
  <c r="L388" i="149"/>
  <c r="K388" i="149"/>
  <c r="J388" i="149"/>
  <c r="M387" i="149"/>
  <c r="L387" i="149"/>
  <c r="K387" i="149"/>
  <c r="J387" i="149"/>
  <c r="M386" i="149"/>
  <c r="L386" i="149"/>
  <c r="K386" i="149"/>
  <c r="J386" i="149"/>
  <c r="M385" i="149"/>
  <c r="L385" i="149"/>
  <c r="K385" i="149"/>
  <c r="J385" i="149"/>
  <c r="M384" i="149"/>
  <c r="L384" i="149"/>
  <c r="K384" i="149"/>
  <c r="J384" i="149"/>
  <c r="M383" i="149"/>
  <c r="L383" i="149"/>
  <c r="K383" i="149"/>
  <c r="J383" i="149"/>
  <c r="M382" i="149"/>
  <c r="L382" i="149"/>
  <c r="K382" i="149"/>
  <c r="J382" i="149"/>
  <c r="M381" i="149"/>
  <c r="L381" i="149"/>
  <c r="K381" i="149"/>
  <c r="J381" i="149"/>
  <c r="M380" i="149"/>
  <c r="L380" i="149"/>
  <c r="K380" i="149"/>
  <c r="J380" i="149"/>
  <c r="M379" i="149"/>
  <c r="L379" i="149"/>
  <c r="K379" i="149"/>
  <c r="J379" i="149"/>
  <c r="M378" i="149"/>
  <c r="L378" i="149"/>
  <c r="K378" i="149"/>
  <c r="J378" i="149"/>
  <c r="M377" i="149"/>
  <c r="L377" i="149"/>
  <c r="K377" i="149"/>
  <c r="J377" i="149"/>
  <c r="M376" i="149"/>
  <c r="L376" i="149"/>
  <c r="K376" i="149"/>
  <c r="J376" i="149"/>
  <c r="M375" i="149"/>
  <c r="L375" i="149"/>
  <c r="K375" i="149"/>
  <c r="J375" i="149"/>
  <c r="M374" i="149"/>
  <c r="L374" i="149"/>
  <c r="K374" i="149"/>
  <c r="J374" i="149"/>
  <c r="M373" i="149"/>
  <c r="L373" i="149"/>
  <c r="K373" i="149"/>
  <c r="J373" i="149"/>
  <c r="M372" i="149"/>
  <c r="L372" i="149"/>
  <c r="K372" i="149"/>
  <c r="J372" i="149"/>
  <c r="M371" i="149"/>
  <c r="L371" i="149"/>
  <c r="K371" i="149"/>
  <c r="J371" i="149"/>
  <c r="M370" i="149"/>
  <c r="L370" i="149"/>
  <c r="K370" i="149"/>
  <c r="J370" i="149"/>
  <c r="M369" i="149"/>
  <c r="L369" i="149"/>
  <c r="K369" i="149"/>
  <c r="J369" i="149"/>
  <c r="M368" i="149"/>
  <c r="L368" i="149"/>
  <c r="K368" i="149"/>
  <c r="J368" i="149"/>
  <c r="M367" i="149"/>
  <c r="L367" i="149"/>
  <c r="K367" i="149"/>
  <c r="J367" i="149"/>
  <c r="M366" i="149"/>
  <c r="L366" i="149"/>
  <c r="K366" i="149"/>
  <c r="J366" i="149"/>
  <c r="M365" i="149"/>
  <c r="L365" i="149"/>
  <c r="K365" i="149"/>
  <c r="J365" i="149"/>
  <c r="M364" i="149"/>
  <c r="L364" i="149"/>
  <c r="K364" i="149"/>
  <c r="J364" i="149"/>
  <c r="M363" i="149"/>
  <c r="L363" i="149"/>
  <c r="K363" i="149"/>
  <c r="J363" i="149"/>
  <c r="M362" i="149"/>
  <c r="L362" i="149"/>
  <c r="K362" i="149"/>
  <c r="J362" i="149"/>
  <c r="M361" i="149"/>
  <c r="L361" i="149"/>
  <c r="K361" i="149"/>
  <c r="J361" i="149"/>
  <c r="M360" i="149"/>
  <c r="L360" i="149"/>
  <c r="K360" i="149"/>
  <c r="J360" i="149"/>
  <c r="M359" i="149"/>
  <c r="L359" i="149"/>
  <c r="K359" i="149"/>
  <c r="J359" i="149"/>
  <c r="M358" i="149"/>
  <c r="L358" i="149"/>
  <c r="K358" i="149"/>
  <c r="J358" i="149"/>
  <c r="M357" i="149"/>
  <c r="L357" i="149"/>
  <c r="K357" i="149"/>
  <c r="J357" i="149"/>
  <c r="M356" i="149"/>
  <c r="L356" i="149"/>
  <c r="K356" i="149"/>
  <c r="J356" i="149"/>
  <c r="M355" i="149"/>
  <c r="L355" i="149"/>
  <c r="K355" i="149"/>
  <c r="J355" i="149"/>
  <c r="M354" i="149"/>
  <c r="L354" i="149"/>
  <c r="K354" i="149"/>
  <c r="J354" i="149"/>
  <c r="M353" i="149"/>
  <c r="L353" i="149"/>
  <c r="K353" i="149"/>
  <c r="J353" i="149"/>
  <c r="M352" i="149"/>
  <c r="L352" i="149"/>
  <c r="K352" i="149"/>
  <c r="J352" i="149"/>
  <c r="M351" i="149"/>
  <c r="L351" i="149"/>
  <c r="K351" i="149"/>
  <c r="J351" i="149"/>
  <c r="M350" i="149"/>
  <c r="L350" i="149"/>
  <c r="K350" i="149"/>
  <c r="J350" i="149"/>
  <c r="M349" i="149"/>
  <c r="L349" i="149"/>
  <c r="K349" i="149"/>
  <c r="J349" i="149"/>
  <c r="M348" i="149"/>
  <c r="L348" i="149"/>
  <c r="K348" i="149"/>
  <c r="J348" i="149"/>
  <c r="M347" i="149"/>
  <c r="L347" i="149"/>
  <c r="K347" i="149"/>
  <c r="J347" i="149"/>
  <c r="M346" i="149"/>
  <c r="L346" i="149"/>
  <c r="K346" i="149"/>
  <c r="J346" i="149"/>
  <c r="M345" i="149"/>
  <c r="L345" i="149"/>
  <c r="K345" i="149"/>
  <c r="J345" i="149"/>
  <c r="M344" i="149"/>
  <c r="L344" i="149"/>
  <c r="K344" i="149"/>
  <c r="J344" i="149"/>
  <c r="M343" i="149"/>
  <c r="L343" i="149"/>
  <c r="K343" i="149"/>
  <c r="J343" i="149"/>
  <c r="M342" i="149"/>
  <c r="L342" i="149"/>
  <c r="K342" i="149"/>
  <c r="J342" i="149"/>
  <c r="M341" i="149"/>
  <c r="L341" i="149"/>
  <c r="K341" i="149"/>
  <c r="J341" i="149"/>
  <c r="M340" i="149"/>
  <c r="L340" i="149"/>
  <c r="K340" i="149"/>
  <c r="J340" i="149"/>
  <c r="M339" i="149"/>
  <c r="L339" i="149"/>
  <c r="K339" i="149"/>
  <c r="J339" i="149"/>
  <c r="M338" i="149"/>
  <c r="L338" i="149"/>
  <c r="K338" i="149"/>
  <c r="J338" i="149"/>
  <c r="M337" i="149"/>
  <c r="L337" i="149"/>
  <c r="K337" i="149"/>
  <c r="J337" i="149"/>
  <c r="M336" i="149"/>
  <c r="L336" i="149"/>
  <c r="K336" i="149"/>
  <c r="J336" i="149"/>
  <c r="M335" i="149"/>
  <c r="L335" i="149"/>
  <c r="K335" i="149"/>
  <c r="J335" i="149"/>
  <c r="M334" i="149"/>
  <c r="L334" i="149"/>
  <c r="K334" i="149"/>
  <c r="J334" i="149"/>
  <c r="M333" i="149"/>
  <c r="L333" i="149"/>
  <c r="K333" i="149"/>
  <c r="J333" i="149"/>
  <c r="M332" i="149"/>
  <c r="L332" i="149"/>
  <c r="K332" i="149"/>
  <c r="J332" i="149"/>
  <c r="M331" i="149"/>
  <c r="L331" i="149"/>
  <c r="K331" i="149"/>
  <c r="J331" i="149"/>
  <c r="M330" i="149"/>
  <c r="L330" i="149"/>
  <c r="K330" i="149"/>
  <c r="J330" i="149"/>
  <c r="M329" i="149"/>
  <c r="L329" i="149"/>
  <c r="K329" i="149"/>
  <c r="J329" i="149"/>
  <c r="M328" i="149"/>
  <c r="L328" i="149"/>
  <c r="K328" i="149"/>
  <c r="J328" i="149"/>
  <c r="M327" i="149"/>
  <c r="L327" i="149"/>
  <c r="K327" i="149"/>
  <c r="J327" i="149"/>
  <c r="M326" i="149"/>
  <c r="L326" i="149"/>
  <c r="K326" i="149"/>
  <c r="J326" i="149"/>
  <c r="M325" i="149"/>
  <c r="L325" i="149"/>
  <c r="K325" i="149"/>
  <c r="J325" i="149"/>
  <c r="M324" i="149"/>
  <c r="L324" i="149"/>
  <c r="K324" i="149"/>
  <c r="J324" i="149"/>
  <c r="M323" i="149"/>
  <c r="L323" i="149"/>
  <c r="K323" i="149"/>
  <c r="J323" i="149"/>
  <c r="M322" i="149"/>
  <c r="L322" i="149"/>
  <c r="K322" i="149"/>
  <c r="J322" i="149"/>
  <c r="M321" i="149"/>
  <c r="L321" i="149"/>
  <c r="K321" i="149"/>
  <c r="J321" i="149"/>
  <c r="M320" i="149"/>
  <c r="L320" i="149"/>
  <c r="K320" i="149"/>
  <c r="J320" i="149"/>
  <c r="M319" i="149"/>
  <c r="L319" i="149"/>
  <c r="K319" i="149"/>
  <c r="J319" i="149"/>
  <c r="M318" i="149"/>
  <c r="L318" i="149"/>
  <c r="K318" i="149"/>
  <c r="J318" i="149"/>
  <c r="M317" i="149"/>
  <c r="L317" i="149"/>
  <c r="K317" i="149"/>
  <c r="J317" i="149"/>
  <c r="M316" i="149"/>
  <c r="L316" i="149"/>
  <c r="K316" i="149"/>
  <c r="J316" i="149"/>
  <c r="M315" i="149"/>
  <c r="L315" i="149"/>
  <c r="K315" i="149"/>
  <c r="J315" i="149"/>
  <c r="M314" i="149"/>
  <c r="L314" i="149"/>
  <c r="K314" i="149"/>
  <c r="J314" i="149"/>
  <c r="M313" i="149"/>
  <c r="L313" i="149"/>
  <c r="K313" i="149"/>
  <c r="J313" i="149"/>
  <c r="M312" i="149"/>
  <c r="L312" i="149"/>
  <c r="K312" i="149"/>
  <c r="J312" i="149"/>
  <c r="M311" i="149"/>
  <c r="L311" i="149"/>
  <c r="K311" i="149"/>
  <c r="J311" i="149"/>
  <c r="M310" i="149"/>
  <c r="L310" i="149"/>
  <c r="K310" i="149"/>
  <c r="J310" i="149"/>
  <c r="M309" i="149"/>
  <c r="L309" i="149"/>
  <c r="K309" i="149"/>
  <c r="J309" i="149"/>
  <c r="M308" i="149"/>
  <c r="L308" i="149"/>
  <c r="K308" i="149"/>
  <c r="J308" i="149"/>
  <c r="M307" i="149"/>
  <c r="L307" i="149"/>
  <c r="K307" i="149"/>
  <c r="J307" i="149"/>
  <c r="M306" i="149"/>
  <c r="L306" i="149"/>
  <c r="K306" i="149"/>
  <c r="J306" i="149"/>
  <c r="M305" i="149"/>
  <c r="L305" i="149"/>
  <c r="K305" i="149"/>
  <c r="J305" i="149"/>
  <c r="M304" i="149"/>
  <c r="L304" i="149"/>
  <c r="K304" i="149"/>
  <c r="J304" i="149"/>
  <c r="M303" i="149"/>
  <c r="L303" i="149"/>
  <c r="K303" i="149"/>
  <c r="J303" i="149"/>
  <c r="M302" i="149"/>
  <c r="L302" i="149"/>
  <c r="K302" i="149"/>
  <c r="J302" i="149"/>
  <c r="M301" i="149"/>
  <c r="L301" i="149"/>
  <c r="K301" i="149"/>
  <c r="J301" i="149"/>
  <c r="M300" i="149"/>
  <c r="L300" i="149"/>
  <c r="K300" i="149"/>
  <c r="J300" i="149"/>
  <c r="M299" i="149"/>
  <c r="L299" i="149"/>
  <c r="K299" i="149"/>
  <c r="J299" i="149"/>
  <c r="M298" i="149"/>
  <c r="L298" i="149"/>
  <c r="K298" i="149"/>
  <c r="J298" i="149"/>
  <c r="M297" i="149"/>
  <c r="L297" i="149"/>
  <c r="K297" i="149"/>
  <c r="J297" i="149"/>
  <c r="M296" i="149"/>
  <c r="L296" i="149"/>
  <c r="K296" i="149"/>
  <c r="J296" i="149"/>
  <c r="M295" i="149"/>
  <c r="L295" i="149"/>
  <c r="K295" i="149"/>
  <c r="J295" i="149"/>
  <c r="M294" i="149"/>
  <c r="L294" i="149"/>
  <c r="K294" i="149"/>
  <c r="J294" i="149"/>
  <c r="M293" i="149"/>
  <c r="L293" i="149"/>
  <c r="K293" i="149"/>
  <c r="J293" i="149"/>
  <c r="M292" i="149"/>
  <c r="L292" i="149"/>
  <c r="K292" i="149"/>
  <c r="J292" i="149"/>
  <c r="M291" i="149"/>
  <c r="L291" i="149"/>
  <c r="K291" i="149"/>
  <c r="J291" i="149"/>
  <c r="M290" i="149"/>
  <c r="L290" i="149"/>
  <c r="K290" i="149"/>
  <c r="J290" i="149"/>
  <c r="M289" i="149"/>
  <c r="L289" i="149"/>
  <c r="K289" i="149"/>
  <c r="J289" i="149"/>
  <c r="M288" i="149"/>
  <c r="L288" i="149"/>
  <c r="K288" i="149"/>
  <c r="J288" i="149"/>
  <c r="M287" i="149"/>
  <c r="L287" i="149"/>
  <c r="K287" i="149"/>
  <c r="J287" i="149"/>
  <c r="M286" i="149"/>
  <c r="L286" i="149"/>
  <c r="K286" i="149"/>
  <c r="J286" i="149"/>
  <c r="M285" i="149"/>
  <c r="L285" i="149"/>
  <c r="K285" i="149"/>
  <c r="J285" i="149"/>
  <c r="M284" i="149"/>
  <c r="L284" i="149"/>
  <c r="K284" i="149"/>
  <c r="J284" i="149"/>
  <c r="M283" i="149"/>
  <c r="L283" i="149"/>
  <c r="K283" i="149"/>
  <c r="J283" i="149"/>
  <c r="M282" i="149"/>
  <c r="L282" i="149"/>
  <c r="K282" i="149"/>
  <c r="J282" i="149"/>
  <c r="M281" i="149"/>
  <c r="L281" i="149"/>
  <c r="K281" i="149"/>
  <c r="J281" i="149"/>
  <c r="M280" i="149"/>
  <c r="L280" i="149"/>
  <c r="K280" i="149"/>
  <c r="J280" i="149"/>
  <c r="M279" i="149"/>
  <c r="L279" i="149"/>
  <c r="K279" i="149"/>
  <c r="J279" i="149"/>
  <c r="M278" i="149"/>
  <c r="L278" i="149"/>
  <c r="K278" i="149"/>
  <c r="J278" i="149"/>
  <c r="M277" i="149"/>
  <c r="L277" i="149"/>
  <c r="K277" i="149"/>
  <c r="J277" i="149"/>
  <c r="M276" i="149"/>
  <c r="L276" i="149"/>
  <c r="K276" i="149"/>
  <c r="J276" i="149"/>
  <c r="M275" i="149"/>
  <c r="L275" i="149"/>
  <c r="K275" i="149"/>
  <c r="J275" i="149"/>
  <c r="M274" i="149"/>
  <c r="L274" i="149"/>
  <c r="K274" i="149"/>
  <c r="J274" i="149"/>
  <c r="M273" i="149"/>
  <c r="L273" i="149"/>
  <c r="K273" i="149"/>
  <c r="J273" i="149"/>
  <c r="M272" i="149"/>
  <c r="L272" i="149"/>
  <c r="K272" i="149"/>
  <c r="J272" i="149"/>
  <c r="M271" i="149"/>
  <c r="L271" i="149"/>
  <c r="K271" i="149"/>
  <c r="J271" i="149"/>
  <c r="M270" i="149"/>
  <c r="L270" i="149"/>
  <c r="K270" i="149"/>
  <c r="J270" i="149"/>
  <c r="M269" i="149"/>
  <c r="L269" i="149"/>
  <c r="K269" i="149"/>
  <c r="J269" i="149"/>
  <c r="M268" i="149"/>
  <c r="L268" i="149"/>
  <c r="K268" i="149"/>
  <c r="J268" i="149"/>
  <c r="M267" i="149"/>
  <c r="L267" i="149"/>
  <c r="K267" i="149"/>
  <c r="J267" i="149"/>
  <c r="M266" i="149"/>
  <c r="L266" i="149"/>
  <c r="K266" i="149"/>
  <c r="J266" i="149"/>
  <c r="M265" i="149"/>
  <c r="L265" i="149"/>
  <c r="K265" i="149"/>
  <c r="J265" i="149"/>
  <c r="M264" i="149"/>
  <c r="L264" i="149"/>
  <c r="K264" i="149"/>
  <c r="J264" i="149"/>
  <c r="M263" i="149"/>
  <c r="L263" i="149"/>
  <c r="K263" i="149"/>
  <c r="J263" i="149"/>
  <c r="M262" i="149"/>
  <c r="L262" i="149"/>
  <c r="K262" i="149"/>
  <c r="J262" i="149"/>
  <c r="M261" i="149"/>
  <c r="L261" i="149"/>
  <c r="K261" i="149"/>
  <c r="J261" i="149"/>
  <c r="M260" i="149"/>
  <c r="L260" i="149"/>
  <c r="K260" i="149"/>
  <c r="J260" i="149"/>
  <c r="M259" i="149"/>
  <c r="L259" i="149"/>
  <c r="K259" i="149"/>
  <c r="J259" i="149"/>
  <c r="M258" i="149"/>
  <c r="L258" i="149"/>
  <c r="K258" i="149"/>
  <c r="J258" i="149"/>
  <c r="M257" i="149"/>
  <c r="L257" i="149"/>
  <c r="K257" i="149"/>
  <c r="J257" i="149"/>
  <c r="M256" i="149"/>
  <c r="L256" i="149"/>
  <c r="K256" i="149"/>
  <c r="J256" i="149"/>
  <c r="M255" i="149"/>
  <c r="L255" i="149"/>
  <c r="K255" i="149"/>
  <c r="J255" i="149"/>
  <c r="M254" i="149"/>
  <c r="L254" i="149"/>
  <c r="K254" i="149"/>
  <c r="J254" i="149"/>
  <c r="M253" i="149"/>
  <c r="L253" i="149"/>
  <c r="K253" i="149"/>
  <c r="J253" i="149"/>
  <c r="M252" i="149"/>
  <c r="L252" i="149"/>
  <c r="K252" i="149"/>
  <c r="J252" i="149"/>
  <c r="M251" i="149"/>
  <c r="L251" i="149"/>
  <c r="K251" i="149"/>
  <c r="J251" i="149"/>
  <c r="M250" i="149"/>
  <c r="L250" i="149"/>
  <c r="K250" i="149"/>
  <c r="J250" i="149"/>
  <c r="M249" i="149"/>
  <c r="L249" i="149"/>
  <c r="K249" i="149"/>
  <c r="J249" i="149"/>
  <c r="M248" i="149"/>
  <c r="L248" i="149"/>
  <c r="K248" i="149"/>
  <c r="J248" i="149"/>
  <c r="M247" i="149"/>
  <c r="L247" i="149"/>
  <c r="K247" i="149"/>
  <c r="J247" i="149"/>
  <c r="M246" i="149"/>
  <c r="L246" i="149"/>
  <c r="K246" i="149"/>
  <c r="J246" i="149"/>
  <c r="M245" i="149"/>
  <c r="L245" i="149"/>
  <c r="K245" i="149"/>
  <c r="J245" i="149"/>
  <c r="M244" i="149"/>
  <c r="L244" i="149"/>
  <c r="K244" i="149"/>
  <c r="J244" i="149"/>
  <c r="M243" i="149"/>
  <c r="L243" i="149"/>
  <c r="K243" i="149"/>
  <c r="J243" i="149"/>
  <c r="M242" i="149"/>
  <c r="L242" i="149"/>
  <c r="K242" i="149"/>
  <c r="J242" i="149"/>
  <c r="M241" i="149"/>
  <c r="L241" i="149"/>
  <c r="K241" i="149"/>
  <c r="J241" i="149"/>
  <c r="M240" i="149"/>
  <c r="L240" i="149"/>
  <c r="K240" i="149"/>
  <c r="J240" i="149"/>
  <c r="M239" i="149"/>
  <c r="L239" i="149"/>
  <c r="K239" i="149"/>
  <c r="J239" i="149"/>
  <c r="M238" i="149"/>
  <c r="L238" i="149"/>
  <c r="K238" i="149"/>
  <c r="J238" i="149"/>
  <c r="M237" i="149"/>
  <c r="L237" i="149"/>
  <c r="K237" i="149"/>
  <c r="J237" i="149"/>
  <c r="M236" i="149"/>
  <c r="L236" i="149"/>
  <c r="K236" i="149"/>
  <c r="J236" i="149"/>
  <c r="M235" i="149"/>
  <c r="L235" i="149"/>
  <c r="K235" i="149"/>
  <c r="J235" i="149"/>
  <c r="M234" i="149"/>
  <c r="L234" i="149"/>
  <c r="K234" i="149"/>
  <c r="J234" i="149"/>
  <c r="M233" i="149"/>
  <c r="L233" i="149"/>
  <c r="K233" i="149"/>
  <c r="J233" i="149"/>
  <c r="M232" i="149"/>
  <c r="L232" i="149"/>
  <c r="K232" i="149"/>
  <c r="J232" i="149"/>
  <c r="M231" i="149"/>
  <c r="L231" i="149"/>
  <c r="K231" i="149"/>
  <c r="J231" i="149"/>
  <c r="M230" i="149"/>
  <c r="L230" i="149"/>
  <c r="K230" i="149"/>
  <c r="J230" i="149"/>
  <c r="M229" i="149"/>
  <c r="L229" i="149"/>
  <c r="K229" i="149"/>
  <c r="J229" i="149"/>
  <c r="M228" i="149"/>
  <c r="L228" i="149"/>
  <c r="K228" i="149"/>
  <c r="J228" i="149"/>
  <c r="M227" i="149"/>
  <c r="L227" i="149"/>
  <c r="K227" i="149"/>
  <c r="J227" i="149"/>
  <c r="M226" i="149"/>
  <c r="L226" i="149"/>
  <c r="K226" i="149"/>
  <c r="J226" i="149"/>
  <c r="M225" i="149"/>
  <c r="L225" i="149"/>
  <c r="K225" i="149"/>
  <c r="J225" i="149"/>
  <c r="M224" i="149"/>
  <c r="L224" i="149"/>
  <c r="K224" i="149"/>
  <c r="J224" i="149"/>
  <c r="M223" i="149"/>
  <c r="L223" i="149"/>
  <c r="K223" i="149"/>
  <c r="J223" i="149"/>
  <c r="M222" i="149"/>
  <c r="L222" i="149"/>
  <c r="K222" i="149"/>
  <c r="J222" i="149"/>
  <c r="M221" i="149"/>
  <c r="L221" i="149"/>
  <c r="K221" i="149"/>
  <c r="J221" i="149"/>
  <c r="M220" i="149"/>
  <c r="L220" i="149"/>
  <c r="K220" i="149"/>
  <c r="J220" i="149"/>
  <c r="M219" i="149"/>
  <c r="L219" i="149"/>
  <c r="K219" i="149"/>
  <c r="J219" i="149"/>
  <c r="M218" i="149"/>
  <c r="L218" i="149"/>
  <c r="K218" i="149"/>
  <c r="J218" i="149"/>
  <c r="M217" i="149"/>
  <c r="L217" i="149"/>
  <c r="K217" i="149"/>
  <c r="J217" i="149"/>
  <c r="M216" i="149"/>
  <c r="L216" i="149"/>
  <c r="K216" i="149"/>
  <c r="J216" i="149"/>
  <c r="M215" i="149"/>
  <c r="L215" i="149"/>
  <c r="K215" i="149"/>
  <c r="J215" i="149"/>
  <c r="M214" i="149"/>
  <c r="L214" i="149"/>
  <c r="K214" i="149"/>
  <c r="J214" i="149"/>
  <c r="M213" i="149"/>
  <c r="L213" i="149"/>
  <c r="K213" i="149"/>
  <c r="J213" i="149"/>
  <c r="M212" i="149"/>
  <c r="L212" i="149"/>
  <c r="K212" i="149"/>
  <c r="J212" i="149"/>
  <c r="M211" i="149"/>
  <c r="L211" i="149"/>
  <c r="K211" i="149"/>
  <c r="J211" i="149"/>
  <c r="M210" i="149"/>
  <c r="L210" i="149"/>
  <c r="K210" i="149"/>
  <c r="J210" i="149"/>
  <c r="M209" i="149"/>
  <c r="L209" i="149"/>
  <c r="K209" i="149"/>
  <c r="J209" i="149"/>
  <c r="M208" i="149"/>
  <c r="L208" i="149"/>
  <c r="K208" i="149"/>
  <c r="J208" i="149"/>
  <c r="M207" i="149"/>
  <c r="L207" i="149"/>
  <c r="K207" i="149"/>
  <c r="J207" i="149"/>
  <c r="M206" i="149"/>
  <c r="L206" i="149"/>
  <c r="K206" i="149"/>
  <c r="J206" i="149"/>
  <c r="M205" i="149"/>
  <c r="L205" i="149"/>
  <c r="K205" i="149"/>
  <c r="J205" i="149"/>
  <c r="M204" i="149"/>
  <c r="L204" i="149"/>
  <c r="K204" i="149"/>
  <c r="J204" i="149"/>
  <c r="M203" i="149"/>
  <c r="L203" i="149"/>
  <c r="K203" i="149"/>
  <c r="J203" i="149"/>
  <c r="M202" i="149"/>
  <c r="L202" i="149"/>
  <c r="K202" i="149"/>
  <c r="J202" i="149"/>
  <c r="M201" i="149"/>
  <c r="L201" i="149"/>
  <c r="K201" i="149"/>
  <c r="J201" i="149"/>
  <c r="M200" i="149"/>
  <c r="L200" i="149"/>
  <c r="K200" i="149"/>
  <c r="J200" i="149"/>
  <c r="M199" i="149"/>
  <c r="L199" i="149"/>
  <c r="K199" i="149"/>
  <c r="J199" i="149"/>
  <c r="M198" i="149"/>
  <c r="L198" i="149"/>
  <c r="K198" i="149"/>
  <c r="J198" i="149"/>
  <c r="M197" i="149"/>
  <c r="L197" i="149"/>
  <c r="K197" i="149"/>
  <c r="J197" i="149"/>
  <c r="M196" i="149"/>
  <c r="L196" i="149"/>
  <c r="K196" i="149"/>
  <c r="J196" i="149"/>
  <c r="M195" i="149"/>
  <c r="L195" i="149"/>
  <c r="K195" i="149"/>
  <c r="J195" i="149"/>
  <c r="M194" i="149"/>
  <c r="L194" i="149"/>
  <c r="K194" i="149"/>
  <c r="J194" i="149"/>
  <c r="M193" i="149"/>
  <c r="L193" i="149"/>
  <c r="K193" i="149"/>
  <c r="J193" i="149"/>
  <c r="M192" i="149"/>
  <c r="L192" i="149"/>
  <c r="K192" i="149"/>
  <c r="J192" i="149"/>
  <c r="M191" i="149"/>
  <c r="L191" i="149"/>
  <c r="K191" i="149"/>
  <c r="J191" i="149"/>
  <c r="M190" i="149"/>
  <c r="L190" i="149"/>
  <c r="K190" i="149"/>
  <c r="J190" i="149"/>
  <c r="M189" i="149"/>
  <c r="L189" i="149"/>
  <c r="K189" i="149"/>
  <c r="J189" i="149"/>
  <c r="M188" i="149"/>
  <c r="L188" i="149"/>
  <c r="K188" i="149"/>
  <c r="J188" i="149"/>
  <c r="M187" i="149"/>
  <c r="L187" i="149"/>
  <c r="K187" i="149"/>
  <c r="J187" i="149"/>
  <c r="M186" i="149"/>
  <c r="L186" i="149"/>
  <c r="K186" i="149"/>
  <c r="J186" i="149"/>
  <c r="M185" i="149"/>
  <c r="L185" i="149"/>
  <c r="K185" i="149"/>
  <c r="J185" i="149"/>
  <c r="M184" i="149"/>
  <c r="L184" i="149"/>
  <c r="K184" i="149"/>
  <c r="J184" i="149"/>
  <c r="M183" i="149"/>
  <c r="L183" i="149"/>
  <c r="K183" i="149"/>
  <c r="J183" i="149"/>
  <c r="M182" i="149"/>
  <c r="L182" i="149"/>
  <c r="K182" i="149"/>
  <c r="J182" i="149"/>
  <c r="M181" i="149"/>
  <c r="L181" i="149"/>
  <c r="K181" i="149"/>
  <c r="J181" i="149"/>
  <c r="M180" i="149"/>
  <c r="L180" i="149"/>
  <c r="K180" i="149"/>
  <c r="J180" i="149"/>
  <c r="M179" i="149"/>
  <c r="L179" i="149"/>
  <c r="K179" i="149"/>
  <c r="J179" i="149"/>
  <c r="M178" i="149"/>
  <c r="L178" i="149"/>
  <c r="K178" i="149"/>
  <c r="J178" i="149"/>
  <c r="M177" i="149"/>
  <c r="L177" i="149"/>
  <c r="K177" i="149"/>
  <c r="J177" i="149"/>
  <c r="M176" i="149"/>
  <c r="L176" i="149"/>
  <c r="K176" i="149"/>
  <c r="J176" i="149"/>
  <c r="M175" i="149"/>
  <c r="L175" i="149"/>
  <c r="K175" i="149"/>
  <c r="J175" i="149"/>
  <c r="M174" i="149"/>
  <c r="L174" i="149"/>
  <c r="K174" i="149"/>
  <c r="J174" i="149"/>
  <c r="M173" i="149"/>
  <c r="L173" i="149"/>
  <c r="K173" i="149"/>
  <c r="J173" i="149"/>
  <c r="M172" i="149"/>
  <c r="L172" i="149"/>
  <c r="K172" i="149"/>
  <c r="J172" i="149"/>
  <c r="M171" i="149"/>
  <c r="L171" i="149"/>
  <c r="K171" i="149"/>
  <c r="J171" i="149"/>
  <c r="M170" i="149"/>
  <c r="L170" i="149"/>
  <c r="K170" i="149"/>
  <c r="J170" i="149"/>
  <c r="M169" i="149"/>
  <c r="L169" i="149"/>
  <c r="K169" i="149"/>
  <c r="J169" i="149"/>
  <c r="M168" i="149"/>
  <c r="L168" i="149"/>
  <c r="K168" i="149"/>
  <c r="J168" i="149"/>
  <c r="M167" i="149"/>
  <c r="L167" i="149"/>
  <c r="K167" i="149"/>
  <c r="J167" i="149"/>
  <c r="M166" i="149"/>
  <c r="L166" i="149"/>
  <c r="K166" i="149"/>
  <c r="J166" i="149"/>
  <c r="M165" i="149"/>
  <c r="L165" i="149"/>
  <c r="K165" i="149"/>
  <c r="J165" i="149"/>
  <c r="M164" i="149"/>
  <c r="L164" i="149"/>
  <c r="K164" i="149"/>
  <c r="J164" i="149"/>
  <c r="M163" i="149"/>
  <c r="L163" i="149"/>
  <c r="K163" i="149"/>
  <c r="J163" i="149"/>
  <c r="M162" i="149"/>
  <c r="L162" i="149"/>
  <c r="K162" i="149"/>
  <c r="J162" i="149"/>
  <c r="M161" i="149"/>
  <c r="L161" i="149"/>
  <c r="K161" i="149"/>
  <c r="J161" i="149"/>
  <c r="M160" i="149"/>
  <c r="L160" i="149"/>
  <c r="K160" i="149"/>
  <c r="J160" i="149"/>
  <c r="M159" i="149"/>
  <c r="L159" i="149"/>
  <c r="K159" i="149"/>
  <c r="J159" i="149"/>
  <c r="M158" i="149"/>
  <c r="L158" i="149"/>
  <c r="K158" i="149"/>
  <c r="J158" i="149"/>
  <c r="M157" i="149"/>
  <c r="L157" i="149"/>
  <c r="K157" i="149"/>
  <c r="J157" i="149"/>
  <c r="M156" i="149"/>
  <c r="L156" i="149"/>
  <c r="K156" i="149"/>
  <c r="J156" i="149"/>
  <c r="M155" i="149"/>
  <c r="L155" i="149"/>
  <c r="K155" i="149"/>
  <c r="J155" i="149"/>
  <c r="M154" i="149"/>
  <c r="L154" i="149"/>
  <c r="K154" i="149"/>
  <c r="J154" i="149"/>
  <c r="M153" i="149"/>
  <c r="L153" i="149"/>
  <c r="K153" i="149"/>
  <c r="J153" i="149"/>
  <c r="M152" i="149"/>
  <c r="L152" i="149"/>
  <c r="K152" i="149"/>
  <c r="J152" i="149"/>
  <c r="M151" i="149"/>
  <c r="L151" i="149"/>
  <c r="K151" i="149"/>
  <c r="J151" i="149"/>
  <c r="M150" i="149"/>
  <c r="L150" i="149"/>
  <c r="K150" i="149"/>
  <c r="J150" i="149"/>
  <c r="M149" i="149"/>
  <c r="L149" i="149"/>
  <c r="K149" i="149"/>
  <c r="J149" i="149"/>
  <c r="M148" i="149"/>
  <c r="L148" i="149"/>
  <c r="K148" i="149"/>
  <c r="J148" i="149"/>
  <c r="M147" i="149"/>
  <c r="L147" i="149"/>
  <c r="K147" i="149"/>
  <c r="J147" i="149"/>
  <c r="M146" i="149"/>
  <c r="L146" i="149"/>
  <c r="K146" i="149"/>
  <c r="J146" i="149"/>
  <c r="M145" i="149"/>
  <c r="L145" i="149"/>
  <c r="K145" i="149"/>
  <c r="J145" i="149"/>
  <c r="M144" i="149"/>
  <c r="L144" i="149"/>
  <c r="K144" i="149"/>
  <c r="J144" i="149"/>
  <c r="M143" i="149"/>
  <c r="L143" i="149"/>
  <c r="K143" i="149"/>
  <c r="J143" i="149"/>
  <c r="M142" i="149"/>
  <c r="L142" i="149"/>
  <c r="K142" i="149"/>
  <c r="J142" i="149"/>
  <c r="M141" i="149"/>
  <c r="L141" i="149"/>
  <c r="K141" i="149"/>
  <c r="J141" i="149"/>
  <c r="M140" i="149"/>
  <c r="L140" i="149"/>
  <c r="K140" i="149"/>
  <c r="J140" i="149"/>
  <c r="M139" i="149"/>
  <c r="L139" i="149"/>
  <c r="K139" i="149"/>
  <c r="J139" i="149"/>
  <c r="M138" i="149"/>
  <c r="L138" i="149"/>
  <c r="K138" i="149"/>
  <c r="J138" i="149"/>
  <c r="M137" i="149"/>
  <c r="L137" i="149"/>
  <c r="K137" i="149"/>
  <c r="J137" i="149"/>
  <c r="M136" i="149"/>
  <c r="L136" i="149"/>
  <c r="K136" i="149"/>
  <c r="J136" i="149"/>
  <c r="M135" i="149"/>
  <c r="L135" i="149"/>
  <c r="K135" i="149"/>
  <c r="J135" i="149"/>
  <c r="M134" i="149"/>
  <c r="L134" i="149"/>
  <c r="K134" i="149"/>
  <c r="J134" i="149"/>
  <c r="M133" i="149"/>
  <c r="L133" i="149"/>
  <c r="K133" i="149"/>
  <c r="J133" i="149"/>
  <c r="M132" i="149"/>
  <c r="L132" i="149"/>
  <c r="K132" i="149"/>
  <c r="J132" i="149"/>
  <c r="M131" i="149"/>
  <c r="L131" i="149"/>
  <c r="K131" i="149"/>
  <c r="J131" i="149"/>
  <c r="M130" i="149"/>
  <c r="L130" i="149"/>
  <c r="K130" i="149"/>
  <c r="J130" i="149"/>
  <c r="M129" i="149"/>
  <c r="L129" i="149"/>
  <c r="K129" i="149"/>
  <c r="J129" i="149"/>
  <c r="M128" i="149"/>
  <c r="L128" i="149"/>
  <c r="K128" i="149"/>
  <c r="J128" i="149"/>
  <c r="M127" i="149"/>
  <c r="L127" i="149"/>
  <c r="K127" i="149"/>
  <c r="J127" i="149"/>
  <c r="M126" i="149"/>
  <c r="L126" i="149"/>
  <c r="K126" i="149"/>
  <c r="J126" i="149"/>
  <c r="M125" i="149"/>
  <c r="L125" i="149"/>
  <c r="K125" i="149"/>
  <c r="J125" i="149"/>
  <c r="M124" i="149"/>
  <c r="L124" i="149"/>
  <c r="K124" i="149"/>
  <c r="J124" i="149"/>
  <c r="M123" i="149"/>
  <c r="L123" i="149"/>
  <c r="K123" i="149"/>
  <c r="J123" i="149"/>
  <c r="M122" i="149"/>
  <c r="L122" i="149"/>
  <c r="K122" i="149"/>
  <c r="J122" i="149"/>
  <c r="M121" i="149"/>
  <c r="L121" i="149"/>
  <c r="K121" i="149"/>
  <c r="J121" i="149"/>
  <c r="M120" i="149"/>
  <c r="L120" i="149"/>
  <c r="K120" i="149"/>
  <c r="J120" i="149"/>
  <c r="M119" i="149"/>
  <c r="L119" i="149"/>
  <c r="K119" i="149"/>
  <c r="J119" i="149"/>
  <c r="M118" i="149"/>
  <c r="L118" i="149"/>
  <c r="K118" i="149"/>
  <c r="J118" i="149"/>
  <c r="M117" i="149"/>
  <c r="L117" i="149"/>
  <c r="K117" i="149"/>
  <c r="J117" i="149"/>
  <c r="M116" i="149"/>
  <c r="L116" i="149"/>
  <c r="K116" i="149"/>
  <c r="J116" i="149"/>
  <c r="M115" i="149"/>
  <c r="L115" i="149"/>
  <c r="K115" i="149"/>
  <c r="J115" i="149"/>
  <c r="M114" i="149"/>
  <c r="L114" i="149"/>
  <c r="K114" i="149"/>
  <c r="J114" i="149"/>
  <c r="M113" i="149"/>
  <c r="L113" i="149"/>
  <c r="K113" i="149"/>
  <c r="J113" i="149"/>
  <c r="M112" i="149"/>
  <c r="L112" i="149"/>
  <c r="K112" i="149"/>
  <c r="J112" i="149"/>
  <c r="M111" i="149"/>
  <c r="L111" i="149"/>
  <c r="K111" i="149"/>
  <c r="J111" i="149"/>
  <c r="M110" i="149"/>
  <c r="L110" i="149"/>
  <c r="K110" i="149"/>
  <c r="J110" i="149"/>
  <c r="M109" i="149"/>
  <c r="L109" i="149"/>
  <c r="K109" i="149"/>
  <c r="J109" i="149"/>
  <c r="M108" i="149"/>
  <c r="L108" i="149"/>
  <c r="K108" i="149"/>
  <c r="J108" i="149"/>
  <c r="M107" i="149"/>
  <c r="L107" i="149"/>
  <c r="K107" i="149"/>
  <c r="J107" i="149"/>
  <c r="M106" i="149"/>
  <c r="L106" i="149"/>
  <c r="K106" i="149"/>
  <c r="J106" i="149"/>
  <c r="M105" i="149"/>
  <c r="L105" i="149"/>
  <c r="K105" i="149"/>
  <c r="J105" i="149"/>
  <c r="M104" i="149"/>
  <c r="L104" i="149"/>
  <c r="K104" i="149"/>
  <c r="J104" i="149"/>
  <c r="M103" i="149"/>
  <c r="L103" i="149"/>
  <c r="K103" i="149"/>
  <c r="J103" i="149"/>
  <c r="M102" i="149"/>
  <c r="L102" i="149"/>
  <c r="K102" i="149"/>
  <c r="J102" i="149"/>
  <c r="M101" i="149"/>
  <c r="L101" i="149"/>
  <c r="K101" i="149"/>
  <c r="J101" i="149"/>
  <c r="M100" i="149"/>
  <c r="L100" i="149"/>
  <c r="K100" i="149"/>
  <c r="J100" i="149"/>
  <c r="M99" i="149"/>
  <c r="L99" i="149"/>
  <c r="K99" i="149"/>
  <c r="J99" i="149"/>
  <c r="M98" i="149"/>
  <c r="L98" i="149"/>
  <c r="K98" i="149"/>
  <c r="J98" i="149"/>
  <c r="M97" i="149"/>
  <c r="L97" i="149"/>
  <c r="K97" i="149"/>
  <c r="J97" i="149"/>
  <c r="M96" i="149"/>
  <c r="L96" i="149"/>
  <c r="K96" i="149"/>
  <c r="J96" i="149"/>
  <c r="M95" i="149"/>
  <c r="L95" i="149"/>
  <c r="K95" i="149"/>
  <c r="J95" i="149"/>
  <c r="M94" i="149"/>
  <c r="L94" i="149"/>
  <c r="K94" i="149"/>
  <c r="J94" i="149"/>
  <c r="M93" i="149"/>
  <c r="L93" i="149"/>
  <c r="K93" i="149"/>
  <c r="J93" i="149"/>
  <c r="M92" i="149"/>
  <c r="L92" i="149"/>
  <c r="K92" i="149"/>
  <c r="J92" i="149"/>
  <c r="M91" i="149"/>
  <c r="L91" i="149"/>
  <c r="K91" i="149"/>
  <c r="J91" i="149"/>
  <c r="M90" i="149"/>
  <c r="L90" i="149"/>
  <c r="K90" i="149"/>
  <c r="J90" i="149"/>
  <c r="M89" i="149"/>
  <c r="L89" i="149"/>
  <c r="K89" i="149"/>
  <c r="J89" i="149"/>
  <c r="M88" i="149"/>
  <c r="L88" i="149"/>
  <c r="K88" i="149"/>
  <c r="J88" i="149"/>
  <c r="M87" i="149"/>
  <c r="L87" i="149"/>
  <c r="K87" i="149"/>
  <c r="J87" i="149"/>
  <c r="M86" i="149"/>
  <c r="L86" i="149"/>
  <c r="K86" i="149"/>
  <c r="J86" i="149"/>
  <c r="M85" i="149"/>
  <c r="L85" i="149"/>
  <c r="K85" i="149"/>
  <c r="J85" i="149"/>
  <c r="M84" i="149"/>
  <c r="L84" i="149"/>
  <c r="K84" i="149"/>
  <c r="J84" i="149"/>
  <c r="M83" i="149"/>
  <c r="L83" i="149"/>
  <c r="K83" i="149"/>
  <c r="J83" i="149"/>
  <c r="M82" i="149"/>
  <c r="L82" i="149"/>
  <c r="K82" i="149"/>
  <c r="J82" i="149"/>
  <c r="M81" i="149"/>
  <c r="L81" i="149"/>
  <c r="K81" i="149"/>
  <c r="J81" i="149"/>
  <c r="M80" i="149"/>
  <c r="L80" i="149"/>
  <c r="K80" i="149"/>
  <c r="J80" i="149"/>
  <c r="M79" i="149"/>
  <c r="L79" i="149"/>
  <c r="K79" i="149"/>
  <c r="J79" i="149"/>
  <c r="M78" i="149"/>
  <c r="L78" i="149"/>
  <c r="K78" i="149"/>
  <c r="J78" i="149"/>
  <c r="M77" i="149"/>
  <c r="L77" i="149"/>
  <c r="K77" i="149"/>
  <c r="J77" i="149"/>
  <c r="M76" i="149"/>
  <c r="L76" i="149"/>
  <c r="K76" i="149"/>
  <c r="J76" i="149"/>
  <c r="M75" i="149"/>
  <c r="L75" i="149"/>
  <c r="K75" i="149"/>
  <c r="J75" i="149"/>
  <c r="M74" i="149"/>
  <c r="L74" i="149"/>
  <c r="K74" i="149"/>
  <c r="J74" i="149"/>
  <c r="M73" i="149"/>
  <c r="L73" i="149"/>
  <c r="K73" i="149"/>
  <c r="J73" i="149"/>
  <c r="M72" i="149"/>
  <c r="L72" i="149"/>
  <c r="K72" i="149"/>
  <c r="J72" i="149"/>
  <c r="M71" i="149"/>
  <c r="L71" i="149"/>
  <c r="K71" i="149"/>
  <c r="J71" i="149"/>
  <c r="M70" i="149"/>
  <c r="L70" i="149"/>
  <c r="K70" i="149"/>
  <c r="J70" i="149"/>
  <c r="M69" i="149"/>
  <c r="L69" i="149"/>
  <c r="K69" i="149"/>
  <c r="J69" i="149"/>
  <c r="M68" i="149"/>
  <c r="L68" i="149"/>
  <c r="K68" i="149"/>
  <c r="J68" i="149"/>
  <c r="M67" i="149"/>
  <c r="L67" i="149"/>
  <c r="K67" i="149"/>
  <c r="J67" i="149"/>
  <c r="M66" i="149"/>
  <c r="L66" i="149"/>
  <c r="K66" i="149"/>
  <c r="J66" i="149"/>
  <c r="M65" i="149"/>
  <c r="L65" i="149"/>
  <c r="K65" i="149"/>
  <c r="J65" i="149"/>
  <c r="M64" i="149"/>
  <c r="L64" i="149"/>
  <c r="K64" i="149"/>
  <c r="J64" i="149"/>
  <c r="M63" i="149"/>
  <c r="L63" i="149"/>
  <c r="K63" i="149"/>
  <c r="J63" i="149"/>
  <c r="M62" i="149"/>
  <c r="L62" i="149"/>
  <c r="K62" i="149"/>
  <c r="J62" i="149"/>
  <c r="M61" i="149"/>
  <c r="L61" i="149"/>
  <c r="K61" i="149"/>
  <c r="J61" i="149"/>
  <c r="M60" i="149"/>
  <c r="L60" i="149"/>
  <c r="K60" i="149"/>
  <c r="J60" i="149"/>
  <c r="M59" i="149"/>
  <c r="L59" i="149"/>
  <c r="K59" i="149"/>
  <c r="J59" i="149"/>
  <c r="M58" i="149"/>
  <c r="L58" i="149"/>
  <c r="K58" i="149"/>
  <c r="J58" i="149"/>
  <c r="M57" i="149"/>
  <c r="L57" i="149"/>
  <c r="K57" i="149"/>
  <c r="J57" i="149"/>
  <c r="M56" i="149"/>
  <c r="L56" i="149"/>
  <c r="K56" i="149"/>
  <c r="J56" i="149"/>
  <c r="M55" i="149"/>
  <c r="L55" i="149"/>
  <c r="K55" i="149"/>
  <c r="J55" i="149"/>
  <c r="M54" i="149"/>
  <c r="L54" i="149"/>
  <c r="K54" i="149"/>
  <c r="J54" i="149"/>
  <c r="M53" i="149"/>
  <c r="L53" i="149"/>
  <c r="K53" i="149"/>
  <c r="J53" i="149"/>
  <c r="M52" i="149"/>
  <c r="L52" i="149"/>
  <c r="K52" i="149"/>
  <c r="J52" i="149"/>
  <c r="M51" i="149"/>
  <c r="L51" i="149"/>
  <c r="K51" i="149"/>
  <c r="J51" i="149"/>
  <c r="M50" i="149"/>
  <c r="L50" i="149"/>
  <c r="K50" i="149"/>
  <c r="J50" i="149"/>
  <c r="M49" i="149"/>
  <c r="L49" i="149"/>
  <c r="K49" i="149"/>
  <c r="J49" i="149"/>
  <c r="M48" i="149"/>
  <c r="L48" i="149"/>
  <c r="K48" i="149"/>
  <c r="J48" i="149"/>
  <c r="M47" i="149"/>
  <c r="L47" i="149"/>
  <c r="K47" i="149"/>
  <c r="J47" i="149"/>
  <c r="M46" i="149"/>
  <c r="L46" i="149"/>
  <c r="K46" i="149"/>
  <c r="J46" i="149"/>
  <c r="M45" i="149"/>
  <c r="L45" i="149"/>
  <c r="K45" i="149"/>
  <c r="J45" i="149"/>
  <c r="M44" i="149"/>
  <c r="L44" i="149"/>
  <c r="K44" i="149"/>
  <c r="J44" i="149"/>
  <c r="M43" i="149"/>
  <c r="L43" i="149"/>
  <c r="K43" i="149"/>
  <c r="J43" i="149"/>
  <c r="M42" i="149"/>
  <c r="L42" i="149"/>
  <c r="K42" i="149"/>
  <c r="J42" i="149"/>
  <c r="M41" i="149"/>
  <c r="L41" i="149"/>
  <c r="K41" i="149"/>
  <c r="J41" i="149"/>
  <c r="M40" i="149"/>
  <c r="L40" i="149"/>
  <c r="K40" i="149"/>
  <c r="J40" i="149"/>
  <c r="M39" i="149"/>
  <c r="L39" i="149"/>
  <c r="K39" i="149"/>
  <c r="J39" i="149"/>
  <c r="M38" i="149"/>
  <c r="L38" i="149"/>
  <c r="K38" i="149"/>
  <c r="J38" i="149"/>
  <c r="M37" i="149"/>
  <c r="L37" i="149"/>
  <c r="K37" i="149"/>
  <c r="J37" i="149"/>
  <c r="M36" i="149"/>
  <c r="L36" i="149"/>
  <c r="K36" i="149"/>
  <c r="J36" i="149"/>
  <c r="M35" i="149"/>
  <c r="L35" i="149"/>
  <c r="K35" i="149"/>
  <c r="J35" i="149"/>
  <c r="M34" i="149"/>
  <c r="L34" i="149"/>
  <c r="K34" i="149"/>
  <c r="J34" i="149"/>
  <c r="M33" i="149"/>
  <c r="L33" i="149"/>
  <c r="K33" i="149"/>
  <c r="J33" i="149"/>
  <c r="M32" i="149"/>
  <c r="L32" i="149"/>
  <c r="K32" i="149"/>
  <c r="J32" i="149"/>
  <c r="M31" i="149"/>
  <c r="L31" i="149"/>
  <c r="K31" i="149"/>
  <c r="J31" i="149"/>
  <c r="M30" i="149"/>
  <c r="L30" i="149"/>
  <c r="K30" i="149"/>
  <c r="J30" i="149"/>
  <c r="M29" i="149"/>
  <c r="K29" i="149"/>
  <c r="J29" i="149"/>
  <c r="M28" i="149"/>
  <c r="K28" i="149"/>
  <c r="M27" i="149"/>
  <c r="L27" i="149"/>
  <c r="K27" i="149"/>
  <c r="J27" i="149"/>
  <c r="L26" i="149"/>
  <c r="K26" i="149"/>
  <c r="J26" i="149"/>
  <c r="K25" i="149"/>
  <c r="J25" i="149"/>
  <c r="G167" i="136" s="1"/>
  <c r="I167" i="136" s="1"/>
  <c r="M24" i="149"/>
  <c r="L24" i="149"/>
  <c r="K24" i="149"/>
  <c r="J24" i="149"/>
  <c r="K23" i="149"/>
  <c r="K22" i="149"/>
  <c r="J22" i="149"/>
  <c r="K21" i="149"/>
  <c r="J21" i="149"/>
  <c r="K20" i="149"/>
  <c r="J20" i="149"/>
  <c r="G144" i="136" s="1"/>
  <c r="I144" i="136" s="1"/>
  <c r="K19" i="149"/>
  <c r="J19" i="149"/>
  <c r="L18" i="149"/>
  <c r="K18" i="149"/>
  <c r="J18" i="149"/>
  <c r="L17" i="149"/>
  <c r="K17" i="149"/>
  <c r="J17" i="149"/>
  <c r="K16" i="149"/>
  <c r="J16" i="149"/>
  <c r="M15" i="149"/>
  <c r="J15" i="149"/>
  <c r="M300" i="1" l="1"/>
  <c r="M568" i="1"/>
  <c r="O566" i="248"/>
  <c r="O300" i="248"/>
  <c r="M513" i="1"/>
  <c r="R513" i="1" s="1"/>
  <c r="O511" i="248"/>
  <c r="R511" i="248" s="1"/>
  <c r="M450" i="1"/>
  <c r="R450" i="1" s="1"/>
  <c r="O448" i="248"/>
  <c r="R448" i="248" s="1"/>
  <c r="M1681" i="248"/>
  <c r="R1681" i="248" s="1"/>
  <c r="M1702" i="1"/>
  <c r="R1702" i="1" s="1"/>
  <c r="V10" i="242"/>
  <c r="W10" i="242"/>
  <c r="E115" i="231"/>
  <c r="F115" i="231" s="1"/>
  <c r="G115" i="231" s="1"/>
  <c r="E400" i="5"/>
  <c r="R300" i="248" l="1"/>
  <c r="S300" i="248"/>
  <c r="R566" i="248"/>
  <c r="O583" i="248"/>
  <c r="R583" i="248" s="1"/>
  <c r="R568" i="1"/>
  <c r="M585" i="1"/>
  <c r="R585" i="1" s="1"/>
  <c r="R300" i="1"/>
  <c r="S300" i="1"/>
  <c r="E116" i="231"/>
  <c r="F116" i="231" s="1"/>
  <c r="G116" i="231" s="1"/>
  <c r="P35" i="5"/>
  <c r="J35" i="5" s="1"/>
  <c r="P34" i="5"/>
  <c r="J34" i="5" s="1"/>
  <c r="P33" i="5"/>
  <c r="J33" i="5" s="1"/>
  <c r="P32" i="5"/>
  <c r="J32" i="5" s="1"/>
  <c r="P31" i="5"/>
  <c r="J31" i="5" s="1"/>
  <c r="L31" i="5" s="1"/>
  <c r="V300" i="1" l="1"/>
  <c r="R560" i="1"/>
  <c r="R586" i="1"/>
  <c r="R559" i="1"/>
  <c r="R584" i="1"/>
  <c r="R555" i="1"/>
  <c r="R562" i="1"/>
  <c r="R583" i="1"/>
  <c r="R557" i="1"/>
  <c r="R589" i="1"/>
  <c r="R558" i="1"/>
  <c r="R561" i="1"/>
  <c r="R591" i="1"/>
  <c r="R556" i="1"/>
  <c r="R590" i="1"/>
  <c r="R554" i="1"/>
  <c r="R587" i="1"/>
  <c r="R552" i="1"/>
  <c r="R588" i="1"/>
  <c r="R553" i="1"/>
  <c r="U300" i="248"/>
  <c r="R301" i="1"/>
  <c r="R302" i="1"/>
  <c r="R303" i="1"/>
  <c r="R304" i="1" s="1"/>
  <c r="R551" i="248"/>
  <c r="R554" i="248"/>
  <c r="R588" i="248"/>
  <c r="R553" i="248"/>
  <c r="R557" i="248"/>
  <c r="R556" i="248"/>
  <c r="R587" i="248"/>
  <c r="R586" i="248"/>
  <c r="R581" i="248"/>
  <c r="R555" i="248"/>
  <c r="R582" i="248"/>
  <c r="R584" i="248"/>
  <c r="R560" i="248"/>
  <c r="R552" i="248"/>
  <c r="R550" i="248"/>
  <c r="R559" i="248"/>
  <c r="R589" i="248"/>
  <c r="R585" i="248"/>
  <c r="R558" i="248"/>
  <c r="R301" i="248"/>
  <c r="R303" i="248"/>
  <c r="R304" i="248" s="1"/>
  <c r="R302" i="248"/>
  <c r="E117" i="231"/>
  <c r="F117" i="231" s="1"/>
  <c r="G117" i="231" s="1"/>
  <c r="L34" i="5"/>
  <c r="L35" i="5"/>
  <c r="L33" i="5"/>
  <c r="E118" i="231" l="1"/>
  <c r="F118" i="231" s="1"/>
  <c r="G118" i="231" s="1"/>
  <c r="E119" i="231" l="1"/>
  <c r="F119" i="231" s="1"/>
  <c r="G119" i="231" s="1"/>
  <c r="D1324" i="1"/>
  <c r="D1323" i="1"/>
  <c r="D1322" i="1"/>
  <c r="D1321" i="1"/>
  <c r="D1320" i="1"/>
  <c r="J126" i="1"/>
  <c r="J127" i="1"/>
  <c r="R127" i="1" s="1"/>
  <c r="J129" i="1"/>
  <c r="J131" i="1"/>
  <c r="J132" i="1"/>
  <c r="J133" i="1"/>
  <c r="J134" i="1"/>
  <c r="J135" i="1"/>
  <c r="J137" i="1"/>
  <c r="J138" i="1"/>
  <c r="J139" i="1"/>
  <c r="J140" i="1"/>
  <c r="J144" i="1"/>
  <c r="J145" i="1"/>
  <c r="J151" i="1"/>
  <c r="C224" i="4"/>
  <c r="C219" i="4"/>
  <c r="C204" i="4"/>
  <c r="C199" i="4"/>
  <c r="C194" i="4"/>
  <c r="C189" i="4"/>
  <c r="C184" i="4"/>
  <c r="C179" i="4"/>
  <c r="L23" i="80"/>
  <c r="K23" i="80"/>
  <c r="I23" i="80"/>
  <c r="H23" i="80"/>
  <c r="G23" i="80"/>
  <c r="F23" i="80"/>
  <c r="F25" i="80" s="1"/>
  <c r="C21" i="80"/>
  <c r="C15" i="80"/>
  <c r="E4" i="80"/>
  <c r="E120" i="231" l="1"/>
  <c r="F120" i="231" s="1"/>
  <c r="G120" i="231" s="1"/>
  <c r="M125" i="136"/>
  <c r="G125" i="136" s="1"/>
  <c r="I125" i="136" s="1"/>
  <c r="O1920" i="248" s="1"/>
  <c r="M124" i="136"/>
  <c r="G124" i="136" s="1"/>
  <c r="I124" i="136" s="1"/>
  <c r="O1919" i="248" s="1"/>
  <c r="M123" i="136"/>
  <c r="G123" i="136" s="1"/>
  <c r="I123" i="136" s="1"/>
  <c r="O1918" i="248" s="1"/>
  <c r="M122" i="136"/>
  <c r="G122" i="136" s="1"/>
  <c r="I122" i="136" s="1"/>
  <c r="O1917" i="248" s="1"/>
  <c r="M121" i="136"/>
  <c r="G121" i="136" s="1"/>
  <c r="I121" i="136" s="1"/>
  <c r="O1916" i="248" s="1"/>
  <c r="H484" i="149"/>
  <c r="G484" i="149"/>
  <c r="I484" i="149"/>
  <c r="K15" i="149"/>
  <c r="D4" i="149"/>
  <c r="C2" i="149"/>
  <c r="K365" i="136"/>
  <c r="F365" i="136" s="1"/>
  <c r="K366" i="136"/>
  <c r="F366" i="136" s="1"/>
  <c r="M397" i="136"/>
  <c r="M396" i="136"/>
  <c r="G396" i="136" s="1"/>
  <c r="I396" i="136" s="1"/>
  <c r="M395" i="136"/>
  <c r="G395" i="136" s="1"/>
  <c r="M394" i="136"/>
  <c r="G394" i="136" s="1"/>
  <c r="M393" i="136"/>
  <c r="G393" i="136" s="1"/>
  <c r="M392" i="136"/>
  <c r="G392" i="136" s="1"/>
  <c r="M391" i="136"/>
  <c r="G391" i="136" s="1"/>
  <c r="M390" i="136"/>
  <c r="G390" i="136" s="1"/>
  <c r="M389" i="136"/>
  <c r="G389" i="136" s="1"/>
  <c r="M388" i="136"/>
  <c r="G388" i="136" s="1"/>
  <c r="M387" i="136"/>
  <c r="G387" i="136" s="1"/>
  <c r="I387" i="136" s="1"/>
  <c r="F387" i="5" s="1"/>
  <c r="M386" i="136"/>
  <c r="G386" i="136" s="1"/>
  <c r="M385" i="136"/>
  <c r="G385" i="136" s="1"/>
  <c r="M384" i="136"/>
  <c r="G384" i="136" s="1"/>
  <c r="M383" i="136"/>
  <c r="G383" i="136" s="1"/>
  <c r="M382" i="136"/>
  <c r="G382" i="136" s="1"/>
  <c r="M381" i="136"/>
  <c r="G381" i="136" s="1"/>
  <c r="M380" i="136"/>
  <c r="G380" i="136" s="1"/>
  <c r="M379" i="136"/>
  <c r="G379" i="136" s="1"/>
  <c r="M378" i="136"/>
  <c r="G378" i="136" s="1"/>
  <c r="M377" i="136"/>
  <c r="G377" i="136" s="1"/>
  <c r="M376" i="136"/>
  <c r="G376" i="136" s="1"/>
  <c r="M375" i="136"/>
  <c r="G375" i="136" s="1"/>
  <c r="M374" i="136"/>
  <c r="G374" i="136" s="1"/>
  <c r="M373" i="136"/>
  <c r="G373" i="136" s="1"/>
  <c r="M372" i="136"/>
  <c r="G372" i="136" s="1"/>
  <c r="I372" i="136" s="1"/>
  <c r="M371" i="136"/>
  <c r="G371" i="136" s="1"/>
  <c r="M370" i="136"/>
  <c r="G370" i="136" s="1"/>
  <c r="M369" i="136"/>
  <c r="G369" i="136" s="1"/>
  <c r="M368" i="136"/>
  <c r="G368" i="136" s="1"/>
  <c r="M367" i="136"/>
  <c r="G367" i="136" s="1"/>
  <c r="M366" i="136"/>
  <c r="G366" i="136" s="1"/>
  <c r="M365" i="136"/>
  <c r="G365" i="136" s="1"/>
  <c r="M364" i="136"/>
  <c r="G364" i="136" s="1"/>
  <c r="M363" i="136"/>
  <c r="G363" i="136" s="1"/>
  <c r="M362" i="136"/>
  <c r="G362" i="136" s="1"/>
  <c r="M361" i="136"/>
  <c r="G361" i="136" s="1"/>
  <c r="M360" i="136"/>
  <c r="G360" i="136" s="1"/>
  <c r="M359" i="136"/>
  <c r="G359" i="136" s="1"/>
  <c r="M358" i="136"/>
  <c r="G358" i="136" s="1"/>
  <c r="M357" i="136"/>
  <c r="G357" i="136" s="1"/>
  <c r="M356" i="136"/>
  <c r="M355" i="136"/>
  <c r="G355" i="136" s="1"/>
  <c r="M354" i="136"/>
  <c r="G354" i="136" s="1"/>
  <c r="M353" i="136"/>
  <c r="G353" i="136" s="1"/>
  <c r="M352" i="136"/>
  <c r="G352" i="136" s="1"/>
  <c r="I352" i="136" s="1"/>
  <c r="M347" i="136"/>
  <c r="G347" i="136" s="1"/>
  <c r="M346" i="136"/>
  <c r="G346" i="136" s="1"/>
  <c r="M345" i="136"/>
  <c r="G345" i="136" s="1"/>
  <c r="M344" i="136"/>
  <c r="G344" i="136" s="1"/>
  <c r="M343" i="136"/>
  <c r="G343" i="136" s="1"/>
  <c r="M341" i="136"/>
  <c r="G341" i="136" s="1"/>
  <c r="M340" i="136"/>
  <c r="G340" i="136" s="1"/>
  <c r="M338" i="136"/>
  <c r="G338" i="136" s="1"/>
  <c r="M336" i="136"/>
  <c r="G336" i="136" s="1"/>
  <c r="M335" i="136"/>
  <c r="G335" i="136" s="1"/>
  <c r="M334" i="136"/>
  <c r="G334" i="136" s="1"/>
  <c r="M332" i="136"/>
  <c r="G332" i="136" s="1"/>
  <c r="M330" i="136"/>
  <c r="G330" i="136" s="1"/>
  <c r="M327" i="136"/>
  <c r="G327" i="136" s="1"/>
  <c r="M325" i="136"/>
  <c r="G325" i="136" s="1"/>
  <c r="M302" i="136"/>
  <c r="G302" i="136" s="1"/>
  <c r="I302" i="136" s="1"/>
  <c r="M301" i="136"/>
  <c r="G301" i="136" s="1"/>
  <c r="M300" i="136"/>
  <c r="G300" i="136" s="1"/>
  <c r="M299" i="136"/>
  <c r="G299" i="136" s="1"/>
  <c r="M298" i="136"/>
  <c r="G298" i="136" s="1"/>
  <c r="M297" i="136"/>
  <c r="G297" i="136" s="1"/>
  <c r="M296" i="136"/>
  <c r="G296" i="136" s="1"/>
  <c r="M295" i="136"/>
  <c r="G295" i="136" s="1"/>
  <c r="M294" i="136"/>
  <c r="G294" i="136" s="1"/>
  <c r="M293" i="136"/>
  <c r="G293" i="136" s="1"/>
  <c r="M292" i="136"/>
  <c r="G292" i="136" s="1"/>
  <c r="M291" i="136"/>
  <c r="G291" i="136" s="1"/>
  <c r="M290" i="136"/>
  <c r="G290" i="136" s="1"/>
  <c r="I290" i="136" s="1"/>
  <c r="M271" i="136"/>
  <c r="G271" i="136" s="1"/>
  <c r="M270" i="136"/>
  <c r="G270" i="136" s="1"/>
  <c r="I270" i="136" s="1"/>
  <c r="F270" i="5" s="1"/>
  <c r="M269" i="136"/>
  <c r="G269" i="136" s="1"/>
  <c r="I269" i="136" s="1"/>
  <c r="F269" i="5" s="1"/>
  <c r="M268" i="136"/>
  <c r="G268" i="136" s="1"/>
  <c r="M267" i="136"/>
  <c r="G267" i="136" s="1"/>
  <c r="I267" i="136" s="1"/>
  <c r="M266" i="136"/>
  <c r="G266" i="136" s="1"/>
  <c r="I266" i="136" s="1"/>
  <c r="F266" i="5" s="1"/>
  <c r="M265" i="136"/>
  <c r="G265" i="136" s="1"/>
  <c r="I265" i="136" s="1"/>
  <c r="F265" i="5" s="1"/>
  <c r="M264" i="136"/>
  <c r="G264" i="136" s="1"/>
  <c r="M263" i="136"/>
  <c r="G263" i="136" s="1"/>
  <c r="I263" i="136" s="1"/>
  <c r="M262" i="136"/>
  <c r="G262" i="136" s="1"/>
  <c r="I262" i="136" s="1"/>
  <c r="F262" i="5" s="1"/>
  <c r="M261" i="136"/>
  <c r="G261" i="136" s="1"/>
  <c r="I261" i="136" s="1"/>
  <c r="F261" i="5" s="1"/>
  <c r="M260" i="136"/>
  <c r="G260" i="136" s="1"/>
  <c r="M259" i="136"/>
  <c r="G259" i="136" s="1"/>
  <c r="I259" i="136" s="1"/>
  <c r="M258" i="136"/>
  <c r="G258" i="136" s="1"/>
  <c r="I258" i="136" s="1"/>
  <c r="F258" i="5" s="1"/>
  <c r="M257" i="136"/>
  <c r="G257" i="136" s="1"/>
  <c r="I257" i="136" s="1"/>
  <c r="F257" i="5" s="1"/>
  <c r="M256" i="136"/>
  <c r="G256" i="136" s="1"/>
  <c r="M255" i="136"/>
  <c r="G255" i="136" s="1"/>
  <c r="I255" i="136" s="1"/>
  <c r="M254" i="136"/>
  <c r="G254" i="136" s="1"/>
  <c r="I254" i="136" s="1"/>
  <c r="F254" i="5" s="1"/>
  <c r="M253" i="136"/>
  <c r="G253" i="136" s="1"/>
  <c r="I253" i="136" s="1"/>
  <c r="F253" i="5" s="1"/>
  <c r="M252" i="136"/>
  <c r="G252" i="136" s="1"/>
  <c r="M251" i="136"/>
  <c r="G251" i="136" s="1"/>
  <c r="I251" i="136" s="1"/>
  <c r="M250" i="136"/>
  <c r="G250" i="136" s="1"/>
  <c r="I250" i="136" s="1"/>
  <c r="F250" i="5" s="1"/>
  <c r="M249" i="136"/>
  <c r="G249" i="136" s="1"/>
  <c r="I249" i="136" s="1"/>
  <c r="F249" i="5" s="1"/>
  <c r="M248" i="136"/>
  <c r="G248" i="136" s="1"/>
  <c r="M247" i="136"/>
  <c r="G247" i="136" s="1"/>
  <c r="I247" i="136" s="1"/>
  <c r="M246" i="136"/>
  <c r="G246" i="136" s="1"/>
  <c r="I246" i="136" s="1"/>
  <c r="F246" i="5" s="1"/>
  <c r="M245" i="136"/>
  <c r="G245" i="136" s="1"/>
  <c r="I245" i="136" s="1"/>
  <c r="F245" i="5" s="1"/>
  <c r="M244" i="136"/>
  <c r="G244" i="136" s="1"/>
  <c r="M243" i="136"/>
  <c r="G243" i="136" s="1"/>
  <c r="I243" i="136" s="1"/>
  <c r="M242" i="136"/>
  <c r="G242" i="136" s="1"/>
  <c r="I242" i="136" s="1"/>
  <c r="F242" i="5" s="1"/>
  <c r="M241" i="136"/>
  <c r="G241" i="136" s="1"/>
  <c r="I241" i="136" s="1"/>
  <c r="F241" i="5" s="1"/>
  <c r="M240" i="136"/>
  <c r="G240" i="136" s="1"/>
  <c r="M239" i="136"/>
  <c r="G239" i="136" s="1"/>
  <c r="I239" i="136" s="1"/>
  <c r="M233" i="136"/>
  <c r="G233" i="136" s="1"/>
  <c r="I233" i="136" s="1"/>
  <c r="F233" i="5" s="1"/>
  <c r="M232" i="136"/>
  <c r="G232" i="136" s="1"/>
  <c r="I232" i="136" s="1"/>
  <c r="F232" i="5" s="1"/>
  <c r="M231" i="136"/>
  <c r="G231" i="136" s="1"/>
  <c r="M230" i="136"/>
  <c r="G230" i="136" s="1"/>
  <c r="I230" i="136" s="1"/>
  <c r="M229" i="136"/>
  <c r="G229" i="136" s="1"/>
  <c r="I229" i="136" s="1"/>
  <c r="F229" i="5" s="1"/>
  <c r="M228" i="136"/>
  <c r="G228" i="136" s="1"/>
  <c r="I228" i="136" s="1"/>
  <c r="F228" i="5" s="1"/>
  <c r="M227" i="136"/>
  <c r="G227" i="136" s="1"/>
  <c r="M226" i="136"/>
  <c r="G226" i="136" s="1"/>
  <c r="I226" i="136" s="1"/>
  <c r="M225" i="136"/>
  <c r="G225" i="136" s="1"/>
  <c r="M224" i="136"/>
  <c r="G224" i="136" s="1"/>
  <c r="M223" i="136"/>
  <c r="G223" i="136" s="1"/>
  <c r="M222" i="136"/>
  <c r="G222" i="136" s="1"/>
  <c r="M221" i="136"/>
  <c r="G221" i="136" s="1"/>
  <c r="M220" i="136"/>
  <c r="G220" i="136" s="1"/>
  <c r="M219" i="136"/>
  <c r="G219" i="136" s="1"/>
  <c r="M218" i="136"/>
  <c r="G218" i="136" s="1"/>
  <c r="M217" i="136"/>
  <c r="G217" i="136" s="1"/>
  <c r="M216" i="136"/>
  <c r="G216" i="136" s="1"/>
  <c r="M215" i="136"/>
  <c r="G215" i="136" s="1"/>
  <c r="M214" i="136"/>
  <c r="G214" i="136" s="1"/>
  <c r="M213" i="136"/>
  <c r="G213" i="136" s="1"/>
  <c r="M212" i="136"/>
  <c r="G212" i="136" s="1"/>
  <c r="M211" i="136"/>
  <c r="G211" i="136" s="1"/>
  <c r="M210" i="136"/>
  <c r="G210" i="136" s="1"/>
  <c r="M209" i="136"/>
  <c r="M208" i="136"/>
  <c r="G208" i="136" s="1"/>
  <c r="M207" i="136"/>
  <c r="G207" i="136" s="1"/>
  <c r="M206" i="136"/>
  <c r="G206" i="136" s="1"/>
  <c r="M203" i="136"/>
  <c r="G203" i="136" s="1"/>
  <c r="M202" i="136"/>
  <c r="G202" i="136" s="1"/>
  <c r="M201" i="136"/>
  <c r="G201" i="136" s="1"/>
  <c r="M200" i="136"/>
  <c r="G200" i="136" s="1"/>
  <c r="M199" i="136"/>
  <c r="G199" i="136" s="1"/>
  <c r="M198" i="136"/>
  <c r="G198" i="136" s="1"/>
  <c r="M197" i="136"/>
  <c r="G197" i="136" s="1"/>
  <c r="M196" i="136"/>
  <c r="G196" i="136" s="1"/>
  <c r="M195" i="136"/>
  <c r="G195" i="136" s="1"/>
  <c r="M194" i="136"/>
  <c r="G194" i="136" s="1"/>
  <c r="M193" i="136"/>
  <c r="M192" i="136"/>
  <c r="G192" i="136" s="1"/>
  <c r="M191" i="136"/>
  <c r="G191" i="136" s="1"/>
  <c r="I191" i="136" s="1"/>
  <c r="M190" i="136"/>
  <c r="G190" i="136" s="1"/>
  <c r="M184" i="136"/>
  <c r="G184" i="136" s="1"/>
  <c r="I184" i="136" s="1"/>
  <c r="M183" i="136"/>
  <c r="G183" i="136" s="1"/>
  <c r="M182" i="136"/>
  <c r="G182" i="136" s="1"/>
  <c r="M181" i="136"/>
  <c r="G181" i="136" s="1"/>
  <c r="M180" i="136"/>
  <c r="G180" i="136" s="1"/>
  <c r="M179" i="136"/>
  <c r="K397" i="136"/>
  <c r="K396" i="136"/>
  <c r="K395" i="136"/>
  <c r="F395" i="136" s="1"/>
  <c r="K394" i="136"/>
  <c r="K393" i="136"/>
  <c r="F393" i="136" s="1"/>
  <c r="K392" i="136"/>
  <c r="F392" i="136" s="1"/>
  <c r="K391" i="136"/>
  <c r="F391" i="136" s="1"/>
  <c r="K390" i="136"/>
  <c r="K389" i="136"/>
  <c r="K388" i="136"/>
  <c r="K387" i="136"/>
  <c r="K386" i="136"/>
  <c r="K385" i="136"/>
  <c r="K384" i="136"/>
  <c r="K383" i="136"/>
  <c r="K382" i="136"/>
  <c r="F382" i="136" s="1"/>
  <c r="K381" i="136"/>
  <c r="F381" i="136" s="1"/>
  <c r="K380" i="136"/>
  <c r="F380" i="136" s="1"/>
  <c r="K379" i="136"/>
  <c r="F379" i="136" s="1"/>
  <c r="K378" i="136"/>
  <c r="F378" i="136" s="1"/>
  <c r="K377" i="136"/>
  <c r="K376" i="136"/>
  <c r="K375" i="136"/>
  <c r="F375" i="136" s="1"/>
  <c r="K374" i="136"/>
  <c r="F374" i="136" s="1"/>
  <c r="K373" i="136"/>
  <c r="F373" i="136" s="1"/>
  <c r="K372" i="136"/>
  <c r="K371" i="136"/>
  <c r="F371" i="136" s="1"/>
  <c r="K370" i="136"/>
  <c r="F370" i="136" s="1"/>
  <c r="K369" i="136"/>
  <c r="F369" i="136" s="1"/>
  <c r="K368" i="136"/>
  <c r="F368" i="136" s="1"/>
  <c r="K367" i="136"/>
  <c r="F367" i="136" s="1"/>
  <c r="K364" i="136"/>
  <c r="K363" i="136"/>
  <c r="F363" i="136" s="1"/>
  <c r="K362" i="136"/>
  <c r="F362" i="136" s="1"/>
  <c r="K361" i="136"/>
  <c r="F361" i="136" s="1"/>
  <c r="K360" i="136"/>
  <c r="F360" i="136" s="1"/>
  <c r="K359" i="136"/>
  <c r="F359" i="136" s="1"/>
  <c r="K358" i="136"/>
  <c r="F358" i="136" s="1"/>
  <c r="K357" i="136"/>
  <c r="K356" i="136"/>
  <c r="F356" i="136" s="1"/>
  <c r="K355" i="136"/>
  <c r="F355" i="136" s="1"/>
  <c r="K354" i="136"/>
  <c r="F354" i="136" s="1"/>
  <c r="K353" i="136"/>
  <c r="F353" i="136" s="1"/>
  <c r="K352" i="136"/>
  <c r="K347" i="136"/>
  <c r="F347" i="136" s="1"/>
  <c r="K346" i="136"/>
  <c r="F346" i="136" s="1"/>
  <c r="K345" i="136"/>
  <c r="F345" i="136" s="1"/>
  <c r="K344" i="136"/>
  <c r="F344" i="136" s="1"/>
  <c r="K343" i="136"/>
  <c r="F343" i="136" s="1"/>
  <c r="K341" i="136"/>
  <c r="F341" i="136" s="1"/>
  <c r="K340" i="136"/>
  <c r="F340" i="136" s="1"/>
  <c r="K338" i="136"/>
  <c r="F338" i="136" s="1"/>
  <c r="K336" i="136"/>
  <c r="K335" i="136"/>
  <c r="F335" i="136" s="1"/>
  <c r="K334" i="136"/>
  <c r="F334" i="136" s="1"/>
  <c r="K332" i="136"/>
  <c r="F332" i="136" s="1"/>
  <c r="K330" i="136"/>
  <c r="F330" i="136" s="1"/>
  <c r="K327" i="136"/>
  <c r="F327" i="136" s="1"/>
  <c r="K325" i="136"/>
  <c r="K301" i="136"/>
  <c r="F301" i="136" s="1"/>
  <c r="K300" i="136"/>
  <c r="F300" i="136" s="1"/>
  <c r="K299" i="136"/>
  <c r="F299" i="136" s="1"/>
  <c r="K298" i="136"/>
  <c r="F298" i="136" s="1"/>
  <c r="K297" i="136"/>
  <c r="K296" i="136"/>
  <c r="F296" i="136" s="1"/>
  <c r="K295" i="136"/>
  <c r="F295" i="136" s="1"/>
  <c r="K294" i="136"/>
  <c r="F294" i="136" s="1"/>
  <c r="K293" i="136"/>
  <c r="F293" i="136" s="1"/>
  <c r="K292" i="136"/>
  <c r="F292" i="136" s="1"/>
  <c r="K291" i="136"/>
  <c r="K290" i="136"/>
  <c r="K271" i="136"/>
  <c r="K270" i="136"/>
  <c r="K269" i="136"/>
  <c r="K268" i="136"/>
  <c r="K267" i="136"/>
  <c r="K266" i="136"/>
  <c r="K265" i="136"/>
  <c r="K264" i="136"/>
  <c r="K263" i="136"/>
  <c r="K262" i="136"/>
  <c r="K261" i="136"/>
  <c r="K260" i="136"/>
  <c r="K259" i="136"/>
  <c r="K258" i="136"/>
  <c r="K257" i="136"/>
  <c r="K256" i="136"/>
  <c r="K255" i="136"/>
  <c r="K254" i="136"/>
  <c r="K253" i="136"/>
  <c r="K252" i="136"/>
  <c r="K251" i="136"/>
  <c r="K250" i="136"/>
  <c r="K249" i="136"/>
  <c r="K248" i="136"/>
  <c r="K247" i="136"/>
  <c r="K246" i="136"/>
  <c r="K245" i="136"/>
  <c r="K244" i="136"/>
  <c r="K243" i="136"/>
  <c r="K242" i="136"/>
  <c r="K241" i="136"/>
  <c r="K240" i="136"/>
  <c r="K239" i="136"/>
  <c r="K233" i="136"/>
  <c r="K232" i="136"/>
  <c r="K231" i="136"/>
  <c r="F231" i="136" s="1"/>
  <c r="K230" i="136"/>
  <c r="K229" i="136"/>
  <c r="K228" i="136"/>
  <c r="K227" i="136"/>
  <c r="K226" i="136"/>
  <c r="K225" i="136"/>
  <c r="F225" i="136" s="1"/>
  <c r="K224" i="136"/>
  <c r="F224" i="136" s="1"/>
  <c r="K223" i="136"/>
  <c r="F223" i="136" s="1"/>
  <c r="K222" i="136"/>
  <c r="F222" i="136" s="1"/>
  <c r="K221" i="136"/>
  <c r="F221" i="136" s="1"/>
  <c r="K220" i="136"/>
  <c r="F220" i="136" s="1"/>
  <c r="K219" i="136"/>
  <c r="F219" i="136" s="1"/>
  <c r="K218" i="136"/>
  <c r="F218" i="136" s="1"/>
  <c r="K217" i="136"/>
  <c r="F217" i="136" s="1"/>
  <c r="K216" i="136"/>
  <c r="F216" i="136" s="1"/>
  <c r="K215" i="136"/>
  <c r="F215" i="136" s="1"/>
  <c r="K214" i="136"/>
  <c r="F214" i="136" s="1"/>
  <c r="K213" i="136"/>
  <c r="F213" i="136" s="1"/>
  <c r="K212" i="136"/>
  <c r="F212" i="136" s="1"/>
  <c r="K211" i="136"/>
  <c r="F211" i="136" s="1"/>
  <c r="K210" i="136"/>
  <c r="F210" i="136" s="1"/>
  <c r="K209" i="136"/>
  <c r="F209" i="136" s="1"/>
  <c r="K208" i="136"/>
  <c r="F208" i="136" s="1"/>
  <c r="K207" i="136"/>
  <c r="F207" i="136" s="1"/>
  <c r="K206" i="136"/>
  <c r="F206" i="136" s="1"/>
  <c r="K203" i="136"/>
  <c r="F203" i="136" s="1"/>
  <c r="K202" i="136"/>
  <c r="F202" i="136" s="1"/>
  <c r="K201" i="136"/>
  <c r="F201" i="136" s="1"/>
  <c r="K200" i="136"/>
  <c r="F200" i="136" s="1"/>
  <c r="K199" i="136"/>
  <c r="F199" i="136" s="1"/>
  <c r="K198" i="136"/>
  <c r="F198" i="136" s="1"/>
  <c r="K197" i="136"/>
  <c r="F197" i="136" s="1"/>
  <c r="K196" i="136"/>
  <c r="F196" i="136" s="1"/>
  <c r="K195" i="136"/>
  <c r="F195" i="136" s="1"/>
  <c r="K194" i="136"/>
  <c r="F194" i="136" s="1"/>
  <c r="K193" i="136"/>
  <c r="F193" i="136" s="1"/>
  <c r="K192" i="136"/>
  <c r="F192" i="136" s="1"/>
  <c r="K191" i="136"/>
  <c r="K190" i="136"/>
  <c r="F190" i="136" s="1"/>
  <c r="K183" i="136"/>
  <c r="F183" i="136" s="1"/>
  <c r="K182" i="136"/>
  <c r="F182" i="136" s="1"/>
  <c r="K181" i="136"/>
  <c r="F181" i="136" s="1"/>
  <c r="K180" i="136"/>
  <c r="F180" i="136" s="1"/>
  <c r="K179" i="136"/>
  <c r="X198" i="89"/>
  <c r="K251" i="89"/>
  <c r="K250" i="89"/>
  <c r="M175" i="136"/>
  <c r="K252" i="89"/>
  <c r="K340" i="89"/>
  <c r="K339" i="89"/>
  <c r="K265" i="89"/>
  <c r="K264" i="89"/>
  <c r="K263" i="89"/>
  <c r="K262" i="89"/>
  <c r="K261" i="89"/>
  <c r="K260" i="89"/>
  <c r="K259" i="89"/>
  <c r="K258" i="89"/>
  <c r="K257" i="89"/>
  <c r="E3" i="124"/>
  <c r="G193" i="136" l="1"/>
  <c r="M22" i="149"/>
  <c r="I181" i="136"/>
  <c r="I182" i="136"/>
  <c r="M1941" i="1"/>
  <c r="X345" i="89"/>
  <c r="U182" i="242"/>
  <c r="W250" i="89"/>
  <c r="Y250" i="89" s="1"/>
  <c r="Z250" i="89" s="1"/>
  <c r="W251" i="89"/>
  <c r="Y251" i="89" s="1"/>
  <c r="Z251" i="89" s="1"/>
  <c r="W262" i="89"/>
  <c r="Y262" i="89" s="1"/>
  <c r="Z262" i="89" s="1"/>
  <c r="W258" i="89"/>
  <c r="Y258" i="89" s="1"/>
  <c r="Z258" i="89" s="1"/>
  <c r="W339" i="89"/>
  <c r="Y339" i="89" s="1"/>
  <c r="Z339" i="89" s="1"/>
  <c r="W259" i="89"/>
  <c r="Y259" i="89" s="1"/>
  <c r="Z259" i="89" s="1"/>
  <c r="W263" i="89"/>
  <c r="Y263" i="89" s="1"/>
  <c r="Z263" i="89" s="1"/>
  <c r="W340" i="89"/>
  <c r="Y340" i="89" s="1"/>
  <c r="Z340" i="89" s="1"/>
  <c r="W260" i="89"/>
  <c r="Y260" i="89" s="1"/>
  <c r="Z260" i="89" s="1"/>
  <c r="W264" i="89"/>
  <c r="Y264" i="89" s="1"/>
  <c r="Z264" i="89" s="1"/>
  <c r="W252" i="89"/>
  <c r="Y252" i="89" s="1"/>
  <c r="Z252" i="89" s="1"/>
  <c r="W257" i="89"/>
  <c r="Y257" i="89" s="1"/>
  <c r="Z257" i="89" s="1"/>
  <c r="W261" i="89"/>
  <c r="Y261" i="89" s="1"/>
  <c r="Z261" i="89" s="1"/>
  <c r="W265" i="89"/>
  <c r="Y265" i="89" s="1"/>
  <c r="Z265" i="89" s="1"/>
  <c r="O2099" i="1"/>
  <c r="M1939" i="1"/>
  <c r="M1940" i="1"/>
  <c r="O2100" i="1"/>
  <c r="O2098" i="1"/>
  <c r="M1938" i="1"/>
  <c r="O2097" i="1"/>
  <c r="M1937" i="1"/>
  <c r="O2101" i="1"/>
  <c r="M21" i="149"/>
  <c r="E121" i="231"/>
  <c r="F121" i="231" s="1"/>
  <c r="G121" i="231" s="1"/>
  <c r="M16" i="149"/>
  <c r="M18" i="149"/>
  <c r="A18" i="149" s="1"/>
  <c r="G179" i="136"/>
  <c r="I179" i="136" s="1"/>
  <c r="M26" i="149"/>
  <c r="A26" i="149" s="1"/>
  <c r="M25" i="149"/>
  <c r="M23" i="149"/>
  <c r="M20" i="149"/>
  <c r="M19" i="149"/>
  <c r="M17" i="149"/>
  <c r="I391" i="136"/>
  <c r="F391" i="5" s="1"/>
  <c r="G356" i="136"/>
  <c r="I356" i="136" s="1"/>
  <c r="F356" i="5" s="1"/>
  <c r="G209" i="136"/>
  <c r="I209" i="136" s="1"/>
  <c r="F209" i="5" s="1"/>
  <c r="G397" i="136"/>
  <c r="I397" i="136" s="1"/>
  <c r="F397" i="5" s="1"/>
  <c r="I215" i="136"/>
  <c r="F215" i="5" s="1"/>
  <c r="I219" i="136"/>
  <c r="F219" i="5" s="1"/>
  <c r="I193" i="136"/>
  <c r="F193" i="5" s="1"/>
  <c r="I202" i="136"/>
  <c r="F202" i="5" s="1"/>
  <c r="I201" i="136"/>
  <c r="F201" i="5" s="1"/>
  <c r="I213" i="136"/>
  <c r="F213" i="5" s="1"/>
  <c r="I180" i="136"/>
  <c r="I218" i="136"/>
  <c r="F218" i="5" s="1"/>
  <c r="A304" i="149"/>
  <c r="A464" i="149"/>
  <c r="I195" i="136"/>
  <c r="F195" i="5" s="1"/>
  <c r="I199" i="136"/>
  <c r="F199" i="5" s="1"/>
  <c r="I368" i="136"/>
  <c r="F368" i="5" s="1"/>
  <c r="F227" i="136"/>
  <c r="I227" i="136" s="1"/>
  <c r="I231" i="136"/>
  <c r="F240" i="136"/>
  <c r="I240" i="136" s="1"/>
  <c r="F244" i="136"/>
  <c r="I244" i="136" s="1"/>
  <c r="F248" i="136"/>
  <c r="I248" i="136" s="1"/>
  <c r="F252" i="136"/>
  <c r="I252" i="136" s="1"/>
  <c r="F256" i="136"/>
  <c r="I256" i="136" s="1"/>
  <c r="F260" i="136"/>
  <c r="I260" i="136" s="1"/>
  <c r="F264" i="136"/>
  <c r="I264" i="136" s="1"/>
  <c r="F268" i="136"/>
  <c r="I268" i="136" s="1"/>
  <c r="A49" i="149"/>
  <c r="A51" i="149"/>
  <c r="A52" i="149"/>
  <c r="A57" i="149"/>
  <c r="A59" i="149"/>
  <c r="A60" i="149"/>
  <c r="A61" i="149"/>
  <c r="A63" i="149"/>
  <c r="A64" i="149"/>
  <c r="A65" i="149"/>
  <c r="A67" i="149"/>
  <c r="A68" i="149"/>
  <c r="A73" i="149"/>
  <c r="A75" i="149"/>
  <c r="A76" i="149"/>
  <c r="A77" i="149"/>
  <c r="A79" i="149"/>
  <c r="A80" i="149"/>
  <c r="A149" i="149"/>
  <c r="A181" i="149"/>
  <c r="A189" i="149"/>
  <c r="A192" i="149"/>
  <c r="A197" i="149"/>
  <c r="A198" i="149"/>
  <c r="A199" i="149"/>
  <c r="A204" i="149"/>
  <c r="A205" i="149"/>
  <c r="A206" i="149"/>
  <c r="A207" i="149"/>
  <c r="A208" i="149"/>
  <c r="A210" i="149"/>
  <c r="A211" i="149"/>
  <c r="A212" i="149"/>
  <c r="A236" i="149"/>
  <c r="A238" i="149"/>
  <c r="A239" i="149"/>
  <c r="A240" i="149"/>
  <c r="A244" i="149"/>
  <c r="I203" i="136"/>
  <c r="F203" i="5" s="1"/>
  <c r="I210" i="136"/>
  <c r="F210" i="5" s="1"/>
  <c r="I214" i="136"/>
  <c r="F214" i="5" s="1"/>
  <c r="I222" i="136"/>
  <c r="F222" i="5" s="1"/>
  <c r="I294" i="136"/>
  <c r="F294" i="5" s="1"/>
  <c r="I183" i="136"/>
  <c r="F384" i="136"/>
  <c r="I384" i="136" s="1"/>
  <c r="F302" i="5"/>
  <c r="I338" i="136"/>
  <c r="F338" i="5" s="1"/>
  <c r="I192" i="136"/>
  <c r="F192" i="5" s="1"/>
  <c r="I196" i="136"/>
  <c r="F196" i="5" s="1"/>
  <c r="I200" i="136"/>
  <c r="F200" i="5" s="1"/>
  <c r="I206" i="136"/>
  <c r="F206" i="5" s="1"/>
  <c r="I211" i="136"/>
  <c r="F211" i="5" s="1"/>
  <c r="I223" i="136"/>
  <c r="F223" i="5" s="1"/>
  <c r="I197" i="136"/>
  <c r="F197" i="5" s="1"/>
  <c r="I207" i="136"/>
  <c r="I212" i="136"/>
  <c r="F212" i="5" s="1"/>
  <c r="I216" i="136"/>
  <c r="F216" i="5" s="1"/>
  <c r="I220" i="136"/>
  <c r="F220" i="5" s="1"/>
  <c r="I224" i="136"/>
  <c r="F224" i="5" s="1"/>
  <c r="I296" i="136"/>
  <c r="F296" i="5" s="1"/>
  <c r="I341" i="136"/>
  <c r="F341" i="5" s="1"/>
  <c r="I346" i="136"/>
  <c r="F346" i="5" s="1"/>
  <c r="I358" i="136"/>
  <c r="F358" i="5" s="1"/>
  <c r="I194" i="136"/>
  <c r="F194" i="5" s="1"/>
  <c r="I198" i="136"/>
  <c r="F198" i="5" s="1"/>
  <c r="I208" i="136"/>
  <c r="I217" i="136"/>
  <c r="F217" i="5" s="1"/>
  <c r="I221" i="136"/>
  <c r="F221" i="5" s="1"/>
  <c r="I225" i="136"/>
  <c r="F225" i="5" s="1"/>
  <c r="I301" i="136"/>
  <c r="F301" i="5" s="1"/>
  <c r="I363" i="136"/>
  <c r="F363" i="5" s="1"/>
  <c r="I382" i="136"/>
  <c r="F382" i="5" s="1"/>
  <c r="I292" i="136"/>
  <c r="F292" i="5" s="1"/>
  <c r="I300" i="136"/>
  <c r="F300" i="5" s="1"/>
  <c r="I327" i="136"/>
  <c r="F327" i="5" s="1"/>
  <c r="I335" i="136"/>
  <c r="F335" i="5" s="1"/>
  <c r="I354" i="136"/>
  <c r="F354" i="5" s="1"/>
  <c r="I362" i="136"/>
  <c r="F362" i="5" s="1"/>
  <c r="I366" i="136"/>
  <c r="F366" i="5" s="1"/>
  <c r="I370" i="136"/>
  <c r="F370" i="5" s="1"/>
  <c r="I373" i="136"/>
  <c r="F373" i="5" s="1"/>
  <c r="I377" i="136"/>
  <c r="I381" i="136"/>
  <c r="F381" i="5" s="1"/>
  <c r="I385" i="136"/>
  <c r="I389" i="136"/>
  <c r="F389" i="5" s="1"/>
  <c r="I393" i="136"/>
  <c r="F393" i="5" s="1"/>
  <c r="A81" i="149"/>
  <c r="A153" i="149"/>
  <c r="A156" i="149"/>
  <c r="A364" i="149"/>
  <c r="A380" i="149"/>
  <c r="A382" i="149"/>
  <c r="A383" i="149"/>
  <c r="A388" i="149"/>
  <c r="A390" i="149"/>
  <c r="A391" i="149"/>
  <c r="A392" i="149"/>
  <c r="A394" i="149"/>
  <c r="A395" i="149"/>
  <c r="A396" i="149"/>
  <c r="A398" i="149"/>
  <c r="A399" i="149"/>
  <c r="A400" i="149"/>
  <c r="A412" i="149"/>
  <c r="A414" i="149"/>
  <c r="A415" i="149"/>
  <c r="A420" i="149"/>
  <c r="A432" i="149"/>
  <c r="A436" i="149"/>
  <c r="A444" i="149"/>
  <c r="A446" i="149"/>
  <c r="A447" i="149"/>
  <c r="A452" i="149"/>
  <c r="A454" i="149"/>
  <c r="A455" i="149"/>
  <c r="A456" i="149"/>
  <c r="A458" i="149"/>
  <c r="A459" i="149"/>
  <c r="A460" i="149"/>
  <c r="A462" i="149"/>
  <c r="A463" i="149"/>
  <c r="A252" i="149"/>
  <c r="A305" i="149"/>
  <c r="A309" i="149"/>
  <c r="A313" i="149"/>
  <c r="A316" i="149"/>
  <c r="A320" i="149"/>
  <c r="A321" i="149"/>
  <c r="A188" i="149"/>
  <c r="A368" i="149"/>
  <c r="A369" i="149"/>
  <c r="A373" i="149"/>
  <c r="A377" i="149"/>
  <c r="A37" i="149"/>
  <c r="A38" i="149"/>
  <c r="A113" i="149"/>
  <c r="A115" i="149"/>
  <c r="A116" i="149"/>
  <c r="A121" i="149"/>
  <c r="A123" i="149"/>
  <c r="A124" i="149"/>
  <c r="A125" i="149"/>
  <c r="A127" i="149"/>
  <c r="A128" i="149"/>
  <c r="A129" i="149"/>
  <c r="A131" i="149"/>
  <c r="A132" i="149"/>
  <c r="A141" i="149"/>
  <c r="A143" i="149"/>
  <c r="A144" i="149"/>
  <c r="A213" i="149"/>
  <c r="A217" i="149"/>
  <c r="A224" i="149"/>
  <c r="A225" i="149"/>
  <c r="A228" i="149"/>
  <c r="A292" i="149"/>
  <c r="A294" i="149"/>
  <c r="A295" i="149"/>
  <c r="A296" i="149"/>
  <c r="A298" i="149"/>
  <c r="A299" i="149"/>
  <c r="A300" i="149"/>
  <c r="A302" i="149"/>
  <c r="A303" i="149"/>
  <c r="A428" i="149"/>
  <c r="A85" i="149"/>
  <c r="A86" i="149"/>
  <c r="A97" i="149"/>
  <c r="A101" i="149"/>
  <c r="A102" i="149"/>
  <c r="A161" i="149"/>
  <c r="A162" i="149"/>
  <c r="A163" i="149"/>
  <c r="A165" i="149"/>
  <c r="A166" i="149"/>
  <c r="A167" i="149"/>
  <c r="A168" i="149"/>
  <c r="A169" i="149"/>
  <c r="A170" i="149"/>
  <c r="A171" i="149"/>
  <c r="A172" i="149"/>
  <c r="A177" i="149"/>
  <c r="A178" i="149"/>
  <c r="A179" i="149"/>
  <c r="A256" i="149"/>
  <c r="A257" i="149"/>
  <c r="A272" i="149"/>
  <c r="A273" i="149"/>
  <c r="A276" i="149"/>
  <c r="A277" i="149"/>
  <c r="A281" i="149"/>
  <c r="A288" i="149"/>
  <c r="A289" i="149"/>
  <c r="A336" i="149"/>
  <c r="A348" i="149"/>
  <c r="A350" i="149"/>
  <c r="A351" i="149"/>
  <c r="A356" i="149"/>
  <c r="A358" i="149"/>
  <c r="A359" i="149"/>
  <c r="A360" i="149"/>
  <c r="A362" i="149"/>
  <c r="A363" i="149"/>
  <c r="A465" i="149"/>
  <c r="A468" i="149"/>
  <c r="A469" i="149"/>
  <c r="A473" i="149"/>
  <c r="A480" i="149"/>
  <c r="A481" i="149"/>
  <c r="A53" i="149"/>
  <c r="A54" i="149"/>
  <c r="A117" i="149"/>
  <c r="A341" i="149"/>
  <c r="A384" i="149"/>
  <c r="A433" i="149"/>
  <c r="A441" i="149"/>
  <c r="A24" i="149"/>
  <c r="A27" i="149"/>
  <c r="A69" i="149"/>
  <c r="A70" i="149"/>
  <c r="A83" i="149"/>
  <c r="A84" i="149"/>
  <c r="A89" i="149"/>
  <c r="A91" i="149"/>
  <c r="A92" i="149"/>
  <c r="A93" i="149"/>
  <c r="A95" i="149"/>
  <c r="A96" i="149"/>
  <c r="A133" i="149"/>
  <c r="A134" i="149"/>
  <c r="A138" i="149"/>
  <c r="A145" i="149"/>
  <c r="A146" i="149"/>
  <c r="A150" i="149"/>
  <c r="A151" i="149"/>
  <c r="A152" i="149"/>
  <c r="A173" i="149"/>
  <c r="A180" i="149"/>
  <c r="A182" i="149"/>
  <c r="A183" i="149"/>
  <c r="A184" i="149"/>
  <c r="A186" i="149"/>
  <c r="A187" i="149"/>
  <c r="A200" i="149"/>
  <c r="A201" i="149"/>
  <c r="A220" i="149"/>
  <c r="A222" i="149"/>
  <c r="A223" i="149"/>
  <c r="A241" i="149"/>
  <c r="A245" i="149"/>
  <c r="A249" i="149"/>
  <c r="A254" i="149"/>
  <c r="A255" i="149"/>
  <c r="A260" i="149"/>
  <c r="A262" i="149"/>
  <c r="A263" i="149"/>
  <c r="A264" i="149"/>
  <c r="A266" i="149"/>
  <c r="A267" i="149"/>
  <c r="A268" i="149"/>
  <c r="A270" i="149"/>
  <c r="A271" i="149"/>
  <c r="A308" i="149"/>
  <c r="A366" i="149"/>
  <c r="A367" i="149"/>
  <c r="A401" i="149"/>
  <c r="A404" i="149"/>
  <c r="A405" i="149"/>
  <c r="A409" i="149"/>
  <c r="A416" i="149"/>
  <c r="A417" i="149"/>
  <c r="A422" i="149"/>
  <c r="A423" i="149"/>
  <c r="A424" i="149"/>
  <c r="A426" i="149"/>
  <c r="A427" i="149"/>
  <c r="A448" i="149"/>
  <c r="A449" i="149"/>
  <c r="A476" i="149"/>
  <c r="A478" i="149"/>
  <c r="A479" i="149"/>
  <c r="A118" i="149"/>
  <c r="A164" i="149"/>
  <c r="A193" i="149"/>
  <c r="A337" i="149"/>
  <c r="A340" i="149"/>
  <c r="A345" i="149"/>
  <c r="A352" i="149"/>
  <c r="A353" i="149"/>
  <c r="A385" i="149"/>
  <c r="A437" i="149"/>
  <c r="A35" i="149"/>
  <c r="A36" i="149"/>
  <c r="A41" i="149"/>
  <c r="A43" i="149"/>
  <c r="A44" i="149"/>
  <c r="A45" i="149"/>
  <c r="A47" i="149"/>
  <c r="A48" i="149"/>
  <c r="A99" i="149"/>
  <c r="A100" i="149"/>
  <c r="A105" i="149"/>
  <c r="A107" i="149"/>
  <c r="A108" i="149"/>
  <c r="A109" i="149"/>
  <c r="A111" i="149"/>
  <c r="A112" i="149"/>
  <c r="A154" i="149"/>
  <c r="A155" i="149"/>
  <c r="A157" i="149"/>
  <c r="A158" i="149"/>
  <c r="A159" i="149"/>
  <c r="A160" i="149"/>
  <c r="A230" i="149"/>
  <c r="A231" i="149"/>
  <c r="A232" i="149"/>
  <c r="A234" i="149"/>
  <c r="A235" i="149"/>
  <c r="A284" i="149"/>
  <c r="A286" i="149"/>
  <c r="A287" i="149"/>
  <c r="A318" i="149"/>
  <c r="A319" i="149"/>
  <c r="A324" i="149"/>
  <c r="A326" i="149"/>
  <c r="A327" i="149"/>
  <c r="A328" i="149"/>
  <c r="A330" i="149"/>
  <c r="A331" i="149"/>
  <c r="A332" i="149"/>
  <c r="A334" i="149"/>
  <c r="A335" i="149"/>
  <c r="A372" i="149"/>
  <c r="A430" i="149"/>
  <c r="A431" i="149"/>
  <c r="A46" i="149"/>
  <c r="A62" i="149"/>
  <c r="A78" i="149"/>
  <c r="A94" i="149"/>
  <c r="A110" i="149"/>
  <c r="A126" i="149"/>
  <c r="A33" i="149"/>
  <c r="A34" i="149"/>
  <c r="A39" i="149"/>
  <c r="A40" i="149"/>
  <c r="A50" i="149"/>
  <c r="A55" i="149"/>
  <c r="A56" i="149"/>
  <c r="A66" i="149"/>
  <c r="A71" i="149"/>
  <c r="A72" i="149"/>
  <c r="A82" i="149"/>
  <c r="A87" i="149"/>
  <c r="A88" i="149"/>
  <c r="A98" i="149"/>
  <c r="A103" i="149"/>
  <c r="A104" i="149"/>
  <c r="A114" i="149"/>
  <c r="A119" i="149"/>
  <c r="A120" i="149"/>
  <c r="A130" i="149"/>
  <c r="A135" i="149"/>
  <c r="A136" i="149"/>
  <c r="A137" i="149"/>
  <c r="A139" i="149"/>
  <c r="A140" i="149"/>
  <c r="A174" i="149"/>
  <c r="A175" i="149"/>
  <c r="A176" i="149"/>
  <c r="A185" i="149"/>
  <c r="A214" i="149"/>
  <c r="A215" i="149"/>
  <c r="A216" i="149"/>
  <c r="A218" i="149"/>
  <c r="A219" i="149"/>
  <c r="A229" i="149"/>
  <c r="A233" i="149"/>
  <c r="A278" i="149"/>
  <c r="A279" i="149"/>
  <c r="A280" i="149"/>
  <c r="A282" i="149"/>
  <c r="A283" i="149"/>
  <c r="A293" i="149"/>
  <c r="A297" i="149"/>
  <c r="A342" i="149"/>
  <c r="A343" i="149"/>
  <c r="A344" i="149"/>
  <c r="A346" i="149"/>
  <c r="A347" i="149"/>
  <c r="A357" i="149"/>
  <c r="A361" i="149"/>
  <c r="A406" i="149"/>
  <c r="A407" i="149"/>
  <c r="A408" i="149"/>
  <c r="A410" i="149"/>
  <c r="A411" i="149"/>
  <c r="A421" i="149"/>
  <c r="A425" i="149"/>
  <c r="A470" i="149"/>
  <c r="A471" i="149"/>
  <c r="A472" i="149"/>
  <c r="A474" i="149"/>
  <c r="A475" i="149"/>
  <c r="A42" i="149"/>
  <c r="A58" i="149"/>
  <c r="A74" i="149"/>
  <c r="A90" i="149"/>
  <c r="A106" i="149"/>
  <c r="A122" i="149"/>
  <c r="A194" i="149"/>
  <c r="A195" i="149"/>
  <c r="A196" i="149"/>
  <c r="A246" i="149"/>
  <c r="A247" i="149"/>
  <c r="A248" i="149"/>
  <c r="A250" i="149"/>
  <c r="A251" i="149"/>
  <c r="A261" i="149"/>
  <c r="A265" i="149"/>
  <c r="A310" i="149"/>
  <c r="A311" i="149"/>
  <c r="A312" i="149"/>
  <c r="A314" i="149"/>
  <c r="A315" i="149"/>
  <c r="A325" i="149"/>
  <c r="A329" i="149"/>
  <c r="A374" i="149"/>
  <c r="A375" i="149"/>
  <c r="A376" i="149"/>
  <c r="A378" i="149"/>
  <c r="A379" i="149"/>
  <c r="A389" i="149"/>
  <c r="A393" i="149"/>
  <c r="A438" i="149"/>
  <c r="A439" i="149"/>
  <c r="A440" i="149"/>
  <c r="A442" i="149"/>
  <c r="A443" i="149"/>
  <c r="A453" i="149"/>
  <c r="A457" i="149"/>
  <c r="A142" i="149"/>
  <c r="A147" i="149"/>
  <c r="A148" i="149"/>
  <c r="A190" i="149"/>
  <c r="A191" i="149"/>
  <c r="A202" i="149"/>
  <c r="A203" i="149"/>
  <c r="A209" i="149"/>
  <c r="A221" i="149"/>
  <c r="A226" i="149"/>
  <c r="A227" i="149"/>
  <c r="A237" i="149"/>
  <c r="A242" i="149"/>
  <c r="A243" i="149"/>
  <c r="A253" i="149"/>
  <c r="A258" i="149"/>
  <c r="A259" i="149"/>
  <c r="A269" i="149"/>
  <c r="A274" i="149"/>
  <c r="A275" i="149"/>
  <c r="A285" i="149"/>
  <c r="A290" i="149"/>
  <c r="A291" i="149"/>
  <c r="A301" i="149"/>
  <c r="A306" i="149"/>
  <c r="A307" i="149"/>
  <c r="A317" i="149"/>
  <c r="A322" i="149"/>
  <c r="A323" i="149"/>
  <c r="A333" i="149"/>
  <c r="A338" i="149"/>
  <c r="A339" i="149"/>
  <c r="A349" i="149"/>
  <c r="A354" i="149"/>
  <c r="A355" i="149"/>
  <c r="A365" i="149"/>
  <c r="A370" i="149"/>
  <c r="A371" i="149"/>
  <c r="A381" i="149"/>
  <c r="A386" i="149"/>
  <c r="A387" i="149"/>
  <c r="A397" i="149"/>
  <c r="A402" i="149"/>
  <c r="A403" i="149"/>
  <c r="A413" i="149"/>
  <c r="A418" i="149"/>
  <c r="A419" i="149"/>
  <c r="A429" i="149"/>
  <c r="A434" i="149"/>
  <c r="A435" i="149"/>
  <c r="A445" i="149"/>
  <c r="A450" i="149"/>
  <c r="A451" i="149"/>
  <c r="A461" i="149"/>
  <c r="A466" i="149"/>
  <c r="A467" i="149"/>
  <c r="A477" i="149"/>
  <c r="A482" i="149"/>
  <c r="I295" i="136"/>
  <c r="F295" i="5" s="1"/>
  <c r="I299" i="136"/>
  <c r="F299" i="5" s="1"/>
  <c r="I325" i="136"/>
  <c r="I334" i="136"/>
  <c r="F334" i="5" s="1"/>
  <c r="I340" i="136"/>
  <c r="F340" i="5" s="1"/>
  <c r="L340" i="5" s="1"/>
  <c r="I345" i="136"/>
  <c r="F345" i="5" s="1"/>
  <c r="I353" i="136"/>
  <c r="F353" i="5" s="1"/>
  <c r="I357" i="136"/>
  <c r="I361" i="136"/>
  <c r="F361" i="5" s="1"/>
  <c r="I369" i="136"/>
  <c r="F369" i="5" s="1"/>
  <c r="I376" i="136"/>
  <c r="I380" i="136"/>
  <c r="F380" i="5" s="1"/>
  <c r="I388" i="136"/>
  <c r="F388" i="5" s="1"/>
  <c r="I392" i="136"/>
  <c r="F392" i="5" s="1"/>
  <c r="I291" i="136"/>
  <c r="I271" i="136"/>
  <c r="I293" i="136"/>
  <c r="F293" i="5" s="1"/>
  <c r="I297" i="136"/>
  <c r="I330" i="136"/>
  <c r="F330" i="5" s="1"/>
  <c r="I336" i="136"/>
  <c r="I343" i="136"/>
  <c r="F343" i="5" s="1"/>
  <c r="I347" i="136"/>
  <c r="F347" i="5" s="1"/>
  <c r="I355" i="136"/>
  <c r="F355" i="5" s="1"/>
  <c r="I359" i="136"/>
  <c r="F359" i="5" s="1"/>
  <c r="I367" i="136"/>
  <c r="F367" i="5" s="1"/>
  <c r="I371" i="136"/>
  <c r="F371" i="5" s="1"/>
  <c r="I374" i="136"/>
  <c r="F374" i="5" s="1"/>
  <c r="I378" i="136"/>
  <c r="F378" i="5" s="1"/>
  <c r="I386" i="136"/>
  <c r="I390" i="136"/>
  <c r="F390" i="5" s="1"/>
  <c r="I394" i="136"/>
  <c r="A30" i="149"/>
  <c r="A31" i="149"/>
  <c r="A32" i="149"/>
  <c r="I365" i="136"/>
  <c r="F365" i="5" s="1"/>
  <c r="I298" i="136"/>
  <c r="F298" i="5" s="1"/>
  <c r="I332" i="136"/>
  <c r="F332" i="5" s="1"/>
  <c r="I344" i="136"/>
  <c r="F344" i="5" s="1"/>
  <c r="I360" i="136"/>
  <c r="F360" i="5" s="1"/>
  <c r="I364" i="136"/>
  <c r="I375" i="136"/>
  <c r="F375" i="5" s="1"/>
  <c r="I379" i="136"/>
  <c r="F379" i="5" s="1"/>
  <c r="I383" i="136"/>
  <c r="I395" i="136"/>
  <c r="F395" i="5" s="1"/>
  <c r="E139" i="4" l="1"/>
  <c r="O1156" i="248"/>
  <c r="R1156" i="248" s="1"/>
  <c r="G23" i="229"/>
  <c r="M1177" i="1"/>
  <c r="R1177" i="1" s="1"/>
  <c r="E122" i="231"/>
  <c r="F122" i="231" s="1"/>
  <c r="G122" i="231" s="1"/>
  <c r="E123" i="231" l="1"/>
  <c r="F123" i="231" s="1"/>
  <c r="G123" i="231" s="1"/>
  <c r="D400" i="136"/>
  <c r="E124" i="231" l="1"/>
  <c r="F124" i="231" s="1"/>
  <c r="G124" i="231" s="1"/>
  <c r="A400" i="136"/>
  <c r="E125" i="231" l="1"/>
  <c r="F125" i="231" s="1"/>
  <c r="G125" i="231" s="1"/>
  <c r="E126" i="231" l="1"/>
  <c r="F126" i="231" s="1"/>
  <c r="G126" i="231" s="1"/>
  <c r="E127" i="231" l="1"/>
  <c r="F127" i="231" l="1"/>
  <c r="G127" i="231" l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641" i="1"/>
  <c r="D1640" i="1"/>
  <c r="D1639" i="1"/>
  <c r="D1638" i="1"/>
  <c r="D1637" i="1"/>
  <c r="D1584" i="1"/>
  <c r="D1583" i="1"/>
  <c r="D1582" i="1"/>
  <c r="D1581" i="1"/>
  <c r="D1580" i="1"/>
  <c r="D1579" i="1"/>
  <c r="D1578" i="1"/>
  <c r="D1577" i="1"/>
  <c r="D1576" i="1"/>
  <c r="E128" i="231" l="1"/>
  <c r="P125" i="5"/>
  <c r="P124" i="5"/>
  <c r="J124" i="5" s="1"/>
  <c r="L124" i="5" s="1"/>
  <c r="O1619" i="248" s="1"/>
  <c r="R1619" i="248" s="1"/>
  <c r="P123" i="5"/>
  <c r="J123" i="5" s="1"/>
  <c r="L123" i="5" s="1"/>
  <c r="O1618" i="248" s="1"/>
  <c r="R1618" i="248" s="1"/>
  <c r="P122" i="5"/>
  <c r="J122" i="5" s="1"/>
  <c r="L122" i="5" s="1"/>
  <c r="O1617" i="248" s="1"/>
  <c r="R1617" i="248" s="1"/>
  <c r="P121" i="5"/>
  <c r="J121" i="5" s="1"/>
  <c r="L121" i="5" s="1"/>
  <c r="O1616" i="248" s="1"/>
  <c r="R1616" i="248" s="1"/>
  <c r="F128" i="231" l="1"/>
  <c r="M1639" i="1"/>
  <c r="M1638" i="1"/>
  <c r="M1640" i="1"/>
  <c r="M1637" i="1"/>
  <c r="P206" i="5"/>
  <c r="P205" i="5"/>
  <c r="P202" i="5"/>
  <c r="P208" i="5"/>
  <c r="J208" i="5" s="1"/>
  <c r="P207" i="5"/>
  <c r="J207" i="5" s="1"/>
  <c r="P201" i="5"/>
  <c r="J201" i="5" s="1"/>
  <c r="P200" i="5"/>
  <c r="P199" i="5"/>
  <c r="P198" i="5"/>
  <c r="P197" i="5"/>
  <c r="G128" i="231" l="1"/>
  <c r="M174" i="136"/>
  <c r="M173" i="136"/>
  <c r="M172" i="136"/>
  <c r="M140" i="136"/>
  <c r="M139" i="136"/>
  <c r="O632" i="1"/>
  <c r="M134" i="136"/>
  <c r="O627" i="1"/>
  <c r="M133" i="136"/>
  <c r="O626" i="1"/>
  <c r="M132" i="136"/>
  <c r="O625" i="1"/>
  <c r="M131" i="136"/>
  <c r="O624" i="1"/>
  <c r="M130" i="136"/>
  <c r="O623" i="1"/>
  <c r="M129" i="136"/>
  <c r="M128" i="136"/>
  <c r="M127" i="136"/>
  <c r="M120" i="136"/>
  <c r="M119" i="136"/>
  <c r="M118" i="136"/>
  <c r="M117" i="136"/>
  <c r="M116" i="136"/>
  <c r="M115" i="136"/>
  <c r="M114" i="136"/>
  <c r="M113" i="136"/>
  <c r="M112" i="136"/>
  <c r="M111" i="136"/>
  <c r="M110" i="136"/>
  <c r="M109" i="136"/>
  <c r="M108" i="136"/>
  <c r="M107" i="136"/>
  <c r="M106" i="136"/>
  <c r="M105" i="136"/>
  <c r="M104" i="136"/>
  <c r="M103" i="136"/>
  <c r="M102" i="136"/>
  <c r="M101" i="136"/>
  <c r="M100" i="136"/>
  <c r="M99" i="136"/>
  <c r="M98" i="136"/>
  <c r="M97" i="136"/>
  <c r="M96" i="136"/>
  <c r="M95" i="136"/>
  <c r="M94" i="136"/>
  <c r="M92" i="136"/>
  <c r="G92" i="136" s="1"/>
  <c r="I92" i="136" s="1"/>
  <c r="O1894" i="248" s="1"/>
  <c r="M91" i="136"/>
  <c r="M90" i="136"/>
  <c r="M89" i="136"/>
  <c r="M88" i="136"/>
  <c r="M87" i="136"/>
  <c r="M86" i="136"/>
  <c r="M85" i="136"/>
  <c r="M84" i="136"/>
  <c r="M83" i="136"/>
  <c r="M82" i="136"/>
  <c r="M81" i="136"/>
  <c r="G81" i="136" s="1"/>
  <c r="I81" i="136" s="1"/>
  <c r="M80" i="136"/>
  <c r="M79" i="136"/>
  <c r="M78" i="136"/>
  <c r="G78" i="136" s="1"/>
  <c r="I78" i="136" s="1"/>
  <c r="O1864" i="248" s="1"/>
  <c r="M77" i="136"/>
  <c r="M76" i="136"/>
  <c r="M75" i="136"/>
  <c r="M74" i="136"/>
  <c r="M73" i="136"/>
  <c r="M72" i="136"/>
  <c r="M71" i="136"/>
  <c r="G71" i="136" s="1"/>
  <c r="I71" i="136" s="1"/>
  <c r="O1857" i="248" s="1"/>
  <c r="M70" i="136"/>
  <c r="G70" i="136" s="1"/>
  <c r="I70" i="136" s="1"/>
  <c r="O1856" i="248" s="1"/>
  <c r="M69" i="136"/>
  <c r="M68" i="136"/>
  <c r="M67" i="136"/>
  <c r="M66" i="136"/>
  <c r="M65" i="136"/>
  <c r="M64" i="136"/>
  <c r="M63" i="136"/>
  <c r="M62" i="136"/>
  <c r="M61" i="136"/>
  <c r="M60" i="136"/>
  <c r="O721" i="1"/>
  <c r="M59" i="136"/>
  <c r="O720" i="1"/>
  <c r="M58" i="136"/>
  <c r="L21" i="149" s="1"/>
  <c r="A21" i="149" s="1"/>
  <c r="M57" i="136"/>
  <c r="M56" i="136"/>
  <c r="M55" i="136"/>
  <c r="M54" i="136"/>
  <c r="M53" i="136"/>
  <c r="M52" i="136"/>
  <c r="M51" i="136"/>
  <c r="M50" i="136"/>
  <c r="G50" i="136" s="1"/>
  <c r="I50" i="136" s="1"/>
  <c r="O1847" i="248" s="1"/>
  <c r="M49" i="136"/>
  <c r="M48" i="136"/>
  <c r="M47" i="136"/>
  <c r="G47" i="136" s="1"/>
  <c r="I47" i="136" s="1"/>
  <c r="O1845" i="248" s="1"/>
  <c r="M46" i="136"/>
  <c r="M45" i="136"/>
  <c r="M44" i="136"/>
  <c r="M43" i="136"/>
  <c r="M42" i="136"/>
  <c r="M41" i="136"/>
  <c r="M40" i="136"/>
  <c r="M39" i="136"/>
  <c r="M38" i="136"/>
  <c r="M37" i="136"/>
  <c r="M36" i="136"/>
  <c r="M29" i="136"/>
  <c r="M28" i="136"/>
  <c r="M27" i="136"/>
  <c r="M26" i="136"/>
  <c r="M25" i="136"/>
  <c r="M24" i="136"/>
  <c r="M23" i="136"/>
  <c r="M22" i="136"/>
  <c r="M21" i="136"/>
  <c r="M20" i="136"/>
  <c r="M19" i="136"/>
  <c r="M18" i="136"/>
  <c r="M17" i="136"/>
  <c r="M16" i="136"/>
  <c r="M15" i="136"/>
  <c r="M14" i="136"/>
  <c r="M13" i="136"/>
  <c r="M12" i="136"/>
  <c r="M11" i="136"/>
  <c r="M10" i="136"/>
  <c r="M9" i="136"/>
  <c r="M8" i="136"/>
  <c r="M7" i="136"/>
  <c r="M6" i="136"/>
  <c r="I1" i="136"/>
  <c r="P217" i="5"/>
  <c r="J217" i="5" s="1"/>
  <c r="P216" i="5"/>
  <c r="P215" i="5"/>
  <c r="J215" i="5" s="1"/>
  <c r="P214" i="5"/>
  <c r="J214" i="5" s="1"/>
  <c r="L23" i="149" l="1"/>
  <c r="A23" i="149" s="1"/>
  <c r="L25" i="149"/>
  <c r="A25" i="149" s="1"/>
  <c r="L20" i="149"/>
  <c r="O1903" i="248"/>
  <c r="O1932" i="248"/>
  <c r="O2026" i="1"/>
  <c r="M1866" i="1"/>
  <c r="M1877" i="1"/>
  <c r="O2037" i="1"/>
  <c r="O2045" i="1"/>
  <c r="M1885" i="1"/>
  <c r="M1878" i="1"/>
  <c r="O2038" i="1"/>
  <c r="O2075" i="1"/>
  <c r="M1915" i="1"/>
  <c r="O2028" i="1"/>
  <c r="M1868" i="1"/>
  <c r="M1924" i="1"/>
  <c r="O2084" i="1"/>
  <c r="O2113" i="1"/>
  <c r="M1953" i="1"/>
  <c r="E129" i="231"/>
  <c r="O719" i="1"/>
  <c r="L19" i="149"/>
  <c r="O622" i="1"/>
  <c r="O619" i="1" s="1"/>
  <c r="L28" i="149"/>
  <c r="A28" i="149" s="1"/>
  <c r="L29" i="149"/>
  <c r="A29" i="149" s="1"/>
  <c r="L22" i="149"/>
  <c r="A22" i="149" s="1"/>
  <c r="L16" i="149"/>
  <c r="L15" i="149"/>
  <c r="G129" i="136"/>
  <c r="I129" i="136" s="1"/>
  <c r="G141" i="136"/>
  <c r="I141" i="136" s="1"/>
  <c r="G48" i="136"/>
  <c r="I48" i="136" s="1"/>
  <c r="G72" i="136"/>
  <c r="I72" i="136" s="1"/>
  <c r="O1858" i="248" s="1"/>
  <c r="G74" i="136"/>
  <c r="I74" i="136" s="1"/>
  <c r="O1860" i="248" s="1"/>
  <c r="G76" i="136"/>
  <c r="I76" i="136" s="1"/>
  <c r="O1862" i="248" s="1"/>
  <c r="G83" i="136"/>
  <c r="I83" i="136" s="1"/>
  <c r="O1931" i="248" s="1"/>
  <c r="G86" i="136"/>
  <c r="I86" i="136" s="1"/>
  <c r="G88" i="136"/>
  <c r="I88" i="136" s="1"/>
  <c r="G90" i="136"/>
  <c r="I90" i="136" s="1"/>
  <c r="O1891" i="248" s="1"/>
  <c r="G95" i="136"/>
  <c r="I95" i="136" s="1"/>
  <c r="G96" i="136"/>
  <c r="I96" i="136" s="1"/>
  <c r="G97" i="136"/>
  <c r="I97" i="136" s="1"/>
  <c r="G99" i="136"/>
  <c r="I99" i="136" s="1"/>
  <c r="G101" i="136"/>
  <c r="I101" i="136" s="1"/>
  <c r="G103" i="136"/>
  <c r="I103" i="136" s="1"/>
  <c r="O1897" i="248" s="1"/>
  <c r="G105" i="136"/>
  <c r="I105" i="136" s="1"/>
  <c r="O1899" i="248" s="1"/>
  <c r="G107" i="136"/>
  <c r="I107" i="136" s="1"/>
  <c r="G109" i="136"/>
  <c r="I109" i="136" s="1"/>
  <c r="O1904" i="248" s="1"/>
  <c r="G111" i="136"/>
  <c r="I111" i="136" s="1"/>
  <c r="G112" i="136"/>
  <c r="I112" i="136" s="1"/>
  <c r="G114" i="136"/>
  <c r="I114" i="136" s="1"/>
  <c r="O1908" i="248" s="1"/>
  <c r="G116" i="136"/>
  <c r="I116" i="136" s="1"/>
  <c r="O1911" i="248" s="1"/>
  <c r="G118" i="136"/>
  <c r="I118" i="136" s="1"/>
  <c r="O1913" i="248" s="1"/>
  <c r="G120" i="136"/>
  <c r="I120" i="136" s="1"/>
  <c r="O1915" i="248" s="1"/>
  <c r="G128" i="136"/>
  <c r="I128" i="136" s="1"/>
  <c r="G130" i="136"/>
  <c r="I130" i="136" s="1"/>
  <c r="O621" i="248" s="1"/>
  <c r="R621" i="248" s="1"/>
  <c r="G132" i="136"/>
  <c r="I132" i="136" s="1"/>
  <c r="O623" i="248" s="1"/>
  <c r="R623" i="248" s="1"/>
  <c r="G134" i="136"/>
  <c r="I134" i="136" s="1"/>
  <c r="O625" i="248" s="1"/>
  <c r="R625" i="248" s="1"/>
  <c r="G140" i="136"/>
  <c r="I140" i="136" s="1"/>
  <c r="G127" i="136"/>
  <c r="I127" i="136" s="1"/>
  <c r="G131" i="136"/>
  <c r="I131" i="136" s="1"/>
  <c r="O622" i="248" s="1"/>
  <c r="R622" i="248" s="1"/>
  <c r="G133" i="136"/>
  <c r="I133" i="136" s="1"/>
  <c r="O624" i="248" s="1"/>
  <c r="R624" i="248" s="1"/>
  <c r="G139" i="136"/>
  <c r="I139" i="136" s="1"/>
  <c r="O630" i="248" s="1"/>
  <c r="R630" i="248" s="1"/>
  <c r="G45" i="136"/>
  <c r="I45" i="136" s="1"/>
  <c r="O1843" i="248" s="1"/>
  <c r="G52" i="136"/>
  <c r="I52" i="136" s="1"/>
  <c r="G54" i="136"/>
  <c r="I54" i="136" s="1"/>
  <c r="G56" i="136"/>
  <c r="I56" i="136" s="1"/>
  <c r="G58" i="136"/>
  <c r="I58" i="136" s="1"/>
  <c r="G60" i="136"/>
  <c r="I60" i="136" s="1"/>
  <c r="O719" i="248" s="1"/>
  <c r="R719" i="248" s="1"/>
  <c r="G62" i="136"/>
  <c r="I62" i="136" s="1"/>
  <c r="G64" i="136"/>
  <c r="I64" i="136" s="1"/>
  <c r="G66" i="136"/>
  <c r="I66" i="136" s="1"/>
  <c r="G68" i="136"/>
  <c r="I68" i="136" s="1"/>
  <c r="O1854" i="248" s="1"/>
  <c r="G44" i="136"/>
  <c r="I44" i="136" s="1"/>
  <c r="O1842" i="248" s="1"/>
  <c r="G46" i="136"/>
  <c r="I46" i="136" s="1"/>
  <c r="O1844" i="248" s="1"/>
  <c r="G49" i="136"/>
  <c r="I49" i="136" s="1"/>
  <c r="G51" i="136"/>
  <c r="I51" i="136" s="1"/>
  <c r="G53" i="136"/>
  <c r="I53" i="136" s="1"/>
  <c r="G55" i="136"/>
  <c r="I55" i="136" s="1"/>
  <c r="G57" i="136"/>
  <c r="I57" i="136" s="1"/>
  <c r="G59" i="136"/>
  <c r="I59" i="136" s="1"/>
  <c r="O718" i="248" s="1"/>
  <c r="R718" i="248" s="1"/>
  <c r="G61" i="136"/>
  <c r="I61" i="136" s="1"/>
  <c r="O1850" i="248" s="1"/>
  <c r="G63" i="136"/>
  <c r="I63" i="136" s="1"/>
  <c r="G65" i="136"/>
  <c r="I65" i="136" s="1"/>
  <c r="O1852" i="248" s="1"/>
  <c r="G67" i="136"/>
  <c r="I67" i="136" s="1"/>
  <c r="O1853" i="248" s="1"/>
  <c r="G69" i="136"/>
  <c r="I69" i="136" s="1"/>
  <c r="O1855" i="248" s="1"/>
  <c r="G73" i="136"/>
  <c r="I73" i="136" s="1"/>
  <c r="O1859" i="248" s="1"/>
  <c r="G75" i="136"/>
  <c r="I75" i="136" s="1"/>
  <c r="O1861" i="248" s="1"/>
  <c r="G77" i="136"/>
  <c r="I77" i="136" s="1"/>
  <c r="O1863" i="248" s="1"/>
  <c r="G79" i="136"/>
  <c r="I79" i="136" s="1"/>
  <c r="G80" i="136"/>
  <c r="I80" i="136" s="1"/>
  <c r="O1933" i="248" s="1"/>
  <c r="G82" i="136"/>
  <c r="I82" i="136" s="1"/>
  <c r="O1930" i="248" s="1"/>
  <c r="G84" i="136"/>
  <c r="I84" i="136" s="1"/>
  <c r="G85" i="136"/>
  <c r="I85" i="136" s="1"/>
  <c r="G87" i="136"/>
  <c r="I87" i="136" s="1"/>
  <c r="G89" i="136"/>
  <c r="I89" i="136" s="1"/>
  <c r="O1892" i="248" s="1"/>
  <c r="G91" i="136"/>
  <c r="I91" i="136" s="1"/>
  <c r="O1893" i="248" s="1"/>
  <c r="G94" i="136"/>
  <c r="I94" i="136" s="1"/>
  <c r="G98" i="136"/>
  <c r="I98" i="136" s="1"/>
  <c r="G100" i="136"/>
  <c r="I100" i="136" s="1"/>
  <c r="G102" i="136"/>
  <c r="I102" i="136" s="1"/>
  <c r="G104" i="136"/>
  <c r="I104" i="136" s="1"/>
  <c r="O1898" i="248" s="1"/>
  <c r="G106" i="136"/>
  <c r="I106" i="136" s="1"/>
  <c r="O1900" i="248" s="1"/>
  <c r="G108" i="136"/>
  <c r="I108" i="136" s="1"/>
  <c r="G110" i="136"/>
  <c r="I110" i="136" s="1"/>
  <c r="O1905" i="248" s="1"/>
  <c r="G113" i="136"/>
  <c r="I113" i="136" s="1"/>
  <c r="O1907" i="248" s="1"/>
  <c r="G115" i="136"/>
  <c r="I115" i="136" s="1"/>
  <c r="O1909" i="248" s="1"/>
  <c r="G117" i="136"/>
  <c r="I117" i="136" s="1"/>
  <c r="O1912" i="248" s="1"/>
  <c r="G119" i="136"/>
  <c r="I119" i="136" s="1"/>
  <c r="O1914" i="248" s="1"/>
  <c r="G9" i="136"/>
  <c r="I9" i="136" s="1"/>
  <c r="G13" i="136"/>
  <c r="I13" i="136" s="1"/>
  <c r="G8" i="136"/>
  <c r="I8" i="136" s="1"/>
  <c r="O1803" i="248" s="1"/>
  <c r="S1803" i="248" s="1"/>
  <c r="G10" i="136"/>
  <c r="I10" i="136" s="1"/>
  <c r="G12" i="136"/>
  <c r="I12" i="136" s="1"/>
  <c r="G14" i="136"/>
  <c r="I14" i="136" s="1"/>
  <c r="O1809" i="248" s="1"/>
  <c r="G16" i="136"/>
  <c r="I16" i="136" s="1"/>
  <c r="O1811" i="248" s="1"/>
  <c r="G18" i="136"/>
  <c r="I18" i="136" s="1"/>
  <c r="O1813" i="248" s="1"/>
  <c r="G20" i="136"/>
  <c r="I20" i="136" s="1"/>
  <c r="G22" i="136"/>
  <c r="I22" i="136" s="1"/>
  <c r="G24" i="136"/>
  <c r="I24" i="136" s="1"/>
  <c r="G26" i="136"/>
  <c r="I26" i="136" s="1"/>
  <c r="O1825" i="248" s="1"/>
  <c r="G28" i="136"/>
  <c r="I28" i="136" s="1"/>
  <c r="O1827" i="248" s="1"/>
  <c r="G36" i="136"/>
  <c r="I36" i="136" s="1"/>
  <c r="G38" i="136"/>
  <c r="I38" i="136" s="1"/>
  <c r="O1839" i="248" s="1"/>
  <c r="G40" i="136"/>
  <c r="I40" i="136" s="1"/>
  <c r="G42" i="136"/>
  <c r="I42" i="136" s="1"/>
  <c r="G7" i="136"/>
  <c r="I7" i="136" s="1"/>
  <c r="G11" i="136"/>
  <c r="I11" i="136" s="1"/>
  <c r="G15" i="136"/>
  <c r="I15" i="136" s="1"/>
  <c r="O1810" i="248" s="1"/>
  <c r="G17" i="136"/>
  <c r="I17" i="136" s="1"/>
  <c r="O1812" i="248" s="1"/>
  <c r="G19" i="136"/>
  <c r="I19" i="136" s="1"/>
  <c r="O1814" i="248" s="1"/>
  <c r="G21" i="136"/>
  <c r="I21" i="136" s="1"/>
  <c r="G23" i="136"/>
  <c r="I23" i="136" s="1"/>
  <c r="G25" i="136"/>
  <c r="I25" i="136" s="1"/>
  <c r="O1824" i="248" s="1"/>
  <c r="G27" i="136"/>
  <c r="I27" i="136" s="1"/>
  <c r="O1826" i="248" s="1"/>
  <c r="G29" i="136"/>
  <c r="I29" i="136" s="1"/>
  <c r="O1828" i="248" s="1"/>
  <c r="G37" i="136"/>
  <c r="I37" i="136" s="1"/>
  <c r="O1838" i="248" s="1"/>
  <c r="G39" i="136"/>
  <c r="I39" i="136" s="1"/>
  <c r="O1840" i="248" s="1"/>
  <c r="G41" i="136"/>
  <c r="I41" i="136" s="1"/>
  <c r="G43" i="136"/>
  <c r="I43" i="136" s="1"/>
  <c r="K400" i="136"/>
  <c r="K2" i="136" s="1"/>
  <c r="O1821" i="248" l="1"/>
  <c r="S1821" i="248" s="1"/>
  <c r="O1841" i="248"/>
  <c r="O1910" i="248"/>
  <c r="O1939" i="248"/>
  <c r="S1939" i="248" s="1"/>
  <c r="O620" i="248"/>
  <c r="O1815" i="248"/>
  <c r="O1808" i="248"/>
  <c r="O1848" i="248"/>
  <c r="O1896" i="248"/>
  <c r="O1846" i="248"/>
  <c r="O1890" i="248"/>
  <c r="O1851" i="248"/>
  <c r="O1906" i="248"/>
  <c r="O1927" i="248"/>
  <c r="S1927" i="248" s="1"/>
  <c r="O717" i="248"/>
  <c r="R717" i="248" s="1"/>
  <c r="O1849" i="248"/>
  <c r="O1902" i="248"/>
  <c r="O1901" i="248"/>
  <c r="U619" i="1"/>
  <c r="X619" i="1"/>
  <c r="O1984" i="1"/>
  <c r="S1984" i="1" s="1"/>
  <c r="M1912" i="1"/>
  <c r="M1960" i="1"/>
  <c r="S1960" i="1" s="1"/>
  <c r="M1867" i="1"/>
  <c r="M1862" i="1"/>
  <c r="O2019" i="1"/>
  <c r="M1859" i="1"/>
  <c r="O1991" i="1"/>
  <c r="M1831" i="1"/>
  <c r="O2006" i="1"/>
  <c r="M1846" i="1"/>
  <c r="O1994" i="1"/>
  <c r="M1834" i="1"/>
  <c r="O1989" i="1"/>
  <c r="M1829" i="1"/>
  <c r="O2095" i="1"/>
  <c r="M1935" i="1"/>
  <c r="M1926" i="1"/>
  <c r="O2086" i="1"/>
  <c r="O2074" i="1"/>
  <c r="M1914" i="1"/>
  <c r="M1884" i="1"/>
  <c r="O2044" i="1"/>
  <c r="M1874" i="1"/>
  <c r="O2034" i="1"/>
  <c r="O2035" i="1"/>
  <c r="M1875" i="1"/>
  <c r="M1869" i="1"/>
  <c r="O2092" i="1"/>
  <c r="M1932" i="1"/>
  <c r="M1925" i="1"/>
  <c r="O2085" i="1"/>
  <c r="M1917" i="1"/>
  <c r="O2077" i="1"/>
  <c r="O2112" i="1"/>
  <c r="M1952" i="1"/>
  <c r="M1849" i="1"/>
  <c r="O2009" i="1"/>
  <c r="M1860" i="1"/>
  <c r="O2020" i="1"/>
  <c r="O1992" i="1"/>
  <c r="M1832" i="1"/>
  <c r="M1824" i="1"/>
  <c r="S1824" i="1" s="1"/>
  <c r="M1933" i="1"/>
  <c r="O2093" i="1"/>
  <c r="O2073" i="1"/>
  <c r="M1913" i="1"/>
  <c r="O2111" i="1"/>
  <c r="M1951" i="1"/>
  <c r="M1882" i="1"/>
  <c r="O2042" i="1"/>
  <c r="O2033" i="1"/>
  <c r="M1873" i="1"/>
  <c r="O2027" i="1"/>
  <c r="M1870" i="1"/>
  <c r="O2030" i="1"/>
  <c r="O2024" i="1"/>
  <c r="M1864" i="1"/>
  <c r="M1929" i="1"/>
  <c r="O2089" i="1"/>
  <c r="M1923" i="1"/>
  <c r="O2083" i="1"/>
  <c r="O2072" i="1"/>
  <c r="M1883" i="1"/>
  <c r="O2043" i="1"/>
  <c r="M1922" i="1"/>
  <c r="O2082" i="1"/>
  <c r="O2007" i="1"/>
  <c r="M1847" i="1"/>
  <c r="O1996" i="1"/>
  <c r="O1990" i="1"/>
  <c r="M1830" i="1"/>
  <c r="M1930" i="1"/>
  <c r="O2090" i="1"/>
  <c r="O1995" i="1"/>
  <c r="M1835" i="1"/>
  <c r="O2081" i="1"/>
  <c r="M1921" i="1"/>
  <c r="M1954" i="1"/>
  <c r="O2114" i="1"/>
  <c r="O2040" i="1"/>
  <c r="M1880" i="1"/>
  <c r="M1865" i="1"/>
  <c r="O2025" i="1"/>
  <c r="M1936" i="1"/>
  <c r="O2096" i="1"/>
  <c r="O2080" i="1"/>
  <c r="M1920" i="1"/>
  <c r="M1881" i="1"/>
  <c r="O2041" i="1"/>
  <c r="O2120" i="1"/>
  <c r="S2120" i="1" s="1"/>
  <c r="M1861" i="1"/>
  <c r="O2021" i="1"/>
  <c r="O1993" i="1"/>
  <c r="M1833" i="1"/>
  <c r="O2022" i="1"/>
  <c r="O2008" i="1"/>
  <c r="M1848" i="1"/>
  <c r="M1836" i="1"/>
  <c r="M1928" i="1"/>
  <c r="O2088" i="1"/>
  <c r="O2079" i="1"/>
  <c r="M1919" i="1"/>
  <c r="O2071" i="1"/>
  <c r="M1911" i="1"/>
  <c r="M1876" i="1"/>
  <c r="O2036" i="1"/>
  <c r="M1871" i="1"/>
  <c r="O2031" i="1"/>
  <c r="M1863" i="1"/>
  <c r="O2023" i="1"/>
  <c r="O2032" i="1"/>
  <c r="M1872" i="1"/>
  <c r="O2029" i="1"/>
  <c r="O2094" i="1"/>
  <c r="M1934" i="1"/>
  <c r="M1927" i="1"/>
  <c r="O2087" i="1"/>
  <c r="O2078" i="1"/>
  <c r="M1918" i="1"/>
  <c r="O2039" i="1"/>
  <c r="M1879" i="1"/>
  <c r="M1845" i="1"/>
  <c r="O2005" i="1"/>
  <c r="O2091" i="1"/>
  <c r="M1931" i="1"/>
  <c r="F129" i="231"/>
  <c r="M720" i="1"/>
  <c r="R720" i="1" s="1"/>
  <c r="M721" i="1"/>
  <c r="R721" i="1" s="1"/>
  <c r="M623" i="1"/>
  <c r="R623" i="1" s="1"/>
  <c r="M632" i="1"/>
  <c r="R632" i="1" s="1"/>
  <c r="M624" i="1"/>
  <c r="R624" i="1" s="1"/>
  <c r="M625" i="1"/>
  <c r="R625" i="1" s="1"/>
  <c r="M626" i="1"/>
  <c r="R626" i="1" s="1"/>
  <c r="M627" i="1"/>
  <c r="R627" i="1" s="1"/>
  <c r="M719" i="1"/>
  <c r="R719" i="1" s="1"/>
  <c r="M622" i="1"/>
  <c r="I190" i="136"/>
  <c r="F400" i="136"/>
  <c r="M1842" i="1" l="1"/>
  <c r="S1842" i="1" s="1"/>
  <c r="O2002" i="1"/>
  <c r="S2002" i="1" s="1"/>
  <c r="O1805" i="248"/>
  <c r="S1805" i="248" s="1"/>
  <c r="O1887" i="248"/>
  <c r="S1887" i="248" s="1"/>
  <c r="O1835" i="248"/>
  <c r="S1835" i="248" s="1"/>
  <c r="R620" i="248"/>
  <c r="O617" i="248"/>
  <c r="R622" i="1"/>
  <c r="M619" i="1"/>
  <c r="V619" i="1" s="1"/>
  <c r="M1826" i="1"/>
  <c r="S1826" i="1" s="1"/>
  <c r="M1908" i="1"/>
  <c r="S1908" i="1" s="1"/>
  <c r="M1856" i="1"/>
  <c r="S1856" i="1" s="1"/>
  <c r="O2068" i="1"/>
  <c r="S2068" i="1" s="1"/>
  <c r="M1948" i="1"/>
  <c r="S1948" i="1" s="1"/>
  <c r="O1986" i="1"/>
  <c r="S1986" i="1" s="1"/>
  <c r="O2108" i="1"/>
  <c r="S2108" i="1" s="1"/>
  <c r="O2016" i="1"/>
  <c r="S2016" i="1" s="1"/>
  <c r="G129" i="231"/>
  <c r="D614" i="1"/>
  <c r="J79" i="26"/>
  <c r="J80" i="26"/>
  <c r="J74" i="26"/>
  <c r="J71" i="26"/>
  <c r="J69" i="26"/>
  <c r="J73" i="26"/>
  <c r="J200" i="5" s="1"/>
  <c r="J70" i="26"/>
  <c r="J199" i="5" s="1"/>
  <c r="L15" i="89"/>
  <c r="J11" i="89"/>
  <c r="G6" i="124"/>
  <c r="J34" i="26"/>
  <c r="J280" i="5" s="1"/>
  <c r="L280" i="5" s="1"/>
  <c r="P347" i="5"/>
  <c r="J347" i="5" s="1"/>
  <c r="L347" i="5" s="1"/>
  <c r="J39" i="26"/>
  <c r="K256" i="89"/>
  <c r="D613" i="1"/>
  <c r="K255" i="89"/>
  <c r="K254" i="89"/>
  <c r="K253" i="89"/>
  <c r="P222" i="5"/>
  <c r="J222" i="5" s="1"/>
  <c r="P221" i="5"/>
  <c r="J221" i="5" s="1"/>
  <c r="P220" i="5"/>
  <c r="J220" i="5" s="1"/>
  <c r="P219" i="5"/>
  <c r="J219" i="5" s="1"/>
  <c r="P218" i="5"/>
  <c r="J218" i="5" s="1"/>
  <c r="R19" i="80"/>
  <c r="R17" i="80"/>
  <c r="C20" i="80"/>
  <c r="C19" i="80"/>
  <c r="C18" i="80"/>
  <c r="C17" i="80"/>
  <c r="C16" i="80"/>
  <c r="P346" i="5"/>
  <c r="J346" i="5" s="1"/>
  <c r="P345" i="5"/>
  <c r="J345" i="5" s="1"/>
  <c r="P184" i="5"/>
  <c r="J184" i="5" s="1"/>
  <c r="P183" i="5"/>
  <c r="J183" i="5" s="1"/>
  <c r="P182" i="5"/>
  <c r="J182" i="5" s="1"/>
  <c r="P78" i="5"/>
  <c r="J78" i="5" s="1"/>
  <c r="L78" i="5" s="1"/>
  <c r="O1563" i="248" s="1"/>
  <c r="R1563" i="248" s="1"/>
  <c r="P77" i="5"/>
  <c r="J77" i="5" s="1"/>
  <c r="L77" i="5" s="1"/>
  <c r="O1562" i="248" s="1"/>
  <c r="R1562" i="248" s="1"/>
  <c r="P76" i="5"/>
  <c r="J76" i="5" s="1"/>
  <c r="L76" i="5" s="1"/>
  <c r="O1561" i="248" s="1"/>
  <c r="R1561" i="248" s="1"/>
  <c r="P75" i="5"/>
  <c r="J75" i="5" s="1"/>
  <c r="L75" i="5" s="1"/>
  <c r="O1560" i="248" s="1"/>
  <c r="R1560" i="248" s="1"/>
  <c r="H39" i="4"/>
  <c r="H38" i="4"/>
  <c r="I38" i="4" s="1"/>
  <c r="P98" i="5"/>
  <c r="P99" i="5"/>
  <c r="J99" i="5" s="1"/>
  <c r="L99" i="5" s="1"/>
  <c r="O688" i="248" s="1"/>
  <c r="R688" i="248" s="1"/>
  <c r="E27" i="4"/>
  <c r="G71" i="4" s="1"/>
  <c r="P365" i="5"/>
  <c r="J365" i="5" s="1"/>
  <c r="P180" i="5"/>
  <c r="J180" i="5" s="1"/>
  <c r="P181" i="5"/>
  <c r="J181" i="5" s="1"/>
  <c r="P58" i="5"/>
  <c r="J58" i="5" s="1"/>
  <c r="L58" i="5" s="1"/>
  <c r="P59" i="5"/>
  <c r="J59" i="5" s="1"/>
  <c r="P69" i="5"/>
  <c r="J69" i="5" s="1"/>
  <c r="P116" i="5"/>
  <c r="J116" i="5" s="1"/>
  <c r="K196" i="89"/>
  <c r="W196" i="89" s="1"/>
  <c r="Y196" i="89" s="1"/>
  <c r="Z196" i="89" s="1"/>
  <c r="L13" i="89"/>
  <c r="L14" i="89"/>
  <c r="J60" i="26"/>
  <c r="J61" i="26"/>
  <c r="J65" i="26"/>
  <c r="J62" i="26"/>
  <c r="J45" i="26"/>
  <c r="J28" i="26"/>
  <c r="J38" i="26"/>
  <c r="J52" i="26"/>
  <c r="J55" i="26"/>
  <c r="J56" i="26"/>
  <c r="J57" i="26"/>
  <c r="J36" i="26"/>
  <c r="P15" i="5"/>
  <c r="J15" i="5" s="1"/>
  <c r="L15" i="5" s="1"/>
  <c r="O1509" i="248" s="1"/>
  <c r="R1509" i="248" s="1"/>
  <c r="J23" i="26"/>
  <c r="J43" i="26"/>
  <c r="J44" i="26"/>
  <c r="J48" i="26"/>
  <c r="J144" i="5" s="1"/>
  <c r="L144" i="5" s="1"/>
  <c r="J49" i="26"/>
  <c r="J27" i="26"/>
  <c r="J40" i="26"/>
  <c r="J289" i="5" s="1"/>
  <c r="L289" i="5" s="1"/>
  <c r="J50" i="26"/>
  <c r="J58" i="26"/>
  <c r="J66" i="26"/>
  <c r="N398" i="5"/>
  <c r="H40" i="4"/>
  <c r="P25" i="5"/>
  <c r="J25" i="5" s="1"/>
  <c r="L25" i="5" s="1"/>
  <c r="O1523" i="248" s="1"/>
  <c r="R1523" i="248" s="1"/>
  <c r="P26" i="5"/>
  <c r="J26" i="5" s="1"/>
  <c r="L26" i="5" s="1"/>
  <c r="P27" i="5"/>
  <c r="J27" i="5" s="1"/>
  <c r="L27" i="5" s="1"/>
  <c r="J32" i="26"/>
  <c r="P70" i="5"/>
  <c r="J70" i="5" s="1"/>
  <c r="L70" i="5" s="1"/>
  <c r="P71" i="5"/>
  <c r="J71" i="5" s="1"/>
  <c r="L71" i="5" s="1"/>
  <c r="O1556" i="248" s="1"/>
  <c r="R1556" i="248" s="1"/>
  <c r="P72" i="5"/>
  <c r="J72" i="5" s="1"/>
  <c r="L72" i="5" s="1"/>
  <c r="O1557" i="248" s="1"/>
  <c r="R1557" i="248" s="1"/>
  <c r="J29" i="26"/>
  <c r="J30" i="26"/>
  <c r="J126" i="5" s="1"/>
  <c r="L126" i="5" s="1"/>
  <c r="F105" i="80" s="1"/>
  <c r="K246" i="89"/>
  <c r="K235" i="89"/>
  <c r="W235" i="89" s="1"/>
  <c r="Y235" i="89" s="1"/>
  <c r="Z235" i="89" s="1"/>
  <c r="K234" i="89"/>
  <c r="W234" i="89" s="1"/>
  <c r="Y234" i="89" s="1"/>
  <c r="Z234" i="89" s="1"/>
  <c r="K205" i="89"/>
  <c r="K171" i="89"/>
  <c r="K129" i="89"/>
  <c r="K128" i="89"/>
  <c r="K127" i="89"/>
  <c r="W127" i="89" s="1"/>
  <c r="Y127" i="89" s="1"/>
  <c r="J51" i="26"/>
  <c r="J156" i="5" s="1"/>
  <c r="L156" i="5" s="1"/>
  <c r="P298" i="5"/>
  <c r="J298" i="5" s="1"/>
  <c r="J41" i="26"/>
  <c r="J54" i="26"/>
  <c r="J63" i="26"/>
  <c r="J64" i="26"/>
  <c r="P225" i="5"/>
  <c r="J225" i="5" s="1"/>
  <c r="P224" i="5"/>
  <c r="J224" i="5" s="1"/>
  <c r="P223" i="5"/>
  <c r="J223" i="5" s="1"/>
  <c r="H42" i="4"/>
  <c r="O71" i="1"/>
  <c r="P73" i="5"/>
  <c r="J73" i="5" s="1"/>
  <c r="L73" i="5" s="1"/>
  <c r="O1558" i="248" s="1"/>
  <c r="R1558" i="248" s="1"/>
  <c r="P74" i="5"/>
  <c r="J74" i="5" s="1"/>
  <c r="L74" i="5" s="1"/>
  <c r="O1559" i="248" s="1"/>
  <c r="R1559" i="248" s="1"/>
  <c r="P117" i="5"/>
  <c r="J117" i="5" s="1"/>
  <c r="L117" i="5" s="1"/>
  <c r="O1612" i="248" s="1"/>
  <c r="R1612" i="248" s="1"/>
  <c r="P118" i="5"/>
  <c r="J118" i="5" s="1"/>
  <c r="L118" i="5" s="1"/>
  <c r="O1613" i="248" s="1"/>
  <c r="R1613" i="248" s="1"/>
  <c r="P119" i="5"/>
  <c r="J119" i="5" s="1"/>
  <c r="L119" i="5" s="1"/>
  <c r="O1614" i="248" s="1"/>
  <c r="R1614" i="248" s="1"/>
  <c r="P366" i="5"/>
  <c r="J366" i="5" s="1"/>
  <c r="I164" i="89"/>
  <c r="I110" i="242" s="1"/>
  <c r="I13" i="89"/>
  <c r="I237" i="89"/>
  <c r="I342" i="89"/>
  <c r="I227" i="242" s="1"/>
  <c r="Q15" i="89"/>
  <c r="K247" i="89"/>
  <c r="K248" i="89"/>
  <c r="K249" i="89"/>
  <c r="C2" i="89"/>
  <c r="D3" i="89"/>
  <c r="C11" i="89"/>
  <c r="C12" i="89"/>
  <c r="K130" i="89"/>
  <c r="K131" i="89"/>
  <c r="K132" i="89"/>
  <c r="K133" i="89"/>
  <c r="K134" i="89"/>
  <c r="K135" i="89"/>
  <c r="K136" i="89"/>
  <c r="K137" i="89"/>
  <c r="K138" i="89"/>
  <c r="K139" i="89"/>
  <c r="K140" i="89"/>
  <c r="K141" i="89"/>
  <c r="K142" i="89"/>
  <c r="K143" i="89"/>
  <c r="K144" i="89"/>
  <c r="K145" i="89"/>
  <c r="K162" i="89"/>
  <c r="C13" i="89"/>
  <c r="J13" i="89"/>
  <c r="K172" i="89"/>
  <c r="W172" i="89" s="1"/>
  <c r="Y172" i="89" s="1"/>
  <c r="Z172" i="89" s="1"/>
  <c r="K173" i="89"/>
  <c r="W173" i="89" s="1"/>
  <c r="Y173" i="89" s="1"/>
  <c r="Z173" i="89" s="1"/>
  <c r="P13" i="89"/>
  <c r="C14" i="89"/>
  <c r="J14" i="89"/>
  <c r="P14" i="89"/>
  <c r="Q14" i="89"/>
  <c r="C15" i="89"/>
  <c r="P192" i="5"/>
  <c r="P193" i="5"/>
  <c r="P209" i="5"/>
  <c r="L482" i="26"/>
  <c r="M482" i="26"/>
  <c r="L481" i="26"/>
  <c r="M481" i="26"/>
  <c r="L480" i="26"/>
  <c r="M480" i="26"/>
  <c r="L479" i="26"/>
  <c r="M479" i="26"/>
  <c r="L478" i="26"/>
  <c r="M478" i="26"/>
  <c r="L477" i="26"/>
  <c r="M477" i="26"/>
  <c r="L476" i="26"/>
  <c r="M476" i="26"/>
  <c r="L475" i="26"/>
  <c r="M475" i="26"/>
  <c r="L474" i="26"/>
  <c r="M474" i="26"/>
  <c r="L473" i="26"/>
  <c r="M473" i="26"/>
  <c r="L472" i="26"/>
  <c r="M472" i="26"/>
  <c r="L471" i="26"/>
  <c r="M471" i="26"/>
  <c r="L470" i="26"/>
  <c r="M470" i="26"/>
  <c r="L469" i="26"/>
  <c r="M469" i="26"/>
  <c r="L468" i="26"/>
  <c r="M468" i="26"/>
  <c r="L467" i="26"/>
  <c r="M467" i="26"/>
  <c r="L466" i="26"/>
  <c r="M466" i="26"/>
  <c r="L465" i="26"/>
  <c r="M465" i="26"/>
  <c r="L464" i="26"/>
  <c r="M464" i="26"/>
  <c r="L463" i="26"/>
  <c r="M463" i="26"/>
  <c r="L462" i="26"/>
  <c r="M462" i="26"/>
  <c r="L461" i="26"/>
  <c r="M461" i="26"/>
  <c r="L460" i="26"/>
  <c r="M460" i="26"/>
  <c r="L459" i="26"/>
  <c r="M459" i="26"/>
  <c r="L458" i="26"/>
  <c r="M458" i="26"/>
  <c r="L457" i="26"/>
  <c r="M457" i="26"/>
  <c r="L456" i="26"/>
  <c r="M456" i="26"/>
  <c r="L455" i="26"/>
  <c r="M455" i="26"/>
  <c r="L454" i="26"/>
  <c r="M454" i="26"/>
  <c r="L453" i="26"/>
  <c r="M453" i="26"/>
  <c r="L452" i="26"/>
  <c r="M452" i="26"/>
  <c r="L451" i="26"/>
  <c r="M451" i="26"/>
  <c r="L450" i="26"/>
  <c r="M450" i="26"/>
  <c r="L449" i="26"/>
  <c r="M449" i="26"/>
  <c r="L448" i="26"/>
  <c r="M448" i="26"/>
  <c r="L447" i="26"/>
  <c r="M447" i="26"/>
  <c r="L446" i="26"/>
  <c r="M446" i="26"/>
  <c r="L445" i="26"/>
  <c r="M445" i="26"/>
  <c r="L444" i="26"/>
  <c r="M444" i="26"/>
  <c r="L443" i="26"/>
  <c r="M443" i="26"/>
  <c r="L442" i="26"/>
  <c r="M442" i="26"/>
  <c r="L441" i="26"/>
  <c r="M441" i="26"/>
  <c r="L440" i="26"/>
  <c r="M440" i="26"/>
  <c r="L439" i="26"/>
  <c r="M439" i="26"/>
  <c r="L438" i="26"/>
  <c r="M438" i="26"/>
  <c r="L437" i="26"/>
  <c r="M437" i="26"/>
  <c r="L436" i="26"/>
  <c r="M436" i="26"/>
  <c r="L435" i="26"/>
  <c r="M435" i="26"/>
  <c r="L434" i="26"/>
  <c r="M434" i="26"/>
  <c r="L433" i="26"/>
  <c r="M433" i="26"/>
  <c r="L432" i="26"/>
  <c r="M432" i="26"/>
  <c r="L431" i="26"/>
  <c r="M431" i="26"/>
  <c r="L430" i="26"/>
  <c r="M430" i="26"/>
  <c r="L429" i="26"/>
  <c r="M429" i="26"/>
  <c r="L428" i="26"/>
  <c r="M428" i="26"/>
  <c r="L427" i="26"/>
  <c r="M427" i="26"/>
  <c r="L426" i="26"/>
  <c r="M426" i="26"/>
  <c r="L425" i="26"/>
  <c r="M425" i="26"/>
  <c r="L424" i="26"/>
  <c r="M424" i="26"/>
  <c r="L423" i="26"/>
  <c r="M423" i="26"/>
  <c r="L422" i="26"/>
  <c r="M422" i="26"/>
  <c r="L421" i="26"/>
  <c r="M421" i="26"/>
  <c r="L420" i="26"/>
  <c r="M420" i="26"/>
  <c r="L419" i="26"/>
  <c r="M419" i="26"/>
  <c r="L418" i="26"/>
  <c r="M418" i="26"/>
  <c r="L417" i="26"/>
  <c r="M417" i="26"/>
  <c r="L416" i="26"/>
  <c r="M416" i="26"/>
  <c r="L415" i="26"/>
  <c r="M415" i="26"/>
  <c r="L414" i="26"/>
  <c r="M414" i="26"/>
  <c r="L413" i="26"/>
  <c r="M413" i="26"/>
  <c r="L412" i="26"/>
  <c r="M412" i="26"/>
  <c r="L411" i="26"/>
  <c r="M411" i="26"/>
  <c r="L410" i="26"/>
  <c r="M410" i="26"/>
  <c r="L409" i="26"/>
  <c r="M409" i="26"/>
  <c r="L408" i="26"/>
  <c r="M408" i="26"/>
  <c r="L407" i="26"/>
  <c r="M407" i="26"/>
  <c r="L406" i="26"/>
  <c r="M406" i="26"/>
  <c r="L405" i="26"/>
  <c r="M405" i="26"/>
  <c r="L404" i="26"/>
  <c r="M404" i="26"/>
  <c r="L403" i="26"/>
  <c r="M403" i="26"/>
  <c r="L402" i="26"/>
  <c r="M402" i="26"/>
  <c r="L401" i="26"/>
  <c r="M401" i="26"/>
  <c r="L400" i="26"/>
  <c r="M400" i="26"/>
  <c r="L399" i="26"/>
  <c r="M399" i="26"/>
  <c r="L398" i="26"/>
  <c r="M398" i="26"/>
  <c r="L397" i="26"/>
  <c r="M397" i="26"/>
  <c r="L396" i="26"/>
  <c r="M396" i="26"/>
  <c r="L395" i="26"/>
  <c r="M395" i="26"/>
  <c r="L394" i="26"/>
  <c r="M394" i="26"/>
  <c r="L393" i="26"/>
  <c r="M393" i="26"/>
  <c r="L392" i="26"/>
  <c r="M392" i="26"/>
  <c r="L391" i="26"/>
  <c r="M391" i="26"/>
  <c r="L390" i="26"/>
  <c r="M390" i="26"/>
  <c r="L389" i="26"/>
  <c r="M389" i="26"/>
  <c r="L388" i="26"/>
  <c r="M388" i="26"/>
  <c r="L387" i="26"/>
  <c r="M387" i="26"/>
  <c r="L386" i="26"/>
  <c r="M386" i="26"/>
  <c r="L385" i="26"/>
  <c r="M385" i="26"/>
  <c r="L384" i="26"/>
  <c r="M384" i="26"/>
  <c r="L383" i="26"/>
  <c r="M383" i="26"/>
  <c r="L382" i="26"/>
  <c r="M382" i="26"/>
  <c r="L381" i="26"/>
  <c r="M381" i="26"/>
  <c r="L380" i="26"/>
  <c r="M380" i="26"/>
  <c r="L379" i="26"/>
  <c r="M379" i="26"/>
  <c r="L378" i="26"/>
  <c r="M378" i="26"/>
  <c r="L377" i="26"/>
  <c r="M377" i="26"/>
  <c r="L376" i="26"/>
  <c r="M376" i="26"/>
  <c r="L375" i="26"/>
  <c r="M375" i="26"/>
  <c r="L374" i="26"/>
  <c r="M374" i="26"/>
  <c r="L373" i="26"/>
  <c r="M373" i="26"/>
  <c r="L372" i="26"/>
  <c r="M372" i="26"/>
  <c r="L371" i="26"/>
  <c r="M371" i="26"/>
  <c r="L370" i="26"/>
  <c r="M370" i="26"/>
  <c r="L369" i="26"/>
  <c r="M369" i="26"/>
  <c r="L368" i="26"/>
  <c r="M368" i="26"/>
  <c r="L367" i="26"/>
  <c r="M367" i="26"/>
  <c r="L366" i="26"/>
  <c r="M366" i="26"/>
  <c r="L365" i="26"/>
  <c r="M365" i="26"/>
  <c r="L364" i="26"/>
  <c r="M364" i="26"/>
  <c r="L363" i="26"/>
  <c r="M363" i="26"/>
  <c r="L362" i="26"/>
  <c r="M362" i="26"/>
  <c r="L361" i="26"/>
  <c r="M361" i="26"/>
  <c r="L360" i="26"/>
  <c r="M360" i="26"/>
  <c r="L359" i="26"/>
  <c r="M359" i="26"/>
  <c r="L358" i="26"/>
  <c r="M358" i="26"/>
  <c r="L357" i="26"/>
  <c r="M357" i="26"/>
  <c r="L356" i="26"/>
  <c r="M356" i="26"/>
  <c r="L355" i="26"/>
  <c r="M355" i="26"/>
  <c r="L354" i="26"/>
  <c r="M354" i="26"/>
  <c r="L353" i="26"/>
  <c r="M353" i="26"/>
  <c r="L352" i="26"/>
  <c r="M352" i="26"/>
  <c r="L351" i="26"/>
  <c r="M351" i="26"/>
  <c r="L350" i="26"/>
  <c r="M350" i="26"/>
  <c r="L349" i="26"/>
  <c r="M349" i="26"/>
  <c r="L348" i="26"/>
  <c r="M348" i="26"/>
  <c r="L347" i="26"/>
  <c r="M347" i="26"/>
  <c r="L346" i="26"/>
  <c r="M346" i="26"/>
  <c r="L345" i="26"/>
  <c r="M345" i="26"/>
  <c r="L344" i="26"/>
  <c r="M344" i="26"/>
  <c r="L343" i="26"/>
  <c r="M343" i="26"/>
  <c r="L342" i="26"/>
  <c r="M342" i="26"/>
  <c r="L341" i="26"/>
  <c r="M341" i="26"/>
  <c r="L340" i="26"/>
  <c r="M340" i="26"/>
  <c r="L339" i="26"/>
  <c r="M339" i="26"/>
  <c r="L338" i="26"/>
  <c r="M338" i="26"/>
  <c r="L337" i="26"/>
  <c r="M337" i="26"/>
  <c r="L336" i="26"/>
  <c r="M336" i="26"/>
  <c r="L335" i="26"/>
  <c r="M335" i="26"/>
  <c r="L334" i="26"/>
  <c r="M334" i="26"/>
  <c r="L333" i="26"/>
  <c r="M333" i="26"/>
  <c r="L332" i="26"/>
  <c r="M332" i="26"/>
  <c r="L331" i="26"/>
  <c r="M331" i="26"/>
  <c r="L330" i="26"/>
  <c r="M330" i="26"/>
  <c r="L329" i="26"/>
  <c r="M329" i="26"/>
  <c r="L328" i="26"/>
  <c r="M328" i="26"/>
  <c r="L327" i="26"/>
  <c r="M327" i="26"/>
  <c r="L326" i="26"/>
  <c r="M326" i="26"/>
  <c r="L325" i="26"/>
  <c r="M325" i="26"/>
  <c r="L324" i="26"/>
  <c r="M324" i="26"/>
  <c r="L323" i="26"/>
  <c r="M323" i="26"/>
  <c r="L322" i="26"/>
  <c r="M322" i="26"/>
  <c r="L321" i="26"/>
  <c r="M321" i="26"/>
  <c r="L320" i="26"/>
  <c r="M320" i="26"/>
  <c r="L319" i="26"/>
  <c r="M319" i="26"/>
  <c r="L318" i="26"/>
  <c r="M318" i="26"/>
  <c r="L317" i="26"/>
  <c r="M317" i="26"/>
  <c r="L316" i="26"/>
  <c r="M316" i="26"/>
  <c r="L315" i="26"/>
  <c r="M315" i="26"/>
  <c r="L314" i="26"/>
  <c r="M314" i="26"/>
  <c r="L313" i="26"/>
  <c r="M313" i="26"/>
  <c r="L312" i="26"/>
  <c r="M312" i="26"/>
  <c r="L311" i="26"/>
  <c r="M311" i="26"/>
  <c r="L310" i="26"/>
  <c r="M310" i="26"/>
  <c r="L309" i="26"/>
  <c r="M309" i="26"/>
  <c r="L308" i="26"/>
  <c r="M308" i="26"/>
  <c r="L307" i="26"/>
  <c r="M307" i="26"/>
  <c r="L306" i="26"/>
  <c r="M306" i="26"/>
  <c r="L305" i="26"/>
  <c r="M305" i="26"/>
  <c r="L304" i="26"/>
  <c r="M304" i="26"/>
  <c r="L303" i="26"/>
  <c r="M303" i="26"/>
  <c r="L302" i="26"/>
  <c r="M302" i="26"/>
  <c r="L301" i="26"/>
  <c r="M301" i="26"/>
  <c r="L300" i="26"/>
  <c r="M300" i="26"/>
  <c r="L299" i="26"/>
  <c r="M299" i="26"/>
  <c r="L298" i="26"/>
  <c r="M298" i="26"/>
  <c r="L297" i="26"/>
  <c r="M297" i="26"/>
  <c r="L296" i="26"/>
  <c r="M296" i="26"/>
  <c r="L295" i="26"/>
  <c r="M295" i="26"/>
  <c r="L294" i="26"/>
  <c r="M294" i="26"/>
  <c r="L293" i="26"/>
  <c r="M293" i="26"/>
  <c r="L292" i="26"/>
  <c r="M292" i="26"/>
  <c r="L291" i="26"/>
  <c r="M291" i="26"/>
  <c r="L290" i="26"/>
  <c r="M290" i="26"/>
  <c r="L289" i="26"/>
  <c r="M289" i="26"/>
  <c r="L288" i="26"/>
  <c r="M288" i="26"/>
  <c r="L287" i="26"/>
  <c r="M287" i="26"/>
  <c r="L286" i="26"/>
  <c r="M286" i="26"/>
  <c r="L285" i="26"/>
  <c r="M285" i="26"/>
  <c r="L284" i="26"/>
  <c r="M284" i="26"/>
  <c r="L283" i="26"/>
  <c r="M283" i="26"/>
  <c r="L282" i="26"/>
  <c r="M282" i="26"/>
  <c r="L281" i="26"/>
  <c r="M281" i="26"/>
  <c r="L280" i="26"/>
  <c r="M280" i="26"/>
  <c r="L279" i="26"/>
  <c r="M279" i="26"/>
  <c r="L278" i="26"/>
  <c r="M278" i="26"/>
  <c r="L277" i="26"/>
  <c r="M277" i="26"/>
  <c r="L276" i="26"/>
  <c r="M276" i="26"/>
  <c r="L275" i="26"/>
  <c r="M275" i="26"/>
  <c r="L274" i="26"/>
  <c r="M274" i="26"/>
  <c r="L273" i="26"/>
  <c r="M273" i="26"/>
  <c r="L272" i="26"/>
  <c r="M272" i="26"/>
  <c r="L271" i="26"/>
  <c r="M271" i="26"/>
  <c r="L270" i="26"/>
  <c r="M270" i="26"/>
  <c r="L269" i="26"/>
  <c r="M269" i="26"/>
  <c r="L268" i="26"/>
  <c r="M268" i="26"/>
  <c r="L267" i="26"/>
  <c r="M267" i="26"/>
  <c r="L266" i="26"/>
  <c r="M266" i="26"/>
  <c r="L265" i="26"/>
  <c r="M265" i="26"/>
  <c r="L264" i="26"/>
  <c r="M264" i="26"/>
  <c r="L263" i="26"/>
  <c r="M263" i="26"/>
  <c r="L262" i="26"/>
  <c r="M262" i="26"/>
  <c r="L261" i="26"/>
  <c r="M261" i="26"/>
  <c r="L260" i="26"/>
  <c r="M260" i="26"/>
  <c r="L259" i="26"/>
  <c r="M259" i="26"/>
  <c r="L258" i="26"/>
  <c r="M258" i="26"/>
  <c r="L257" i="26"/>
  <c r="M257" i="26"/>
  <c r="L256" i="26"/>
  <c r="M256" i="26"/>
  <c r="L255" i="26"/>
  <c r="M255" i="26"/>
  <c r="L254" i="26"/>
  <c r="M254" i="26"/>
  <c r="L253" i="26"/>
  <c r="M253" i="26"/>
  <c r="L252" i="26"/>
  <c r="M252" i="26"/>
  <c r="L251" i="26"/>
  <c r="M251" i="26"/>
  <c r="L250" i="26"/>
  <c r="M250" i="26"/>
  <c r="L249" i="26"/>
  <c r="M249" i="26"/>
  <c r="L248" i="26"/>
  <c r="M248" i="26"/>
  <c r="L247" i="26"/>
  <c r="M247" i="26"/>
  <c r="L246" i="26"/>
  <c r="M246" i="26"/>
  <c r="L245" i="26"/>
  <c r="M245" i="26"/>
  <c r="L244" i="26"/>
  <c r="M244" i="26"/>
  <c r="L243" i="26"/>
  <c r="M243" i="26"/>
  <c r="L242" i="26"/>
  <c r="M242" i="26"/>
  <c r="L241" i="26"/>
  <c r="M241" i="26"/>
  <c r="L240" i="26"/>
  <c r="M240" i="26"/>
  <c r="L239" i="26"/>
  <c r="M239" i="26"/>
  <c r="L238" i="26"/>
  <c r="M238" i="26"/>
  <c r="L237" i="26"/>
  <c r="M237" i="26"/>
  <c r="L236" i="26"/>
  <c r="M236" i="26"/>
  <c r="L235" i="26"/>
  <c r="M235" i="26"/>
  <c r="L234" i="26"/>
  <c r="M234" i="26"/>
  <c r="L233" i="26"/>
  <c r="M233" i="26"/>
  <c r="L232" i="26"/>
  <c r="M232" i="26"/>
  <c r="L231" i="26"/>
  <c r="M231" i="26"/>
  <c r="L230" i="26"/>
  <c r="M230" i="26"/>
  <c r="L229" i="26"/>
  <c r="M229" i="26"/>
  <c r="L228" i="26"/>
  <c r="M228" i="26"/>
  <c r="L227" i="26"/>
  <c r="M227" i="26"/>
  <c r="L226" i="26"/>
  <c r="M226" i="26"/>
  <c r="L225" i="26"/>
  <c r="M225" i="26"/>
  <c r="L224" i="26"/>
  <c r="M224" i="26"/>
  <c r="L223" i="26"/>
  <c r="M223" i="26"/>
  <c r="L222" i="26"/>
  <c r="M222" i="26"/>
  <c r="L221" i="26"/>
  <c r="M221" i="26"/>
  <c r="L220" i="26"/>
  <c r="M220" i="26"/>
  <c r="L219" i="26"/>
  <c r="M219" i="26"/>
  <c r="L218" i="26"/>
  <c r="M218" i="26"/>
  <c r="L217" i="26"/>
  <c r="M217" i="26"/>
  <c r="L216" i="26"/>
  <c r="M216" i="26"/>
  <c r="L215" i="26"/>
  <c r="M215" i="26"/>
  <c r="L214" i="26"/>
  <c r="M214" i="26"/>
  <c r="L213" i="26"/>
  <c r="M213" i="26"/>
  <c r="L212" i="26"/>
  <c r="M212" i="26"/>
  <c r="L211" i="26"/>
  <c r="M211" i="26"/>
  <c r="L210" i="26"/>
  <c r="M210" i="26"/>
  <c r="L209" i="26"/>
  <c r="M209" i="26"/>
  <c r="L208" i="26"/>
  <c r="M208" i="26"/>
  <c r="L207" i="26"/>
  <c r="M207" i="26"/>
  <c r="L206" i="26"/>
  <c r="M206" i="26"/>
  <c r="L205" i="26"/>
  <c r="M205" i="26"/>
  <c r="L204" i="26"/>
  <c r="M204" i="26"/>
  <c r="L203" i="26"/>
  <c r="M203" i="26"/>
  <c r="L202" i="26"/>
  <c r="M202" i="26"/>
  <c r="L201" i="26"/>
  <c r="M201" i="26"/>
  <c r="L200" i="26"/>
  <c r="M200" i="26"/>
  <c r="L199" i="26"/>
  <c r="M199" i="26"/>
  <c r="L198" i="26"/>
  <c r="M198" i="26"/>
  <c r="L197" i="26"/>
  <c r="M197" i="26"/>
  <c r="L196" i="26"/>
  <c r="M196" i="26"/>
  <c r="L195" i="26"/>
  <c r="M195" i="26"/>
  <c r="L194" i="26"/>
  <c r="M194" i="26"/>
  <c r="L193" i="26"/>
  <c r="M193" i="26"/>
  <c r="L192" i="26"/>
  <c r="M192" i="26"/>
  <c r="L191" i="26"/>
  <c r="M191" i="26"/>
  <c r="L190" i="26"/>
  <c r="M190" i="26"/>
  <c r="L189" i="26"/>
  <c r="M189" i="26"/>
  <c r="L188" i="26"/>
  <c r="M188" i="26"/>
  <c r="L187" i="26"/>
  <c r="M187" i="26"/>
  <c r="L186" i="26"/>
  <c r="M186" i="26"/>
  <c r="L185" i="26"/>
  <c r="M185" i="26"/>
  <c r="L184" i="26"/>
  <c r="M184" i="26"/>
  <c r="L183" i="26"/>
  <c r="M183" i="26"/>
  <c r="L182" i="26"/>
  <c r="M182" i="26"/>
  <c r="L181" i="26"/>
  <c r="M181" i="26"/>
  <c r="L180" i="26"/>
  <c r="M180" i="26"/>
  <c r="L179" i="26"/>
  <c r="M179" i="26"/>
  <c r="L178" i="26"/>
  <c r="M178" i="26"/>
  <c r="L177" i="26"/>
  <c r="M177" i="26"/>
  <c r="L176" i="26"/>
  <c r="M176" i="26"/>
  <c r="L175" i="26"/>
  <c r="M175" i="26"/>
  <c r="L174" i="26"/>
  <c r="M174" i="26"/>
  <c r="L173" i="26"/>
  <c r="M173" i="26"/>
  <c r="L172" i="26"/>
  <c r="M172" i="26"/>
  <c r="L171" i="26"/>
  <c r="M171" i="26"/>
  <c r="L170" i="26"/>
  <c r="M170" i="26"/>
  <c r="L169" i="26"/>
  <c r="M169" i="26"/>
  <c r="L168" i="26"/>
  <c r="M168" i="26"/>
  <c r="L167" i="26"/>
  <c r="M167" i="26"/>
  <c r="L166" i="26"/>
  <c r="M166" i="26"/>
  <c r="L165" i="26"/>
  <c r="M165" i="26"/>
  <c r="L164" i="26"/>
  <c r="M164" i="26"/>
  <c r="L163" i="26"/>
  <c r="M163" i="26"/>
  <c r="L162" i="26"/>
  <c r="M162" i="26"/>
  <c r="L161" i="26"/>
  <c r="M161" i="26"/>
  <c r="L160" i="26"/>
  <c r="M160" i="26"/>
  <c r="L159" i="26"/>
  <c r="M159" i="26"/>
  <c r="L158" i="26"/>
  <c r="M158" i="26"/>
  <c r="L157" i="26"/>
  <c r="M157" i="26"/>
  <c r="L156" i="26"/>
  <c r="M156" i="26"/>
  <c r="L155" i="26"/>
  <c r="M155" i="26"/>
  <c r="L154" i="26"/>
  <c r="M154" i="26"/>
  <c r="L153" i="26"/>
  <c r="M153" i="26"/>
  <c r="L152" i="26"/>
  <c r="M152" i="26"/>
  <c r="L151" i="26"/>
  <c r="M151" i="26"/>
  <c r="L150" i="26"/>
  <c r="M150" i="26"/>
  <c r="L149" i="26"/>
  <c r="M149" i="26"/>
  <c r="L148" i="26"/>
  <c r="M148" i="26"/>
  <c r="L147" i="26"/>
  <c r="M147" i="26"/>
  <c r="L146" i="26"/>
  <c r="M146" i="26"/>
  <c r="L145" i="26"/>
  <c r="M145" i="26"/>
  <c r="L144" i="26"/>
  <c r="M144" i="26"/>
  <c r="L143" i="26"/>
  <c r="M143" i="26"/>
  <c r="L142" i="26"/>
  <c r="M142" i="26"/>
  <c r="L141" i="26"/>
  <c r="M141" i="26"/>
  <c r="L140" i="26"/>
  <c r="M140" i="26"/>
  <c r="L139" i="26"/>
  <c r="M139" i="26"/>
  <c r="L138" i="26"/>
  <c r="M138" i="26"/>
  <c r="L137" i="26"/>
  <c r="M137" i="26"/>
  <c r="L136" i="26"/>
  <c r="M136" i="26"/>
  <c r="L135" i="26"/>
  <c r="M135" i="26"/>
  <c r="L134" i="26"/>
  <c r="M134" i="26"/>
  <c r="L133" i="26"/>
  <c r="M133" i="26"/>
  <c r="L132" i="26"/>
  <c r="M132" i="26"/>
  <c r="L131" i="26"/>
  <c r="M131" i="26"/>
  <c r="L130" i="26"/>
  <c r="M130" i="26"/>
  <c r="L129" i="26"/>
  <c r="M129" i="26"/>
  <c r="L128" i="26"/>
  <c r="M128" i="26"/>
  <c r="L127" i="26"/>
  <c r="M127" i="26"/>
  <c r="L126" i="26"/>
  <c r="M126" i="26"/>
  <c r="L125" i="26"/>
  <c r="M125" i="26"/>
  <c r="L124" i="26"/>
  <c r="M124" i="26"/>
  <c r="L123" i="26"/>
  <c r="M123" i="26"/>
  <c r="L122" i="26"/>
  <c r="M122" i="26"/>
  <c r="L121" i="26"/>
  <c r="M121" i="26"/>
  <c r="L120" i="26"/>
  <c r="M120" i="26"/>
  <c r="L119" i="26"/>
  <c r="M119" i="26"/>
  <c r="L118" i="26"/>
  <c r="M118" i="26"/>
  <c r="L117" i="26"/>
  <c r="M117" i="26"/>
  <c r="L116" i="26"/>
  <c r="M116" i="26"/>
  <c r="L115" i="26"/>
  <c r="M115" i="26"/>
  <c r="L114" i="26"/>
  <c r="M114" i="26"/>
  <c r="L113" i="26"/>
  <c r="M113" i="26"/>
  <c r="L112" i="26"/>
  <c r="M112" i="26"/>
  <c r="L111" i="26"/>
  <c r="M111" i="26"/>
  <c r="L110" i="26"/>
  <c r="M110" i="26"/>
  <c r="L109" i="26"/>
  <c r="M109" i="26"/>
  <c r="L108" i="26"/>
  <c r="M108" i="26"/>
  <c r="L107" i="26"/>
  <c r="M107" i="26"/>
  <c r="L106" i="26"/>
  <c r="M106" i="26"/>
  <c r="L105" i="26"/>
  <c r="M105" i="26"/>
  <c r="L104" i="26"/>
  <c r="M104" i="26"/>
  <c r="L103" i="26"/>
  <c r="M103" i="26"/>
  <c r="L102" i="26"/>
  <c r="M102" i="26"/>
  <c r="L101" i="26"/>
  <c r="M101" i="26"/>
  <c r="L100" i="26"/>
  <c r="M100" i="26"/>
  <c r="L99" i="26"/>
  <c r="M99" i="26"/>
  <c r="L98" i="26"/>
  <c r="M98" i="26"/>
  <c r="L97" i="26"/>
  <c r="M97" i="26"/>
  <c r="L96" i="26"/>
  <c r="M96" i="26"/>
  <c r="M95" i="26"/>
  <c r="L94" i="26"/>
  <c r="L93" i="26"/>
  <c r="M93" i="26"/>
  <c r="L92" i="26"/>
  <c r="K91" i="26"/>
  <c r="M90" i="26"/>
  <c r="K90" i="26"/>
  <c r="L89" i="26"/>
  <c r="K89" i="26"/>
  <c r="L88" i="26"/>
  <c r="K88" i="26"/>
  <c r="M87" i="26"/>
  <c r="K87" i="26"/>
  <c r="L86" i="26"/>
  <c r="K86" i="26"/>
  <c r="L85" i="26"/>
  <c r="K85" i="26"/>
  <c r="L84" i="26"/>
  <c r="K84" i="26"/>
  <c r="L83" i="26"/>
  <c r="K83" i="26"/>
  <c r="K82" i="26"/>
  <c r="K81" i="26"/>
  <c r="M80" i="26"/>
  <c r="K80" i="26"/>
  <c r="K79" i="26"/>
  <c r="K78" i="26"/>
  <c r="M77" i="26"/>
  <c r="K77" i="26"/>
  <c r="L76" i="26"/>
  <c r="K76" i="26"/>
  <c r="K75" i="26"/>
  <c r="L74" i="26"/>
  <c r="K74" i="26"/>
  <c r="K73" i="26"/>
  <c r="M72" i="26"/>
  <c r="K72" i="26"/>
  <c r="M71" i="26"/>
  <c r="K71" i="26"/>
  <c r="K70" i="26"/>
  <c r="K69" i="26"/>
  <c r="M68" i="26"/>
  <c r="K68" i="26"/>
  <c r="L67" i="26"/>
  <c r="K67" i="26"/>
  <c r="L66" i="26"/>
  <c r="K66" i="26"/>
  <c r="K65" i="26"/>
  <c r="L64" i="26"/>
  <c r="K64" i="26"/>
  <c r="K63" i="26"/>
  <c r="L62" i="26"/>
  <c r="K62" i="26"/>
  <c r="K61" i="26"/>
  <c r="L60" i="26"/>
  <c r="K60" i="26"/>
  <c r="K59" i="26"/>
  <c r="L58" i="26"/>
  <c r="K58" i="26"/>
  <c r="K57" i="26"/>
  <c r="K56" i="26"/>
  <c r="L55" i="26"/>
  <c r="K55" i="26"/>
  <c r="L54" i="26"/>
  <c r="K54" i="26"/>
  <c r="L53" i="26"/>
  <c r="K53" i="26"/>
  <c r="K52" i="26"/>
  <c r="L51" i="26"/>
  <c r="K51" i="26"/>
  <c r="K50" i="26"/>
  <c r="L49" i="26"/>
  <c r="K49" i="26"/>
  <c r="K48" i="26"/>
  <c r="L47" i="26"/>
  <c r="K47" i="26"/>
  <c r="K46" i="26"/>
  <c r="K45" i="26"/>
  <c r="L44" i="26"/>
  <c r="K44" i="26"/>
  <c r="K43" i="26"/>
  <c r="L42" i="26"/>
  <c r="K42" i="26"/>
  <c r="K41" i="26"/>
  <c r="K40" i="26"/>
  <c r="K39" i="26"/>
  <c r="L38" i="26"/>
  <c r="K38" i="26"/>
  <c r="K37" i="26"/>
  <c r="K36" i="26"/>
  <c r="K35" i="26"/>
  <c r="K34" i="26"/>
  <c r="K33" i="26"/>
  <c r="K32" i="26"/>
  <c r="K31" i="26"/>
  <c r="K30" i="26"/>
  <c r="K29" i="26"/>
  <c r="K28" i="26"/>
  <c r="K27" i="26"/>
  <c r="K26" i="26"/>
  <c r="K25" i="26"/>
  <c r="K24" i="26"/>
  <c r="K23" i="26"/>
  <c r="P210" i="5"/>
  <c r="K22" i="26"/>
  <c r="K21" i="26"/>
  <c r="K20" i="26"/>
  <c r="K19" i="26"/>
  <c r="K18" i="26"/>
  <c r="K17" i="26"/>
  <c r="K16" i="26"/>
  <c r="K15" i="26"/>
  <c r="P100" i="5"/>
  <c r="J100" i="5" s="1"/>
  <c r="L100" i="5" s="1"/>
  <c r="O689" i="248" s="1"/>
  <c r="R689" i="248" s="1"/>
  <c r="P101" i="5"/>
  <c r="J101" i="5" s="1"/>
  <c r="L101" i="5" s="1"/>
  <c r="O690" i="248" s="1"/>
  <c r="R690" i="248" s="1"/>
  <c r="K482" i="26"/>
  <c r="K481" i="26"/>
  <c r="K480" i="26"/>
  <c r="K479" i="26"/>
  <c r="K478" i="26"/>
  <c r="K477" i="26"/>
  <c r="K476" i="26"/>
  <c r="K475" i="26"/>
  <c r="K474" i="26"/>
  <c r="K473" i="26"/>
  <c r="K472" i="26"/>
  <c r="K471" i="26"/>
  <c r="K470" i="26"/>
  <c r="K469" i="26"/>
  <c r="K468" i="26"/>
  <c r="K467" i="26"/>
  <c r="K466" i="26"/>
  <c r="K465" i="26"/>
  <c r="K464" i="26"/>
  <c r="K463" i="26"/>
  <c r="K462" i="26"/>
  <c r="K461" i="26"/>
  <c r="K460" i="26"/>
  <c r="K459" i="26"/>
  <c r="K458" i="26"/>
  <c r="K457" i="26"/>
  <c r="K456" i="26"/>
  <c r="K455" i="26"/>
  <c r="K454" i="26"/>
  <c r="K453" i="26"/>
  <c r="K452" i="26"/>
  <c r="K451" i="26"/>
  <c r="K450" i="26"/>
  <c r="K449" i="26"/>
  <c r="K448" i="26"/>
  <c r="K447" i="26"/>
  <c r="K446" i="26"/>
  <c r="K445" i="26"/>
  <c r="K444" i="26"/>
  <c r="K443" i="26"/>
  <c r="K442" i="26"/>
  <c r="K441" i="26"/>
  <c r="K440" i="26"/>
  <c r="K439" i="26"/>
  <c r="K438" i="26"/>
  <c r="K437" i="26"/>
  <c r="K436" i="26"/>
  <c r="K435" i="26"/>
  <c r="K434" i="26"/>
  <c r="K433" i="26"/>
  <c r="K432" i="26"/>
  <c r="K431" i="26"/>
  <c r="K430" i="26"/>
  <c r="K429" i="26"/>
  <c r="K428" i="26"/>
  <c r="K427" i="26"/>
  <c r="K426" i="26"/>
  <c r="K425" i="26"/>
  <c r="K424" i="26"/>
  <c r="K423" i="26"/>
  <c r="K422" i="26"/>
  <c r="K421" i="26"/>
  <c r="K420" i="26"/>
  <c r="K419" i="26"/>
  <c r="K418" i="26"/>
  <c r="K417" i="26"/>
  <c r="K416" i="26"/>
  <c r="K415" i="26"/>
  <c r="K414" i="26"/>
  <c r="K413" i="26"/>
  <c r="K412" i="26"/>
  <c r="K411" i="26"/>
  <c r="K410" i="26"/>
  <c r="K409" i="26"/>
  <c r="K408" i="26"/>
  <c r="K407" i="26"/>
  <c r="K406" i="26"/>
  <c r="K405" i="26"/>
  <c r="K404" i="26"/>
  <c r="K403" i="26"/>
  <c r="K402" i="26"/>
  <c r="K401" i="26"/>
  <c r="K400" i="26"/>
  <c r="K399" i="26"/>
  <c r="K398" i="26"/>
  <c r="K397" i="26"/>
  <c r="K396" i="26"/>
  <c r="K395" i="26"/>
  <c r="K394" i="26"/>
  <c r="K393" i="26"/>
  <c r="K392" i="26"/>
  <c r="K391" i="26"/>
  <c r="K390" i="26"/>
  <c r="K389" i="26"/>
  <c r="K388" i="26"/>
  <c r="K387" i="26"/>
  <c r="K386" i="26"/>
  <c r="K385" i="26"/>
  <c r="K384" i="26"/>
  <c r="K383" i="26"/>
  <c r="K382" i="26"/>
  <c r="K381" i="26"/>
  <c r="K380" i="26"/>
  <c r="K379" i="26"/>
  <c r="K378" i="26"/>
  <c r="K377" i="26"/>
  <c r="K376" i="26"/>
  <c r="K375" i="26"/>
  <c r="K374" i="26"/>
  <c r="K373" i="26"/>
  <c r="K372" i="26"/>
  <c r="K371" i="26"/>
  <c r="K370" i="26"/>
  <c r="K369" i="26"/>
  <c r="K368" i="26"/>
  <c r="K367" i="26"/>
  <c r="K366" i="26"/>
  <c r="K365" i="26"/>
  <c r="K364" i="26"/>
  <c r="K363" i="26"/>
  <c r="K362" i="26"/>
  <c r="K361" i="26"/>
  <c r="K360" i="26"/>
  <c r="K359" i="26"/>
  <c r="K358" i="26"/>
  <c r="K357" i="26"/>
  <c r="K356" i="26"/>
  <c r="K355" i="26"/>
  <c r="K354" i="26"/>
  <c r="K353" i="26"/>
  <c r="K352" i="26"/>
  <c r="K351" i="26"/>
  <c r="K350" i="26"/>
  <c r="K349" i="26"/>
  <c r="K348" i="26"/>
  <c r="K347" i="26"/>
  <c r="K346" i="26"/>
  <c r="K345" i="26"/>
  <c r="K344" i="26"/>
  <c r="K343" i="26"/>
  <c r="K342" i="26"/>
  <c r="K341" i="26"/>
  <c r="K340" i="26"/>
  <c r="K339" i="26"/>
  <c r="K338" i="26"/>
  <c r="K337" i="26"/>
  <c r="K336" i="26"/>
  <c r="K335" i="26"/>
  <c r="K334" i="26"/>
  <c r="K333" i="26"/>
  <c r="K332" i="26"/>
  <c r="K331" i="26"/>
  <c r="K330" i="26"/>
  <c r="K329" i="26"/>
  <c r="K328" i="26"/>
  <c r="K327" i="26"/>
  <c r="K326" i="26"/>
  <c r="K325" i="26"/>
  <c r="K324" i="26"/>
  <c r="K323" i="26"/>
  <c r="K322" i="26"/>
  <c r="K321" i="26"/>
  <c r="K320" i="26"/>
  <c r="K319" i="26"/>
  <c r="K318" i="26"/>
  <c r="K317" i="26"/>
  <c r="K316" i="26"/>
  <c r="K315" i="26"/>
  <c r="K314" i="26"/>
  <c r="K313" i="26"/>
  <c r="K312" i="26"/>
  <c r="K311" i="26"/>
  <c r="K310" i="26"/>
  <c r="K309" i="26"/>
  <c r="K308" i="26"/>
  <c r="K307" i="26"/>
  <c r="K306" i="26"/>
  <c r="K305" i="26"/>
  <c r="K304" i="26"/>
  <c r="K303" i="26"/>
  <c r="K302" i="26"/>
  <c r="K301" i="26"/>
  <c r="K300" i="26"/>
  <c r="K299" i="26"/>
  <c r="K298" i="26"/>
  <c r="K297" i="26"/>
  <c r="K296" i="26"/>
  <c r="K295" i="26"/>
  <c r="K294" i="26"/>
  <c r="K293" i="26"/>
  <c r="K292" i="26"/>
  <c r="K291" i="26"/>
  <c r="K290" i="26"/>
  <c r="K289" i="26"/>
  <c r="K288" i="26"/>
  <c r="K287" i="26"/>
  <c r="K286" i="26"/>
  <c r="K285" i="26"/>
  <c r="K284" i="26"/>
  <c r="K283" i="26"/>
  <c r="K282" i="26"/>
  <c r="K281" i="26"/>
  <c r="K280" i="26"/>
  <c r="K279" i="26"/>
  <c r="K278" i="26"/>
  <c r="K277" i="26"/>
  <c r="K276" i="26"/>
  <c r="K275" i="26"/>
  <c r="K274" i="26"/>
  <c r="K273" i="26"/>
  <c r="K272" i="26"/>
  <c r="K271" i="26"/>
  <c r="K270" i="26"/>
  <c r="K269" i="26"/>
  <c r="K268" i="26"/>
  <c r="K267" i="26"/>
  <c r="K266" i="26"/>
  <c r="K265" i="26"/>
  <c r="K264" i="26"/>
  <c r="K263" i="26"/>
  <c r="K262" i="26"/>
  <c r="K261" i="26"/>
  <c r="K260" i="26"/>
  <c r="K259" i="26"/>
  <c r="K258" i="26"/>
  <c r="K257" i="26"/>
  <c r="K256" i="26"/>
  <c r="K255" i="26"/>
  <c r="K254" i="26"/>
  <c r="K253" i="26"/>
  <c r="K252" i="26"/>
  <c r="K251" i="26"/>
  <c r="K250" i="26"/>
  <c r="K249" i="26"/>
  <c r="K248" i="26"/>
  <c r="K247" i="26"/>
  <c r="K246" i="26"/>
  <c r="K245" i="26"/>
  <c r="K244" i="26"/>
  <c r="K243" i="26"/>
  <c r="K242" i="26"/>
  <c r="K241" i="26"/>
  <c r="K240" i="26"/>
  <c r="K239" i="26"/>
  <c r="K238" i="26"/>
  <c r="K237" i="26"/>
  <c r="K236" i="26"/>
  <c r="K235" i="26"/>
  <c r="K234" i="26"/>
  <c r="K233" i="26"/>
  <c r="K232" i="26"/>
  <c r="K231" i="26"/>
  <c r="K230" i="26"/>
  <c r="K229" i="26"/>
  <c r="K228" i="26"/>
  <c r="K227" i="26"/>
  <c r="K226" i="26"/>
  <c r="K225" i="26"/>
  <c r="K224" i="26"/>
  <c r="K223" i="26"/>
  <c r="K222" i="26"/>
  <c r="K221" i="26"/>
  <c r="K220" i="26"/>
  <c r="K219" i="26"/>
  <c r="K218" i="26"/>
  <c r="K217" i="26"/>
  <c r="K216" i="26"/>
  <c r="K215" i="26"/>
  <c r="K214" i="26"/>
  <c r="K213" i="26"/>
  <c r="K212" i="26"/>
  <c r="K211" i="26"/>
  <c r="K210" i="26"/>
  <c r="K209" i="26"/>
  <c r="K208" i="26"/>
  <c r="K207" i="26"/>
  <c r="K206" i="26"/>
  <c r="K205" i="26"/>
  <c r="K204" i="26"/>
  <c r="K203" i="26"/>
  <c r="K202" i="26"/>
  <c r="K201" i="26"/>
  <c r="K200" i="26"/>
  <c r="K199" i="26"/>
  <c r="K198" i="26"/>
  <c r="K197" i="26"/>
  <c r="K196" i="26"/>
  <c r="K195" i="26"/>
  <c r="K194" i="26"/>
  <c r="K193" i="26"/>
  <c r="K192" i="26"/>
  <c r="K191" i="26"/>
  <c r="K190" i="26"/>
  <c r="K189" i="26"/>
  <c r="K188" i="26"/>
  <c r="K187" i="26"/>
  <c r="K186" i="26"/>
  <c r="K185" i="26"/>
  <c r="K184" i="26"/>
  <c r="K183" i="26"/>
  <c r="K182" i="26"/>
  <c r="K181" i="26"/>
  <c r="K180" i="26"/>
  <c r="K179" i="26"/>
  <c r="K178" i="26"/>
  <c r="K177" i="26"/>
  <c r="K176" i="26"/>
  <c r="K175" i="26"/>
  <c r="K174" i="26"/>
  <c r="K173" i="26"/>
  <c r="K172" i="26"/>
  <c r="K171" i="26"/>
  <c r="K170" i="26"/>
  <c r="K169" i="26"/>
  <c r="K168" i="26"/>
  <c r="K167" i="26"/>
  <c r="K166" i="26"/>
  <c r="K165" i="26"/>
  <c r="K164" i="26"/>
  <c r="K163" i="26"/>
  <c r="K162" i="26"/>
  <c r="K161" i="26"/>
  <c r="K160" i="26"/>
  <c r="K159" i="26"/>
  <c r="K158" i="26"/>
  <c r="K157" i="26"/>
  <c r="K156" i="26"/>
  <c r="K155" i="26"/>
  <c r="K154" i="26"/>
  <c r="K153" i="26"/>
  <c r="K152" i="26"/>
  <c r="K151" i="26"/>
  <c r="K150" i="26"/>
  <c r="K149" i="26"/>
  <c r="K148" i="26"/>
  <c r="K147" i="26"/>
  <c r="K146" i="26"/>
  <c r="K145" i="26"/>
  <c r="K144" i="26"/>
  <c r="K143" i="26"/>
  <c r="K142" i="26"/>
  <c r="K141" i="26"/>
  <c r="K140" i="26"/>
  <c r="K139" i="26"/>
  <c r="K138" i="26"/>
  <c r="K137" i="26"/>
  <c r="K136" i="26"/>
  <c r="K135" i="26"/>
  <c r="K134" i="26"/>
  <c r="K133" i="26"/>
  <c r="K132" i="26"/>
  <c r="K131" i="26"/>
  <c r="K130" i="26"/>
  <c r="K129" i="26"/>
  <c r="K128" i="26"/>
  <c r="K127" i="26"/>
  <c r="K126" i="26"/>
  <c r="K125" i="26"/>
  <c r="K124" i="26"/>
  <c r="K123" i="26"/>
  <c r="K122" i="26"/>
  <c r="K121" i="26"/>
  <c r="K120" i="26"/>
  <c r="K119" i="26"/>
  <c r="K118" i="26"/>
  <c r="K117" i="26"/>
  <c r="K116" i="26"/>
  <c r="K115" i="26"/>
  <c r="K114" i="26"/>
  <c r="K113" i="26"/>
  <c r="K112" i="26"/>
  <c r="K111" i="26"/>
  <c r="K110" i="26"/>
  <c r="K109" i="26"/>
  <c r="K108" i="26"/>
  <c r="K107" i="26"/>
  <c r="K106" i="26"/>
  <c r="K105" i="26"/>
  <c r="K104" i="26"/>
  <c r="K103" i="26"/>
  <c r="K102" i="26"/>
  <c r="K101" i="26"/>
  <c r="K100" i="26"/>
  <c r="K99" i="26"/>
  <c r="K98" i="26"/>
  <c r="K97" i="26"/>
  <c r="K96" i="26"/>
  <c r="K95" i="26"/>
  <c r="K94" i="26"/>
  <c r="K93" i="26"/>
  <c r="K92" i="26"/>
  <c r="P299" i="5"/>
  <c r="J299" i="5" s="1"/>
  <c r="P16" i="5"/>
  <c r="J16" i="5" s="1"/>
  <c r="L16" i="5" s="1"/>
  <c r="O1510" i="248" s="1"/>
  <c r="R1510" i="248" s="1"/>
  <c r="P373" i="5"/>
  <c r="J373" i="5" s="1"/>
  <c r="P17" i="5"/>
  <c r="J17" i="5" s="1"/>
  <c r="L17" i="5" s="1"/>
  <c r="O1511" i="248" s="1"/>
  <c r="R1511" i="248" s="1"/>
  <c r="J75" i="26"/>
  <c r="P397" i="5"/>
  <c r="P396" i="5"/>
  <c r="J396" i="5" s="1"/>
  <c r="L396" i="5" s="1"/>
  <c r="P395" i="5"/>
  <c r="P394" i="5"/>
  <c r="J394" i="5" s="1"/>
  <c r="L394" i="5" s="1"/>
  <c r="P393" i="5"/>
  <c r="J393" i="5" s="1"/>
  <c r="P392" i="5"/>
  <c r="J392" i="5" s="1"/>
  <c r="P391" i="5"/>
  <c r="J391" i="5" s="1"/>
  <c r="P390" i="5"/>
  <c r="J390" i="5" s="1"/>
  <c r="P389" i="5"/>
  <c r="J389" i="5" s="1"/>
  <c r="P388" i="5"/>
  <c r="J388" i="5" s="1"/>
  <c r="P387" i="5"/>
  <c r="J387" i="5" s="1"/>
  <c r="L387" i="5" s="1"/>
  <c r="P386" i="5"/>
  <c r="J386" i="5" s="1"/>
  <c r="L386" i="5" s="1"/>
  <c r="P385" i="5"/>
  <c r="P384" i="5"/>
  <c r="J384" i="5" s="1"/>
  <c r="P383" i="5"/>
  <c r="J383" i="5" s="1"/>
  <c r="L383" i="5" s="1"/>
  <c r="P382" i="5"/>
  <c r="J382" i="5" s="1"/>
  <c r="P381" i="5"/>
  <c r="P380" i="5"/>
  <c r="J380" i="5" s="1"/>
  <c r="P379" i="5"/>
  <c r="J379" i="5" s="1"/>
  <c r="P378" i="5"/>
  <c r="J378" i="5" s="1"/>
  <c r="P377" i="5"/>
  <c r="J377" i="5" s="1"/>
  <c r="L377" i="5" s="1"/>
  <c r="P376" i="5"/>
  <c r="J376" i="5" s="1"/>
  <c r="P375" i="5"/>
  <c r="J375" i="5" s="1"/>
  <c r="P374" i="5"/>
  <c r="J374" i="5" s="1"/>
  <c r="P372" i="5"/>
  <c r="J372" i="5" s="1"/>
  <c r="L372" i="5" s="1"/>
  <c r="P371" i="5"/>
  <c r="J371" i="5" s="1"/>
  <c r="P370" i="5"/>
  <c r="J370" i="5" s="1"/>
  <c r="P369" i="5"/>
  <c r="J369" i="5" s="1"/>
  <c r="P368" i="5"/>
  <c r="J368" i="5" s="1"/>
  <c r="P367" i="5"/>
  <c r="J367" i="5" s="1"/>
  <c r="P364" i="5"/>
  <c r="J364" i="5" s="1"/>
  <c r="L364" i="5" s="1"/>
  <c r="P363" i="5"/>
  <c r="J363" i="5" s="1"/>
  <c r="P362" i="5"/>
  <c r="P361" i="5"/>
  <c r="J361" i="5" s="1"/>
  <c r="P360" i="5"/>
  <c r="J360" i="5" s="1"/>
  <c r="P358" i="5"/>
  <c r="P357" i="5"/>
  <c r="J357" i="5" s="1"/>
  <c r="L357" i="5" s="1"/>
  <c r="P356" i="5"/>
  <c r="P355" i="5"/>
  <c r="J355" i="5" s="1"/>
  <c r="P354" i="5"/>
  <c r="P353" i="5"/>
  <c r="P352" i="5"/>
  <c r="J352" i="5" s="1"/>
  <c r="L352" i="5" s="1"/>
  <c r="P344" i="5"/>
  <c r="J344" i="5" s="1"/>
  <c r="P343" i="5"/>
  <c r="J343" i="5" s="1"/>
  <c r="P341" i="5"/>
  <c r="J341" i="5" s="1"/>
  <c r="P339" i="5"/>
  <c r="J339" i="5" s="1"/>
  <c r="P338" i="5"/>
  <c r="P336" i="5"/>
  <c r="J336" i="5" s="1"/>
  <c r="L336" i="5" s="1"/>
  <c r="P335" i="5"/>
  <c r="J335" i="5" s="1"/>
  <c r="P334" i="5"/>
  <c r="J334" i="5" s="1"/>
  <c r="P332" i="5"/>
  <c r="J332" i="5" s="1"/>
  <c r="P330" i="5"/>
  <c r="J330" i="5" s="1"/>
  <c r="P327" i="5"/>
  <c r="J327" i="5" s="1"/>
  <c r="P325" i="5"/>
  <c r="J325" i="5" s="1"/>
  <c r="L325" i="5" s="1"/>
  <c r="P302" i="5"/>
  <c r="J302" i="5" s="1"/>
  <c r="L302" i="5" s="1"/>
  <c r="O1071" i="248" s="1"/>
  <c r="R1071" i="248" s="1"/>
  <c r="P301" i="5"/>
  <c r="J301" i="5" s="1"/>
  <c r="P300" i="5"/>
  <c r="J300" i="5" s="1"/>
  <c r="P297" i="5"/>
  <c r="J297" i="5" s="1"/>
  <c r="L297" i="5" s="1"/>
  <c r="P296" i="5"/>
  <c r="J296" i="5" s="1"/>
  <c r="P295" i="5"/>
  <c r="J295" i="5" s="1"/>
  <c r="P294" i="5"/>
  <c r="J294" i="5" s="1"/>
  <c r="P293" i="5"/>
  <c r="J293" i="5" s="1"/>
  <c r="P292" i="5"/>
  <c r="J292" i="5" s="1"/>
  <c r="P291" i="5"/>
  <c r="J291" i="5" s="1"/>
  <c r="L291" i="5" s="1"/>
  <c r="P290" i="5"/>
  <c r="J290" i="5" s="1"/>
  <c r="L290" i="5" s="1"/>
  <c r="P271" i="5"/>
  <c r="J271" i="5" s="1"/>
  <c r="L271" i="5" s="1"/>
  <c r="P270" i="5"/>
  <c r="J270" i="5" s="1"/>
  <c r="L270" i="5" s="1"/>
  <c r="M929" i="248" s="1"/>
  <c r="P269" i="5"/>
  <c r="J269" i="5" s="1"/>
  <c r="P268" i="5"/>
  <c r="J268" i="5" s="1"/>
  <c r="P267" i="5"/>
  <c r="J267" i="5" s="1"/>
  <c r="L267" i="5" s="1"/>
  <c r="P266" i="5"/>
  <c r="J266" i="5" s="1"/>
  <c r="L266" i="5" s="1"/>
  <c r="M928" i="248" s="1"/>
  <c r="P265" i="5"/>
  <c r="P264" i="5"/>
  <c r="J264" i="5" s="1"/>
  <c r="P263" i="5"/>
  <c r="J263" i="5" s="1"/>
  <c r="L263" i="5" s="1"/>
  <c r="J84" i="26"/>
  <c r="P262" i="5"/>
  <c r="J262" i="5" s="1"/>
  <c r="L262" i="5" s="1"/>
  <c r="K929" i="248" s="1"/>
  <c r="P261" i="5"/>
  <c r="J261" i="5" s="1"/>
  <c r="J83" i="26"/>
  <c r="P260" i="5"/>
  <c r="J260" i="5" s="1"/>
  <c r="P259" i="5"/>
  <c r="J259" i="5" s="1"/>
  <c r="L259" i="5" s="1"/>
  <c r="P258" i="5"/>
  <c r="J258" i="5" s="1"/>
  <c r="L258" i="5" s="1"/>
  <c r="K928" i="248" s="1"/>
  <c r="P257" i="5"/>
  <c r="J257" i="5" s="1"/>
  <c r="L257" i="5" s="1"/>
  <c r="P256" i="5"/>
  <c r="J256" i="5" s="1"/>
  <c r="P255" i="5"/>
  <c r="J255" i="5" s="1"/>
  <c r="L255" i="5" s="1"/>
  <c r="P254" i="5"/>
  <c r="J254" i="5" s="1"/>
  <c r="L254" i="5" s="1"/>
  <c r="J929" i="248" s="1"/>
  <c r="P253" i="5"/>
  <c r="J253" i="5" s="1"/>
  <c r="P252" i="5"/>
  <c r="J252" i="5" s="1"/>
  <c r="P251" i="5"/>
  <c r="J251" i="5" s="1"/>
  <c r="L251" i="5" s="1"/>
  <c r="P250" i="5"/>
  <c r="J250" i="5" s="1"/>
  <c r="L250" i="5" s="1"/>
  <c r="J928" i="248" s="1"/>
  <c r="P249" i="5"/>
  <c r="J249" i="5" s="1"/>
  <c r="L249" i="5" s="1"/>
  <c r="J921" i="248" s="1"/>
  <c r="P248" i="5"/>
  <c r="J248" i="5" s="1"/>
  <c r="P247" i="5"/>
  <c r="J247" i="5" s="1"/>
  <c r="L247" i="5" s="1"/>
  <c r="P246" i="5"/>
  <c r="J246" i="5" s="1"/>
  <c r="L246" i="5" s="1"/>
  <c r="H929" i="248" s="1"/>
  <c r="P245" i="5"/>
  <c r="J245" i="5" s="1"/>
  <c r="P244" i="5"/>
  <c r="J244" i="5" s="1"/>
  <c r="P243" i="5"/>
  <c r="J243" i="5" s="1"/>
  <c r="L243" i="5" s="1"/>
  <c r="P242" i="5"/>
  <c r="J242" i="5" s="1"/>
  <c r="L242" i="5" s="1"/>
  <c r="H928" i="248" s="1"/>
  <c r="P241" i="5"/>
  <c r="J241" i="5" s="1"/>
  <c r="L241" i="5" s="1"/>
  <c r="P240" i="5"/>
  <c r="J240" i="5" s="1"/>
  <c r="P239" i="5"/>
  <c r="J239" i="5" s="1"/>
  <c r="L239" i="5" s="1"/>
  <c r="P233" i="5"/>
  <c r="P232" i="5"/>
  <c r="J232" i="5" s="1"/>
  <c r="P231" i="5"/>
  <c r="J231" i="5" s="1"/>
  <c r="L231" i="5" s="1"/>
  <c r="P230" i="5"/>
  <c r="J230" i="5" s="1"/>
  <c r="L230" i="5" s="1"/>
  <c r="P229" i="5"/>
  <c r="P228" i="5"/>
  <c r="P227" i="5"/>
  <c r="J227" i="5" s="1"/>
  <c r="P226" i="5"/>
  <c r="J226" i="5" s="1"/>
  <c r="L226" i="5" s="1"/>
  <c r="P213" i="5"/>
  <c r="J213" i="5" s="1"/>
  <c r="P212" i="5"/>
  <c r="P211" i="5"/>
  <c r="P196" i="5"/>
  <c r="P195" i="5"/>
  <c r="J195" i="5" s="1"/>
  <c r="P194" i="5"/>
  <c r="J59" i="26"/>
  <c r="P191" i="5"/>
  <c r="J191" i="5" s="1"/>
  <c r="L191" i="5" s="1"/>
  <c r="P190" i="5"/>
  <c r="J190" i="5" s="1"/>
  <c r="P179" i="5"/>
  <c r="L178" i="5"/>
  <c r="L177" i="5"/>
  <c r="P173" i="5"/>
  <c r="P172" i="5"/>
  <c r="J172" i="5" s="1"/>
  <c r="L172" i="5" s="1"/>
  <c r="P120" i="5"/>
  <c r="J120" i="5" s="1"/>
  <c r="L120" i="5" s="1"/>
  <c r="O1615" i="248" s="1"/>
  <c r="R1615" i="248" s="1"/>
  <c r="P115" i="5"/>
  <c r="J115" i="5" s="1"/>
  <c r="L115" i="5" s="1"/>
  <c r="P114" i="5"/>
  <c r="J114" i="5" s="1"/>
  <c r="P113" i="5"/>
  <c r="J113" i="5" s="1"/>
  <c r="P112" i="5"/>
  <c r="J112" i="5" s="1"/>
  <c r="L112" i="5" s="1"/>
  <c r="F101" i="80" s="1"/>
  <c r="P111" i="5"/>
  <c r="J111" i="5" s="1"/>
  <c r="L111" i="5" s="1"/>
  <c r="P110" i="5"/>
  <c r="J110" i="5" s="1"/>
  <c r="L110" i="5" s="1"/>
  <c r="O1605" i="248" s="1"/>
  <c r="R1605" i="248" s="1"/>
  <c r="P109" i="5"/>
  <c r="J109" i="5" s="1"/>
  <c r="P108" i="5"/>
  <c r="J108" i="5" s="1"/>
  <c r="L108" i="5" s="1"/>
  <c r="P107" i="5"/>
  <c r="P106" i="5"/>
  <c r="J106" i="5" s="1"/>
  <c r="L106" i="5" s="1"/>
  <c r="O1600" i="248" s="1"/>
  <c r="R1600" i="248" s="1"/>
  <c r="P105" i="5"/>
  <c r="J105" i="5" s="1"/>
  <c r="L105" i="5" s="1"/>
  <c r="P104" i="5"/>
  <c r="J104" i="5" s="1"/>
  <c r="L104" i="5" s="1"/>
  <c r="O1598" i="248" s="1"/>
  <c r="R1598" i="248" s="1"/>
  <c r="P103" i="5"/>
  <c r="J103" i="5" s="1"/>
  <c r="L103" i="5" s="1"/>
  <c r="P102" i="5"/>
  <c r="J102" i="5" s="1"/>
  <c r="L102" i="5" s="1"/>
  <c r="O691" i="248" s="1"/>
  <c r="R691" i="248" s="1"/>
  <c r="P97" i="5"/>
  <c r="J97" i="5" s="1"/>
  <c r="L97" i="5" s="1"/>
  <c r="P96" i="5"/>
  <c r="J96" i="5" s="1"/>
  <c r="P95" i="5"/>
  <c r="J95" i="5" s="1"/>
  <c r="P94" i="5"/>
  <c r="J94" i="5" s="1"/>
  <c r="L94" i="5" s="1"/>
  <c r="P92" i="5"/>
  <c r="J92" i="5" s="1"/>
  <c r="P91" i="5"/>
  <c r="J91" i="5" s="1"/>
  <c r="P90" i="5"/>
  <c r="J90" i="5" s="1"/>
  <c r="L90" i="5" s="1"/>
  <c r="O1591" i="248" s="1"/>
  <c r="R1591" i="248" s="1"/>
  <c r="P89" i="5"/>
  <c r="P88" i="5"/>
  <c r="J88" i="5" s="1"/>
  <c r="L88" i="5" s="1"/>
  <c r="P87" i="5"/>
  <c r="J87" i="5" s="1"/>
  <c r="L87" i="5" s="1"/>
  <c r="P86" i="5"/>
  <c r="J86" i="5" s="1"/>
  <c r="L86" i="5" s="1"/>
  <c r="P85" i="5"/>
  <c r="J85" i="5" s="1"/>
  <c r="L85" i="5" s="1"/>
  <c r="P84" i="5"/>
  <c r="J84" i="5" s="1"/>
  <c r="L84" i="5" s="1"/>
  <c r="P83" i="5"/>
  <c r="J83" i="5" s="1"/>
  <c r="L83" i="5" s="1"/>
  <c r="O1631" i="248" s="1"/>
  <c r="R1631" i="248" s="1"/>
  <c r="P82" i="5"/>
  <c r="J82" i="5" s="1"/>
  <c r="L82" i="5" s="1"/>
  <c r="O1630" i="248" s="1"/>
  <c r="R1630" i="248" s="1"/>
  <c r="P81" i="5"/>
  <c r="P80" i="5"/>
  <c r="J80" i="5" s="1"/>
  <c r="L80" i="5" s="1"/>
  <c r="O1633" i="248" s="1"/>
  <c r="R1633" i="248" s="1"/>
  <c r="P79" i="5"/>
  <c r="J79" i="5" s="1"/>
  <c r="L79" i="5" s="1"/>
  <c r="P68" i="5"/>
  <c r="J68" i="5" s="1"/>
  <c r="L68" i="5" s="1"/>
  <c r="O1553" i="248" s="1"/>
  <c r="R1553" i="248" s="1"/>
  <c r="P67" i="5"/>
  <c r="J67" i="5" s="1"/>
  <c r="P66" i="5"/>
  <c r="J66" i="5" s="1"/>
  <c r="L66" i="5" s="1"/>
  <c r="P65" i="5"/>
  <c r="J65" i="5" s="1"/>
  <c r="L65" i="5" s="1"/>
  <c r="P64" i="5"/>
  <c r="J64" i="5" s="1"/>
  <c r="L64" i="5" s="1"/>
  <c r="F93" i="80" s="1"/>
  <c r="P63" i="5"/>
  <c r="J63" i="5" s="1"/>
  <c r="L63" i="5" s="1"/>
  <c r="F92" i="80" s="1"/>
  <c r="P62" i="5"/>
  <c r="J62" i="5" s="1"/>
  <c r="L62" i="5" s="1"/>
  <c r="P61" i="5"/>
  <c r="J61" i="5" s="1"/>
  <c r="P60" i="5"/>
  <c r="J60" i="5" s="1"/>
  <c r="L60" i="5" s="1"/>
  <c r="O716" i="248" s="1"/>
  <c r="R716" i="248" s="1"/>
  <c r="P57" i="5"/>
  <c r="J57" i="5" s="1"/>
  <c r="L57" i="5" s="1"/>
  <c r="P56" i="5"/>
  <c r="J56" i="5" s="1"/>
  <c r="L56" i="5" s="1"/>
  <c r="P55" i="5"/>
  <c r="J55" i="5" s="1"/>
  <c r="L55" i="5" s="1"/>
  <c r="F90" i="80" s="1"/>
  <c r="P54" i="5"/>
  <c r="J54" i="5" s="1"/>
  <c r="L54" i="5" s="1"/>
  <c r="P53" i="5"/>
  <c r="J53" i="5" s="1"/>
  <c r="L53" i="5" s="1"/>
  <c r="P52" i="5"/>
  <c r="J52" i="5" s="1"/>
  <c r="L52" i="5" s="1"/>
  <c r="P51" i="5"/>
  <c r="J51" i="5" s="1"/>
  <c r="L51" i="5" s="1"/>
  <c r="P50" i="5"/>
  <c r="J50" i="5" s="1"/>
  <c r="L50" i="5" s="1"/>
  <c r="O1546" i="248" s="1"/>
  <c r="R1546" i="248" s="1"/>
  <c r="P49" i="5"/>
  <c r="J49" i="5" s="1"/>
  <c r="L49" i="5" s="1"/>
  <c r="F87" i="80" s="1"/>
  <c r="P48" i="5"/>
  <c r="J48" i="5" s="1"/>
  <c r="L48" i="5" s="1"/>
  <c r="P47" i="5"/>
  <c r="J47" i="5" s="1"/>
  <c r="P46" i="5"/>
  <c r="P45" i="5"/>
  <c r="J45" i="5" s="1"/>
  <c r="P44" i="5"/>
  <c r="J44" i="5" s="1"/>
  <c r="L44" i="5" s="1"/>
  <c r="O1541" i="248" s="1"/>
  <c r="R1541" i="248" s="1"/>
  <c r="P43" i="5"/>
  <c r="J43" i="5" s="1"/>
  <c r="P42" i="5"/>
  <c r="J42" i="5" s="1"/>
  <c r="P41" i="5"/>
  <c r="J41" i="5" s="1"/>
  <c r="P40" i="5"/>
  <c r="J40" i="5" s="1"/>
  <c r="L40" i="5" s="1"/>
  <c r="P39" i="5"/>
  <c r="J39" i="5" s="1"/>
  <c r="L39" i="5" s="1"/>
  <c r="O1539" i="248" s="1"/>
  <c r="R1539" i="248" s="1"/>
  <c r="P38" i="5"/>
  <c r="J38" i="5" s="1"/>
  <c r="P37" i="5"/>
  <c r="J37" i="5" s="1"/>
  <c r="L37" i="5" s="1"/>
  <c r="P36" i="5"/>
  <c r="J36" i="5" s="1"/>
  <c r="L36" i="5" s="1"/>
  <c r="P29" i="5"/>
  <c r="J29" i="5" s="1"/>
  <c r="L29" i="5" s="1"/>
  <c r="O1527" i="248" s="1"/>
  <c r="R1527" i="248" s="1"/>
  <c r="P28" i="5"/>
  <c r="J28" i="5" s="1"/>
  <c r="L28" i="5" s="1"/>
  <c r="O1526" i="248" s="1"/>
  <c r="R1526" i="248" s="1"/>
  <c r="P24" i="5"/>
  <c r="J24" i="5" s="1"/>
  <c r="L24" i="5" s="1"/>
  <c r="P23" i="5"/>
  <c r="P22" i="5"/>
  <c r="J22" i="5" s="1"/>
  <c r="L22" i="5" s="1"/>
  <c r="P21" i="5"/>
  <c r="P20" i="5"/>
  <c r="P19" i="5"/>
  <c r="J19" i="5" s="1"/>
  <c r="L19" i="5" s="1"/>
  <c r="O1513" i="248" s="1"/>
  <c r="R1513" i="248" s="1"/>
  <c r="P18" i="5"/>
  <c r="J18" i="5" s="1"/>
  <c r="L18" i="5" s="1"/>
  <c r="O1512" i="248" s="1"/>
  <c r="R1512" i="248" s="1"/>
  <c r="P14" i="5"/>
  <c r="J14" i="5" s="1"/>
  <c r="P13" i="5"/>
  <c r="P12" i="5"/>
  <c r="P11" i="5"/>
  <c r="P10" i="5"/>
  <c r="P9" i="5"/>
  <c r="J9" i="5" s="1"/>
  <c r="L9" i="5" s="1"/>
  <c r="P8" i="5"/>
  <c r="P7" i="5"/>
  <c r="J7" i="5" s="1"/>
  <c r="L7" i="5" s="1"/>
  <c r="P6" i="5"/>
  <c r="L36" i="26" s="1"/>
  <c r="F16" i="1"/>
  <c r="F20" i="1"/>
  <c r="D58" i="1"/>
  <c r="D59" i="1"/>
  <c r="R59" i="1" s="1"/>
  <c r="D63" i="1"/>
  <c r="D203" i="1"/>
  <c r="M203" i="1"/>
  <c r="D114" i="1"/>
  <c r="D115" i="1"/>
  <c r="R115" i="1" s="1"/>
  <c r="R129" i="1"/>
  <c r="R132" i="1"/>
  <c r="R133" i="1"/>
  <c r="R134" i="1"/>
  <c r="R135" i="1"/>
  <c r="R139" i="1"/>
  <c r="R140" i="1"/>
  <c r="R144" i="1"/>
  <c r="R145" i="1"/>
  <c r="D349" i="1"/>
  <c r="D350" i="1"/>
  <c r="R350" i="1" s="1"/>
  <c r="M355" i="1"/>
  <c r="D282" i="1"/>
  <c r="D283" i="1"/>
  <c r="R283" i="1" s="1"/>
  <c r="D286" i="1"/>
  <c r="M289" i="1"/>
  <c r="D1059" i="1"/>
  <c r="D1060" i="1"/>
  <c r="D1061" i="1"/>
  <c r="D1062" i="1"/>
  <c r="D1063" i="1"/>
  <c r="D1088" i="1"/>
  <c r="D1089" i="1"/>
  <c r="D1090" i="1"/>
  <c r="D1091" i="1"/>
  <c r="D1092" i="1"/>
  <c r="D1158" i="1"/>
  <c r="D1159" i="1"/>
  <c r="D1162" i="1"/>
  <c r="M1165" i="1"/>
  <c r="D1171" i="1"/>
  <c r="D1229" i="1"/>
  <c r="D1230" i="1"/>
  <c r="D1233" i="1"/>
  <c r="M1236" i="1"/>
  <c r="D1254" i="1"/>
  <c r="R1254" i="1" s="1"/>
  <c r="D1310" i="1"/>
  <c r="D1311" i="1"/>
  <c r="D1314" i="1"/>
  <c r="M1317" i="1"/>
  <c r="D1349" i="1"/>
  <c r="D1350" i="1"/>
  <c r="D1353" i="1"/>
  <c r="M1356" i="1"/>
  <c r="D1359" i="1"/>
  <c r="D1413" i="1"/>
  <c r="D1414" i="1"/>
  <c r="D1417" i="1"/>
  <c r="M1420" i="1"/>
  <c r="D1423" i="1"/>
  <c r="D1424" i="1"/>
  <c r="D1425" i="1"/>
  <c r="D1426" i="1"/>
  <c r="D1449" i="1"/>
  <c r="D1450" i="1"/>
  <c r="D1451" i="1"/>
  <c r="D1472" i="1"/>
  <c r="D1473" i="1"/>
  <c r="D1474" i="1"/>
  <c r="D689" i="1"/>
  <c r="D690" i="1"/>
  <c r="D691" i="1"/>
  <c r="D692" i="1"/>
  <c r="D693" i="1"/>
  <c r="D716" i="1"/>
  <c r="D717" i="1"/>
  <c r="D718" i="1"/>
  <c r="D593" i="1"/>
  <c r="D594" i="1"/>
  <c r="D597" i="1"/>
  <c r="M600" i="1"/>
  <c r="D606" i="1"/>
  <c r="D607" i="1"/>
  <c r="D608" i="1"/>
  <c r="D612" i="1"/>
  <c r="D616" i="1"/>
  <c r="D1512" i="1"/>
  <c r="D1516" i="1"/>
  <c r="D1599" i="1" s="1"/>
  <c r="M1519" i="1"/>
  <c r="D1530" i="1"/>
  <c r="D1531" i="1"/>
  <c r="D1532" i="1"/>
  <c r="D1533" i="1"/>
  <c r="D1534" i="1"/>
  <c r="D1544" i="1"/>
  <c r="D1545" i="1"/>
  <c r="D1546" i="1"/>
  <c r="D1547" i="1"/>
  <c r="D1548" i="1"/>
  <c r="D1575" i="1"/>
  <c r="M1602" i="1"/>
  <c r="D1632" i="1"/>
  <c r="D1633" i="1"/>
  <c r="D1634" i="1"/>
  <c r="D1635" i="1"/>
  <c r="D1636" i="1"/>
  <c r="D1670" i="1"/>
  <c r="D1671" i="1"/>
  <c r="R1671" i="1" s="1"/>
  <c r="D1674" i="1"/>
  <c r="D1743" i="1"/>
  <c r="D1744" i="1"/>
  <c r="D1747" i="1"/>
  <c r="C2" i="26"/>
  <c r="D4" i="26"/>
  <c r="J85" i="26"/>
  <c r="J86" i="26"/>
  <c r="J87" i="26"/>
  <c r="J88" i="26"/>
  <c r="J89" i="26"/>
  <c r="J92" i="26"/>
  <c r="J93" i="26"/>
  <c r="J94" i="26"/>
  <c r="J95" i="26"/>
  <c r="J96" i="26"/>
  <c r="J97" i="26"/>
  <c r="J98" i="26"/>
  <c r="J99" i="26"/>
  <c r="J100" i="26"/>
  <c r="J101" i="26"/>
  <c r="J102" i="26"/>
  <c r="J103" i="26"/>
  <c r="J104" i="26"/>
  <c r="J105" i="26"/>
  <c r="J106" i="26"/>
  <c r="J107" i="26"/>
  <c r="J108" i="26"/>
  <c r="J109" i="26"/>
  <c r="J110" i="26"/>
  <c r="J111" i="26"/>
  <c r="J112" i="26"/>
  <c r="J113" i="26"/>
  <c r="J114" i="26"/>
  <c r="J115" i="26"/>
  <c r="J116" i="26"/>
  <c r="J117" i="26"/>
  <c r="J118" i="26"/>
  <c r="J119" i="26"/>
  <c r="J120" i="26"/>
  <c r="J121" i="26"/>
  <c r="J122" i="26"/>
  <c r="J123" i="26"/>
  <c r="J124" i="26"/>
  <c r="J125" i="26"/>
  <c r="J126" i="26"/>
  <c r="J127" i="26"/>
  <c r="J128" i="26"/>
  <c r="J129" i="26"/>
  <c r="J130" i="26"/>
  <c r="J131" i="26"/>
  <c r="J132" i="26"/>
  <c r="J133" i="26"/>
  <c r="J134" i="26"/>
  <c r="J135" i="26"/>
  <c r="J136" i="26"/>
  <c r="J137" i="26"/>
  <c r="J138" i="26"/>
  <c r="J139" i="26"/>
  <c r="J140" i="26"/>
  <c r="J141" i="26"/>
  <c r="J142" i="26"/>
  <c r="J143" i="26"/>
  <c r="J144" i="26"/>
  <c r="J145" i="26"/>
  <c r="J146" i="26"/>
  <c r="J147" i="26"/>
  <c r="J148" i="26"/>
  <c r="J149" i="26"/>
  <c r="J150" i="26"/>
  <c r="J151" i="26"/>
  <c r="J152" i="26"/>
  <c r="J153" i="26"/>
  <c r="J154" i="26"/>
  <c r="J155" i="26"/>
  <c r="J156" i="26"/>
  <c r="J157" i="26"/>
  <c r="J158" i="26"/>
  <c r="J159" i="26"/>
  <c r="J160" i="26"/>
  <c r="J161" i="26"/>
  <c r="J162" i="26"/>
  <c r="J163" i="26"/>
  <c r="J164" i="26"/>
  <c r="J165" i="26"/>
  <c r="J166" i="26"/>
  <c r="J167" i="26"/>
  <c r="J168" i="26"/>
  <c r="J169" i="26"/>
  <c r="J170" i="26"/>
  <c r="J171" i="26"/>
  <c r="J172" i="26"/>
  <c r="J173" i="26"/>
  <c r="J174" i="26"/>
  <c r="J175" i="26"/>
  <c r="J176" i="26"/>
  <c r="J177" i="26"/>
  <c r="J178" i="26"/>
  <c r="J179" i="26"/>
  <c r="J180" i="26"/>
  <c r="J181" i="26"/>
  <c r="J182" i="26"/>
  <c r="J183" i="26"/>
  <c r="J184" i="26"/>
  <c r="J185" i="26"/>
  <c r="J186" i="26"/>
  <c r="J187" i="26"/>
  <c r="J188" i="26"/>
  <c r="J189" i="26"/>
  <c r="J190" i="26"/>
  <c r="J191" i="26"/>
  <c r="J192" i="26"/>
  <c r="J193" i="26"/>
  <c r="J194" i="26"/>
  <c r="J195" i="26"/>
  <c r="J196" i="26"/>
  <c r="J197" i="26"/>
  <c r="J198" i="26"/>
  <c r="J199" i="26"/>
  <c r="J200" i="26"/>
  <c r="J201" i="26"/>
  <c r="J202" i="26"/>
  <c r="J203" i="26"/>
  <c r="J204" i="26"/>
  <c r="J205" i="26"/>
  <c r="J206" i="26"/>
  <c r="J207" i="26"/>
  <c r="J208" i="26"/>
  <c r="J209" i="26"/>
  <c r="J210" i="26"/>
  <c r="J211" i="26"/>
  <c r="J212" i="26"/>
  <c r="J213" i="26"/>
  <c r="J214" i="26"/>
  <c r="J215" i="26"/>
  <c r="J216" i="26"/>
  <c r="J217" i="26"/>
  <c r="J218" i="26"/>
  <c r="J219" i="26"/>
  <c r="J220" i="26"/>
  <c r="J221" i="26"/>
  <c r="J222" i="26"/>
  <c r="J223" i="26"/>
  <c r="J224" i="26"/>
  <c r="J225" i="26"/>
  <c r="J226" i="26"/>
  <c r="J227" i="26"/>
  <c r="J228" i="26"/>
  <c r="J229" i="26"/>
  <c r="J230" i="26"/>
  <c r="J231" i="26"/>
  <c r="J232" i="26"/>
  <c r="J233" i="26"/>
  <c r="J234" i="26"/>
  <c r="J235" i="26"/>
  <c r="J236" i="26"/>
  <c r="J237" i="26"/>
  <c r="J238" i="26"/>
  <c r="J239" i="26"/>
  <c r="J240" i="26"/>
  <c r="J241" i="26"/>
  <c r="J242" i="26"/>
  <c r="J243" i="26"/>
  <c r="J244" i="26"/>
  <c r="J245" i="26"/>
  <c r="J246" i="26"/>
  <c r="J247" i="26"/>
  <c r="J248" i="26"/>
  <c r="J249" i="26"/>
  <c r="J250" i="26"/>
  <c r="J251" i="26"/>
  <c r="J252" i="26"/>
  <c r="J253" i="26"/>
  <c r="J254" i="26"/>
  <c r="J255" i="26"/>
  <c r="J256" i="26"/>
  <c r="J257" i="26"/>
  <c r="J258" i="26"/>
  <c r="J259" i="26"/>
  <c r="J260" i="26"/>
  <c r="J261" i="26"/>
  <c r="J262" i="26"/>
  <c r="J263" i="26"/>
  <c r="J264" i="26"/>
  <c r="J265" i="26"/>
  <c r="J266" i="26"/>
  <c r="J267" i="26"/>
  <c r="J268" i="26"/>
  <c r="J269" i="26"/>
  <c r="J270" i="26"/>
  <c r="J271" i="26"/>
  <c r="J272" i="26"/>
  <c r="J273" i="26"/>
  <c r="J274" i="26"/>
  <c r="J275" i="26"/>
  <c r="J276" i="26"/>
  <c r="J277" i="26"/>
  <c r="J278" i="26"/>
  <c r="J279" i="26"/>
  <c r="J280" i="26"/>
  <c r="J281" i="26"/>
  <c r="J282" i="26"/>
  <c r="J283" i="26"/>
  <c r="J284" i="26"/>
  <c r="J285" i="26"/>
  <c r="J286" i="26"/>
  <c r="J287" i="26"/>
  <c r="J288" i="26"/>
  <c r="J289" i="26"/>
  <c r="J290" i="26"/>
  <c r="J291" i="26"/>
  <c r="J292" i="26"/>
  <c r="J293" i="26"/>
  <c r="J294" i="26"/>
  <c r="J295" i="26"/>
  <c r="J296" i="26"/>
  <c r="J297" i="26"/>
  <c r="J298" i="26"/>
  <c r="J299" i="26"/>
  <c r="J300" i="26"/>
  <c r="J301" i="26"/>
  <c r="J302" i="26"/>
  <c r="J303" i="26"/>
  <c r="J304" i="26"/>
  <c r="J305" i="26"/>
  <c r="J306" i="26"/>
  <c r="J307" i="26"/>
  <c r="J308" i="26"/>
  <c r="J309" i="26"/>
  <c r="J310" i="26"/>
  <c r="J311" i="26"/>
  <c r="J312" i="26"/>
  <c r="J313" i="26"/>
  <c r="J314" i="26"/>
  <c r="J315" i="26"/>
  <c r="J316" i="26"/>
  <c r="J317" i="26"/>
  <c r="J318" i="26"/>
  <c r="J319" i="26"/>
  <c r="J320" i="26"/>
  <c r="J321" i="26"/>
  <c r="J322" i="26"/>
  <c r="J323" i="26"/>
  <c r="J324" i="26"/>
  <c r="J325" i="26"/>
  <c r="J326" i="26"/>
  <c r="J327" i="26"/>
  <c r="J328" i="26"/>
  <c r="J329" i="26"/>
  <c r="J330" i="26"/>
  <c r="J331" i="26"/>
  <c r="J332" i="26"/>
  <c r="J333" i="26"/>
  <c r="J334" i="26"/>
  <c r="J335" i="26"/>
  <c r="J336" i="26"/>
  <c r="J337" i="26"/>
  <c r="J338" i="26"/>
  <c r="J339" i="26"/>
  <c r="J340" i="26"/>
  <c r="J341" i="26"/>
  <c r="J342" i="26"/>
  <c r="J343" i="26"/>
  <c r="J344" i="26"/>
  <c r="J345" i="26"/>
  <c r="J346" i="26"/>
  <c r="J347" i="26"/>
  <c r="J348" i="26"/>
  <c r="J349" i="26"/>
  <c r="J350" i="26"/>
  <c r="J351" i="26"/>
  <c r="J352" i="26"/>
  <c r="J353" i="26"/>
  <c r="J354" i="26"/>
  <c r="J355" i="26"/>
  <c r="J356" i="26"/>
  <c r="J357" i="26"/>
  <c r="J358" i="26"/>
  <c r="J359" i="26"/>
  <c r="J360" i="26"/>
  <c r="J361" i="26"/>
  <c r="J362" i="26"/>
  <c r="J363" i="26"/>
  <c r="J364" i="26"/>
  <c r="J365" i="26"/>
  <c r="J366" i="26"/>
  <c r="J367" i="26"/>
  <c r="J368" i="26"/>
  <c r="J369" i="26"/>
  <c r="J370" i="26"/>
  <c r="J371" i="26"/>
  <c r="J372" i="26"/>
  <c r="J373" i="26"/>
  <c r="J374" i="26"/>
  <c r="J375" i="26"/>
  <c r="J376" i="26"/>
  <c r="J377" i="26"/>
  <c r="J378" i="26"/>
  <c r="J379" i="26"/>
  <c r="J380" i="26"/>
  <c r="J381" i="26"/>
  <c r="J382" i="26"/>
  <c r="J383" i="26"/>
  <c r="J384" i="26"/>
  <c r="J385" i="26"/>
  <c r="J386" i="26"/>
  <c r="J387" i="26"/>
  <c r="J388" i="26"/>
  <c r="J389" i="26"/>
  <c r="J390" i="26"/>
  <c r="J391" i="26"/>
  <c r="J392" i="26"/>
  <c r="J393" i="26"/>
  <c r="J394" i="26"/>
  <c r="J395" i="26"/>
  <c r="J396" i="26"/>
  <c r="J397" i="26"/>
  <c r="J398" i="26"/>
  <c r="J399" i="26"/>
  <c r="J400" i="26"/>
  <c r="J401" i="26"/>
  <c r="J402" i="26"/>
  <c r="J403" i="26"/>
  <c r="J404" i="26"/>
  <c r="J405" i="26"/>
  <c r="J406" i="26"/>
  <c r="J407" i="26"/>
  <c r="J408" i="26"/>
  <c r="J409" i="26"/>
  <c r="J410" i="26"/>
  <c r="J411" i="26"/>
  <c r="J412" i="26"/>
  <c r="J413" i="26"/>
  <c r="J414" i="26"/>
  <c r="J415" i="26"/>
  <c r="J416" i="26"/>
  <c r="J417" i="26"/>
  <c r="J418" i="26"/>
  <c r="J419" i="26"/>
  <c r="J420" i="26"/>
  <c r="J421" i="26"/>
  <c r="J422" i="26"/>
  <c r="J423" i="26"/>
  <c r="J424" i="26"/>
  <c r="J425" i="26"/>
  <c r="J426" i="26"/>
  <c r="J427" i="26"/>
  <c r="J428" i="26"/>
  <c r="J429" i="26"/>
  <c r="J430" i="26"/>
  <c r="J431" i="26"/>
  <c r="J432" i="26"/>
  <c r="J433" i="26"/>
  <c r="J434" i="26"/>
  <c r="J435" i="26"/>
  <c r="J436" i="26"/>
  <c r="J437" i="26"/>
  <c r="J438" i="26"/>
  <c r="J439" i="26"/>
  <c r="J440" i="26"/>
  <c r="J441" i="26"/>
  <c r="J442" i="26"/>
  <c r="J443" i="26"/>
  <c r="J444" i="26"/>
  <c r="J445" i="26"/>
  <c r="J446" i="26"/>
  <c r="J447" i="26"/>
  <c r="J448" i="26"/>
  <c r="J449" i="26"/>
  <c r="J450" i="26"/>
  <c r="J451" i="26"/>
  <c r="J452" i="26"/>
  <c r="J453" i="26"/>
  <c r="J454" i="26"/>
  <c r="J455" i="26"/>
  <c r="J456" i="26"/>
  <c r="J457" i="26"/>
  <c r="J458" i="26"/>
  <c r="J459" i="26"/>
  <c r="J460" i="26"/>
  <c r="J461" i="26"/>
  <c r="J462" i="26"/>
  <c r="J463" i="26"/>
  <c r="J464" i="26"/>
  <c r="J465" i="26"/>
  <c r="J466" i="26"/>
  <c r="J467" i="26"/>
  <c r="J468" i="26"/>
  <c r="J469" i="26"/>
  <c r="J470" i="26"/>
  <c r="J471" i="26"/>
  <c r="J472" i="26"/>
  <c r="J473" i="26"/>
  <c r="J474" i="26"/>
  <c r="J475" i="26"/>
  <c r="J476" i="26"/>
  <c r="J477" i="26"/>
  <c r="J478" i="26"/>
  <c r="J479" i="26"/>
  <c r="J480" i="26"/>
  <c r="J481" i="26"/>
  <c r="J482" i="26"/>
  <c r="H41" i="4"/>
  <c r="C154" i="4"/>
  <c r="C159" i="4"/>
  <c r="C164" i="4"/>
  <c r="C169" i="4"/>
  <c r="C174" i="4"/>
  <c r="G230" i="4"/>
  <c r="L1" i="5"/>
  <c r="M69" i="26"/>
  <c r="J35" i="26"/>
  <c r="J37" i="26"/>
  <c r="M37" i="26"/>
  <c r="J42" i="26"/>
  <c r="L27" i="26"/>
  <c r="L41" i="26"/>
  <c r="L45" i="26"/>
  <c r="M32" i="26"/>
  <c r="M35" i="26"/>
  <c r="J31" i="26"/>
  <c r="J277" i="5" s="1"/>
  <c r="L277" i="5" s="1"/>
  <c r="F124" i="80"/>
  <c r="J53" i="26"/>
  <c r="J81" i="26"/>
  <c r="I11" i="89"/>
  <c r="L73" i="26"/>
  <c r="J82" i="26"/>
  <c r="J72" i="26"/>
  <c r="L81" i="26"/>
  <c r="M59" i="26"/>
  <c r="M83" i="26"/>
  <c r="M40" i="26"/>
  <c r="M94" i="26"/>
  <c r="M89" i="26"/>
  <c r="M86" i="26"/>
  <c r="M75" i="26"/>
  <c r="M66" i="26"/>
  <c r="M74" i="26"/>
  <c r="M92" i="26"/>
  <c r="L82" i="26"/>
  <c r="L56" i="26"/>
  <c r="L91" i="26"/>
  <c r="L57" i="26"/>
  <c r="L52" i="26"/>
  <c r="L43" i="26"/>
  <c r="L95" i="26"/>
  <c r="L79" i="26"/>
  <c r="L77" i="26"/>
  <c r="L71" i="26"/>
  <c r="L78" i="26"/>
  <c r="L80" i="26"/>
  <c r="L70" i="26"/>
  <c r="O1537" i="248" l="1"/>
  <c r="R1537" i="248" s="1"/>
  <c r="O1492" i="1"/>
  <c r="O800" i="1"/>
  <c r="O1294" i="1"/>
  <c r="M1497" i="1"/>
  <c r="O1476" i="248"/>
  <c r="O1477" i="248"/>
  <c r="R1477" i="248" s="1"/>
  <c r="M1498" i="1"/>
  <c r="H921" i="248"/>
  <c r="F73" i="80"/>
  <c r="K921" i="248"/>
  <c r="F75" i="80"/>
  <c r="M50" i="26"/>
  <c r="M44" i="26"/>
  <c r="M36" i="26"/>
  <c r="M47" i="26"/>
  <c r="A47" i="26" s="1"/>
  <c r="M503" i="1"/>
  <c r="O501" i="248"/>
  <c r="M296" i="1"/>
  <c r="O296" i="248"/>
  <c r="M442" i="1"/>
  <c r="O440" i="248"/>
  <c r="O294" i="248"/>
  <c r="M294" i="1"/>
  <c r="M39" i="26"/>
  <c r="M18" i="26"/>
  <c r="O1555" i="248"/>
  <c r="R1555" i="248" s="1"/>
  <c r="J125" i="5"/>
  <c r="L125" i="5" s="1"/>
  <c r="M1682" i="1" s="1"/>
  <c r="R1682" i="1" s="1"/>
  <c r="O1525" i="248"/>
  <c r="R1525" i="248" s="1"/>
  <c r="O1589" i="248"/>
  <c r="R1589" i="248" s="1"/>
  <c r="O968" i="248"/>
  <c r="M989" i="1"/>
  <c r="O977" i="248"/>
  <c r="M998" i="1"/>
  <c r="M988" i="1"/>
  <c r="S988" i="1" s="1"/>
  <c r="O967" i="248"/>
  <c r="S967" i="248" s="1"/>
  <c r="O976" i="248"/>
  <c r="S976" i="248" s="1"/>
  <c r="M997" i="1"/>
  <c r="S997" i="1" s="1"/>
  <c r="O1005" i="248"/>
  <c r="M1026" i="1"/>
  <c r="O1014" i="248"/>
  <c r="M1035" i="1"/>
  <c r="M1681" i="1"/>
  <c r="R1681" i="1" s="1"/>
  <c r="M1660" i="248"/>
  <c r="R1660" i="248" s="1"/>
  <c r="M1642" i="1"/>
  <c r="R1642" i="1" s="1"/>
  <c r="O1621" i="248"/>
  <c r="R1621" i="248" s="1"/>
  <c r="J206" i="5"/>
  <c r="O439" i="1"/>
  <c r="O770" i="1"/>
  <c r="M925" i="248"/>
  <c r="U617" i="248"/>
  <c r="R617" i="248"/>
  <c r="S617" i="248"/>
  <c r="J925" i="248"/>
  <c r="O1606" i="248"/>
  <c r="R1606" i="248" s="1"/>
  <c r="O1545" i="248"/>
  <c r="R1545" i="248" s="1"/>
  <c r="O1547" i="248"/>
  <c r="R1547" i="248" s="1"/>
  <c r="O1550" i="248"/>
  <c r="R1550" i="248" s="1"/>
  <c r="M1686" i="1"/>
  <c r="R1686" i="1" s="1"/>
  <c r="M1665" i="248"/>
  <c r="R1665" i="248" s="1"/>
  <c r="O1599" i="248"/>
  <c r="R1599" i="248" s="1"/>
  <c r="M1685" i="1"/>
  <c r="R1685" i="1" s="1"/>
  <c r="M1664" i="248"/>
  <c r="R1664" i="248" s="1"/>
  <c r="O1597" i="248"/>
  <c r="R1597" i="248" s="1"/>
  <c r="M1670" i="248"/>
  <c r="R1670" i="248" s="1"/>
  <c r="O1609" i="248"/>
  <c r="R1609" i="248" s="1"/>
  <c r="O1551" i="248"/>
  <c r="R1551" i="248" s="1"/>
  <c r="M1688" i="1"/>
  <c r="R1688" i="1" s="1"/>
  <c r="M1667" i="248"/>
  <c r="R1667" i="248" s="1"/>
  <c r="M1685" i="248"/>
  <c r="R1685" i="248" s="1"/>
  <c r="O1524" i="248"/>
  <c r="R1524" i="248" s="1"/>
  <c r="O714" i="248"/>
  <c r="R714" i="248" s="1"/>
  <c r="O1171" i="248"/>
  <c r="R1171" i="248" s="1"/>
  <c r="G30" i="229"/>
  <c r="O1590" i="248"/>
  <c r="R1590" i="248" s="1"/>
  <c r="H925" i="248"/>
  <c r="O928" i="248"/>
  <c r="O929" i="248"/>
  <c r="K925" i="248"/>
  <c r="O1" i="192"/>
  <c r="O500" i="1"/>
  <c r="O560" i="1"/>
  <c r="O1" i="136"/>
  <c r="O1" i="190"/>
  <c r="S619" i="1"/>
  <c r="R619" i="1"/>
  <c r="O974" i="1"/>
  <c r="O1142" i="1"/>
  <c r="M76" i="26"/>
  <c r="A76" i="26" s="1"/>
  <c r="J179" i="5"/>
  <c r="L179" i="5" s="1"/>
  <c r="M949" i="1"/>
  <c r="M950" i="1"/>
  <c r="H942" i="1"/>
  <c r="J942" i="1"/>
  <c r="K942" i="1"/>
  <c r="K950" i="1"/>
  <c r="H949" i="1"/>
  <c r="H950" i="1"/>
  <c r="J949" i="1"/>
  <c r="J950" i="1"/>
  <c r="K949" i="1"/>
  <c r="M1706" i="1"/>
  <c r="R1706" i="1" s="1"/>
  <c r="M1704" i="1"/>
  <c r="M1612" i="1"/>
  <c r="M1691" i="1"/>
  <c r="R1691" i="1" s="1"/>
  <c r="F89" i="80"/>
  <c r="F91" i="80"/>
  <c r="F100" i="80"/>
  <c r="F96" i="80"/>
  <c r="F98" i="80"/>
  <c r="F85" i="80"/>
  <c r="M1611" i="1"/>
  <c r="F99" i="80"/>
  <c r="F95" i="80"/>
  <c r="F86" i="80"/>
  <c r="F103" i="80"/>
  <c r="F88" i="80"/>
  <c r="M1610" i="1"/>
  <c r="F97" i="80"/>
  <c r="I325" i="242"/>
  <c r="K227" i="242"/>
  <c r="K325" i="242" s="1"/>
  <c r="K14" i="242" s="1"/>
  <c r="U227" i="242"/>
  <c r="I14" i="89"/>
  <c r="I188" i="242"/>
  <c r="I147" i="242"/>
  <c r="K110" i="242"/>
  <c r="K147" i="242" s="1"/>
  <c r="U110" i="242"/>
  <c r="W249" i="89"/>
  <c r="Y249" i="89" s="1"/>
  <c r="Z249" i="89" s="1"/>
  <c r="W255" i="89"/>
  <c r="Y255" i="89" s="1"/>
  <c r="Z255" i="89" s="1"/>
  <c r="W248" i="89"/>
  <c r="Y248" i="89" s="1"/>
  <c r="Z248" i="89" s="1"/>
  <c r="W129" i="89"/>
  <c r="Y129" i="89" s="1"/>
  <c r="Z129" i="89" s="1"/>
  <c r="W128" i="89"/>
  <c r="Y128" i="89" s="1"/>
  <c r="Z128" i="89" s="1"/>
  <c r="W247" i="89"/>
  <c r="Y247" i="89" s="1"/>
  <c r="Z247" i="89" s="1"/>
  <c r="W171" i="89"/>
  <c r="Y171" i="89" s="1"/>
  <c r="K198" i="89"/>
  <c r="K13" i="89" s="1"/>
  <c r="W246" i="89"/>
  <c r="Y246" i="89" s="1"/>
  <c r="Z246" i="89" s="1"/>
  <c r="K342" i="89"/>
  <c r="W253" i="89"/>
  <c r="Y253" i="89" s="1"/>
  <c r="Z253" i="89" s="1"/>
  <c r="W205" i="89"/>
  <c r="Y205" i="89" s="1"/>
  <c r="Y237" i="89" s="1"/>
  <c r="K237" i="89"/>
  <c r="W254" i="89"/>
  <c r="Y254" i="89" s="1"/>
  <c r="Z254" i="89" s="1"/>
  <c r="W256" i="89"/>
  <c r="Y256" i="89" s="1"/>
  <c r="Z256" i="89" s="1"/>
  <c r="W144" i="89"/>
  <c r="Y144" i="89" s="1"/>
  <c r="Z144" i="89" s="1"/>
  <c r="W136" i="89"/>
  <c r="Y136" i="89" s="1"/>
  <c r="Z136" i="89" s="1"/>
  <c r="W132" i="89"/>
  <c r="Y132" i="89" s="1"/>
  <c r="Z132" i="89" s="1"/>
  <c r="W143" i="89"/>
  <c r="Y143" i="89" s="1"/>
  <c r="Z143" i="89" s="1"/>
  <c r="W139" i="89"/>
  <c r="Y139" i="89" s="1"/>
  <c r="Z139" i="89" s="1"/>
  <c r="W135" i="89"/>
  <c r="Y135" i="89" s="1"/>
  <c r="Z135" i="89" s="1"/>
  <c r="W131" i="89"/>
  <c r="Y131" i="89" s="1"/>
  <c r="Z131" i="89" s="1"/>
  <c r="W145" i="89"/>
  <c r="Y145" i="89" s="1"/>
  <c r="Z145" i="89" s="1"/>
  <c r="W141" i="89"/>
  <c r="Y141" i="89" s="1"/>
  <c r="Z141" i="89" s="1"/>
  <c r="W137" i="89"/>
  <c r="Y137" i="89" s="1"/>
  <c r="Z137" i="89" s="1"/>
  <c r="W133" i="89"/>
  <c r="Y133" i="89" s="1"/>
  <c r="Z133" i="89" s="1"/>
  <c r="W140" i="89"/>
  <c r="Y140" i="89" s="1"/>
  <c r="Z140" i="89" s="1"/>
  <c r="W162" i="89"/>
  <c r="Y162" i="89" s="1"/>
  <c r="Z162" i="89" s="1"/>
  <c r="W142" i="89"/>
  <c r="Y142" i="89" s="1"/>
  <c r="Z142" i="89" s="1"/>
  <c r="W138" i="89"/>
  <c r="Y138" i="89" s="1"/>
  <c r="Z138" i="89" s="1"/>
  <c r="W134" i="89"/>
  <c r="Y134" i="89" s="1"/>
  <c r="Z134" i="89" s="1"/>
  <c r="W130" i="89"/>
  <c r="Y130" i="89" s="1"/>
  <c r="Z130" i="89" s="1"/>
  <c r="K164" i="89"/>
  <c r="I345" i="89"/>
  <c r="G19" i="240"/>
  <c r="H6" i="240"/>
  <c r="Q2" i="5"/>
  <c r="O2460" i="1"/>
  <c r="O1820" i="1"/>
  <c r="O1903" i="1"/>
  <c r="O2223" i="1"/>
  <c r="O2543" i="1"/>
  <c r="O2140" i="1"/>
  <c r="I39" i="4"/>
  <c r="M691" i="1"/>
  <c r="M690" i="1"/>
  <c r="M693" i="1"/>
  <c r="M692" i="1"/>
  <c r="L20" i="26"/>
  <c r="L22" i="26"/>
  <c r="J354" i="5"/>
  <c r="J353" i="5"/>
  <c r="J11" i="5"/>
  <c r="L11" i="5" s="1"/>
  <c r="J12" i="5"/>
  <c r="L12" i="5" s="1"/>
  <c r="L15" i="26"/>
  <c r="L24" i="26"/>
  <c r="L21" i="26"/>
  <c r="L29" i="26"/>
  <c r="L65" i="26"/>
  <c r="M1620" i="1"/>
  <c r="L17" i="26"/>
  <c r="L59" i="26"/>
  <c r="A59" i="26" s="1"/>
  <c r="L63" i="26"/>
  <c r="M78" i="26"/>
  <c r="A78" i="26" s="1"/>
  <c r="M84" i="26"/>
  <c r="A84" i="26" s="1"/>
  <c r="L31" i="26"/>
  <c r="M62" i="26"/>
  <c r="A62" i="26" s="1"/>
  <c r="L48" i="26"/>
  <c r="L75" i="26"/>
  <c r="A75" i="26" s="1"/>
  <c r="M91" i="26"/>
  <c r="A91" i="26" s="1"/>
  <c r="M85" i="26"/>
  <c r="A85" i="26" s="1"/>
  <c r="L69" i="26"/>
  <c r="A69" i="26" s="1"/>
  <c r="J194" i="5"/>
  <c r="M79" i="26"/>
  <c r="A79" i="26" s="1"/>
  <c r="M81" i="26"/>
  <c r="A81" i="26" s="1"/>
  <c r="L61" i="26"/>
  <c r="M82" i="26"/>
  <c r="A82" i="26" s="1"/>
  <c r="L87" i="26"/>
  <c r="A87" i="26" s="1"/>
  <c r="M88" i="26"/>
  <c r="A88" i="26" s="1"/>
  <c r="M53" i="26"/>
  <c r="A53" i="26" s="1"/>
  <c r="L50" i="26"/>
  <c r="M73" i="26"/>
  <c r="A73" i="26" s="1"/>
  <c r="L72" i="26"/>
  <c r="A72" i="26" s="1"/>
  <c r="L26" i="26"/>
  <c r="L33" i="26"/>
  <c r="M70" i="26"/>
  <c r="A70" i="26" s="1"/>
  <c r="L90" i="26"/>
  <c r="A90" i="26" s="1"/>
  <c r="H6" i="230"/>
  <c r="H6" i="229"/>
  <c r="J98" i="5"/>
  <c r="L98" i="5" s="1"/>
  <c r="M610" i="1"/>
  <c r="R610" i="1" s="1"/>
  <c r="J205" i="5"/>
  <c r="E130" i="231"/>
  <c r="M30" i="26"/>
  <c r="M22" i="26"/>
  <c r="M46" i="26"/>
  <c r="M56" i="26"/>
  <c r="A56" i="26" s="1"/>
  <c r="J197" i="5"/>
  <c r="M25" i="26"/>
  <c r="M27" i="26"/>
  <c r="A27" i="26" s="1"/>
  <c r="J12" i="89"/>
  <c r="I12" i="89"/>
  <c r="J196" i="5"/>
  <c r="H6" i="206"/>
  <c r="P11" i="89"/>
  <c r="D400" i="5"/>
  <c r="L19" i="26"/>
  <c r="M34" i="26"/>
  <c r="M28" i="26"/>
  <c r="J204" i="5"/>
  <c r="L204" i="5" s="1"/>
  <c r="O1311" i="248" s="1"/>
  <c r="R1311" i="248" s="1"/>
  <c r="M31" i="26"/>
  <c r="L23" i="26"/>
  <c r="J46" i="5"/>
  <c r="L46" i="5" s="1"/>
  <c r="O1543" i="248" s="1"/>
  <c r="R1543" i="248" s="1"/>
  <c r="J212" i="5"/>
  <c r="J107" i="5"/>
  <c r="L107" i="5" s="1"/>
  <c r="O1602" i="248" s="1"/>
  <c r="R1602" i="248" s="1"/>
  <c r="L18" i="26"/>
  <c r="A18" i="26" s="1"/>
  <c r="M15" i="26"/>
  <c r="Q12" i="89"/>
  <c r="P12" i="89"/>
  <c r="L12" i="89"/>
  <c r="I15" i="89"/>
  <c r="J15" i="89"/>
  <c r="O1082" i="1"/>
  <c r="O1056" i="1"/>
  <c r="M19" i="80"/>
  <c r="K1" i="192"/>
  <c r="K1" i="190"/>
  <c r="O745" i="1"/>
  <c r="O1267" i="1"/>
  <c r="O1469" i="1"/>
  <c r="O683" i="1"/>
  <c r="O1394" i="1"/>
  <c r="O713" i="1"/>
  <c r="O1211" i="1"/>
  <c r="O1446" i="1"/>
  <c r="L113" i="5"/>
  <c r="O1607" i="248" s="1"/>
  <c r="R1607" i="248" s="1"/>
  <c r="L116" i="5"/>
  <c r="O1611" i="248" s="1"/>
  <c r="R1611" i="248" s="1"/>
  <c r="L14" i="5"/>
  <c r="O1508" i="248" s="1"/>
  <c r="R1508" i="248" s="1"/>
  <c r="L67" i="5"/>
  <c r="O1552" i="248" s="1"/>
  <c r="R1552" i="248" s="1"/>
  <c r="L389" i="5"/>
  <c r="L61" i="5"/>
  <c r="O1549" i="248" s="1"/>
  <c r="R1549" i="248" s="1"/>
  <c r="L91" i="5"/>
  <c r="O1593" i="248" s="1"/>
  <c r="R1593" i="248" s="1"/>
  <c r="L109" i="5"/>
  <c r="O1604" i="248" s="1"/>
  <c r="R1604" i="248" s="1"/>
  <c r="L92" i="5"/>
  <c r="O1594" i="248" s="1"/>
  <c r="R1594" i="248" s="1"/>
  <c r="L45" i="5"/>
  <c r="O1542" i="248" s="1"/>
  <c r="R1542" i="248" s="1"/>
  <c r="L388" i="5"/>
  <c r="L38" i="5"/>
  <c r="O1538" i="248" s="1"/>
  <c r="R1538" i="248" s="1"/>
  <c r="L114" i="5"/>
  <c r="O1608" i="248" s="1"/>
  <c r="R1608" i="248" s="1"/>
  <c r="L69" i="5"/>
  <c r="L47" i="5"/>
  <c r="O1544" i="248" s="1"/>
  <c r="R1544" i="248" s="1"/>
  <c r="L390" i="5"/>
  <c r="L59" i="5"/>
  <c r="O715" i="248" s="1"/>
  <c r="R715" i="248" s="1"/>
  <c r="H10" i="187"/>
  <c r="H52" i="187"/>
  <c r="H35" i="187"/>
  <c r="H83" i="187"/>
  <c r="H69" i="187"/>
  <c r="H10" i="178"/>
  <c r="H61" i="167"/>
  <c r="H44" i="167"/>
  <c r="H6" i="168"/>
  <c r="H10" i="167"/>
  <c r="H28" i="178"/>
  <c r="H6" i="169"/>
  <c r="H81" i="167"/>
  <c r="H27" i="167"/>
  <c r="M16" i="80"/>
  <c r="R16" i="80"/>
  <c r="M18" i="80"/>
  <c r="R18" i="80"/>
  <c r="M20" i="80"/>
  <c r="F38" i="80" s="1"/>
  <c r="F57" i="80" s="1"/>
  <c r="R20" i="80"/>
  <c r="M15" i="80"/>
  <c r="R15" i="80"/>
  <c r="M41" i="26"/>
  <c r="A41" i="26" s="1"/>
  <c r="M45" i="26"/>
  <c r="A45" i="26" s="1"/>
  <c r="M42" i="26"/>
  <c r="A42" i="26" s="1"/>
  <c r="M48" i="26"/>
  <c r="L46" i="26"/>
  <c r="M49" i="26"/>
  <c r="A49" i="26" s="1"/>
  <c r="M65" i="26"/>
  <c r="L37" i="26"/>
  <c r="A37" i="26" s="1"/>
  <c r="M54" i="26"/>
  <c r="A54" i="26" s="1"/>
  <c r="M60" i="26"/>
  <c r="A60" i="26" s="1"/>
  <c r="L39" i="26"/>
  <c r="L68" i="26"/>
  <c r="A68" i="26" s="1"/>
  <c r="M57" i="26"/>
  <c r="A57" i="26" s="1"/>
  <c r="M61" i="26"/>
  <c r="M52" i="26"/>
  <c r="A52" i="26" s="1"/>
  <c r="M63" i="26"/>
  <c r="M51" i="26"/>
  <c r="A51" i="26" s="1"/>
  <c r="M38" i="26"/>
  <c r="A38" i="26" s="1"/>
  <c r="M58" i="26"/>
  <c r="A58" i="26" s="1"/>
  <c r="M55" i="26"/>
  <c r="A55" i="26" s="1"/>
  <c r="L35" i="26"/>
  <c r="A35" i="26" s="1"/>
  <c r="L40" i="26"/>
  <c r="A40" i="26" s="1"/>
  <c r="M43" i="26"/>
  <c r="A43" i="26" s="1"/>
  <c r="M64" i="26"/>
  <c r="A64" i="26" s="1"/>
  <c r="M67" i="26"/>
  <c r="A67" i="26" s="1"/>
  <c r="J381" i="5"/>
  <c r="J362" i="5"/>
  <c r="J8" i="5"/>
  <c r="L8" i="5" s="1"/>
  <c r="J216" i="5"/>
  <c r="J265" i="5"/>
  <c r="L265" i="5" s="1"/>
  <c r="M29" i="26"/>
  <c r="M23" i="26"/>
  <c r="M26" i="26"/>
  <c r="M24" i="26"/>
  <c r="A16" i="149"/>
  <c r="A15" i="149"/>
  <c r="L25" i="26"/>
  <c r="L28" i="26"/>
  <c r="M33" i="26"/>
  <c r="L32" i="26"/>
  <c r="A32" i="26" s="1"/>
  <c r="L34" i="26"/>
  <c r="L30" i="26"/>
  <c r="A20" i="149"/>
  <c r="A19" i="149"/>
  <c r="A17" i="149"/>
  <c r="J23" i="80"/>
  <c r="U19" i="80"/>
  <c r="U18" i="80"/>
  <c r="M1580" i="1"/>
  <c r="M1584" i="1"/>
  <c r="M21" i="26"/>
  <c r="M20" i="26"/>
  <c r="L16" i="26"/>
  <c r="M17" i="26"/>
  <c r="M19" i="26"/>
  <c r="J358" i="5"/>
  <c r="X13" i="89"/>
  <c r="U15" i="80"/>
  <c r="U17" i="80"/>
  <c r="K1" i="136"/>
  <c r="Q13" i="89"/>
  <c r="X14" i="89"/>
  <c r="K14" i="89"/>
  <c r="M1636" i="1"/>
  <c r="M1558" i="1"/>
  <c r="M1574" i="1"/>
  <c r="M1621" i="1"/>
  <c r="M1634" i="1"/>
  <c r="M1567" i="1"/>
  <c r="M1581" i="1"/>
  <c r="M1582" i="1"/>
  <c r="M1630" i="1"/>
  <c r="M1633" i="1"/>
  <c r="M1579" i="1"/>
  <c r="M1578" i="1"/>
  <c r="M1583" i="1"/>
  <c r="A473" i="26"/>
  <c r="A312" i="26"/>
  <c r="A322" i="26"/>
  <c r="A406" i="26"/>
  <c r="A450" i="26"/>
  <c r="A452" i="26"/>
  <c r="A454" i="26"/>
  <c r="A138" i="26"/>
  <c r="A172" i="26"/>
  <c r="A198" i="26"/>
  <c r="A270" i="26"/>
  <c r="A294" i="26"/>
  <c r="A324" i="26"/>
  <c r="A326" i="26"/>
  <c r="A330" i="26"/>
  <c r="A449" i="26"/>
  <c r="A121" i="26"/>
  <c r="A131" i="26"/>
  <c r="A213" i="26"/>
  <c r="A237" i="26"/>
  <c r="A283" i="26"/>
  <c r="A309" i="26"/>
  <c r="A317" i="26"/>
  <c r="A357" i="26"/>
  <c r="A363" i="26"/>
  <c r="A365" i="26"/>
  <c r="A369" i="26"/>
  <c r="A393" i="26"/>
  <c r="A439" i="26"/>
  <c r="A447" i="26"/>
  <c r="A463" i="26"/>
  <c r="A475" i="26"/>
  <c r="A477" i="26"/>
  <c r="A479" i="26"/>
  <c r="A367" i="26"/>
  <c r="A467" i="26"/>
  <c r="A225" i="26"/>
  <c r="A233" i="26"/>
  <c r="A371" i="26"/>
  <c r="A435" i="26"/>
  <c r="A443" i="26"/>
  <c r="A481" i="26"/>
  <c r="A71" i="26"/>
  <c r="A471" i="26"/>
  <c r="A136" i="26"/>
  <c r="A144" i="26"/>
  <c r="A170" i="26"/>
  <c r="A176" i="26"/>
  <c r="A178" i="26"/>
  <c r="A188" i="26"/>
  <c r="A190" i="26"/>
  <c r="A218" i="26"/>
  <c r="A226" i="26"/>
  <c r="A238" i="26"/>
  <c r="A246" i="26"/>
  <c r="A248" i="26"/>
  <c r="A252" i="26"/>
  <c r="A254" i="26"/>
  <c r="A256" i="26"/>
  <c r="A272" i="26"/>
  <c r="A318" i="26"/>
  <c r="A334" i="26"/>
  <c r="A244" i="26"/>
  <c r="A390" i="26"/>
  <c r="A382" i="26"/>
  <c r="A396" i="26"/>
  <c r="A101" i="26"/>
  <c r="A143" i="26"/>
  <c r="A159" i="26"/>
  <c r="A169" i="26"/>
  <c r="A181" i="26"/>
  <c r="A185" i="26"/>
  <c r="A195" i="26"/>
  <c r="A203" i="26"/>
  <c r="A207" i="26"/>
  <c r="A211" i="26"/>
  <c r="A215" i="26"/>
  <c r="A217" i="26"/>
  <c r="A221" i="26"/>
  <c r="A223" i="26"/>
  <c r="A227" i="26"/>
  <c r="A229" i="26"/>
  <c r="A231" i="26"/>
  <c r="A235" i="26"/>
  <c r="A80" i="26"/>
  <c r="A168" i="26"/>
  <c r="A250" i="26"/>
  <c r="A289" i="26"/>
  <c r="A320" i="26"/>
  <c r="A372" i="26"/>
  <c r="A166" i="26"/>
  <c r="A174" i="26"/>
  <c r="A196" i="26"/>
  <c r="A417" i="26"/>
  <c r="A374" i="26"/>
  <c r="A384" i="26"/>
  <c r="A398" i="26"/>
  <c r="A285" i="26"/>
  <c r="A291" i="26"/>
  <c r="A305" i="26"/>
  <c r="A313" i="26"/>
  <c r="A319" i="26"/>
  <c r="A329" i="26"/>
  <c r="A353" i="26"/>
  <c r="A355" i="26"/>
  <c r="A359" i="26"/>
  <c r="A422" i="26"/>
  <c r="A155" i="26"/>
  <c r="A315" i="26"/>
  <c r="A325" i="26"/>
  <c r="A98" i="26"/>
  <c r="A106" i="26"/>
  <c r="A110" i="26"/>
  <c r="A114" i="26"/>
  <c r="A118" i="26"/>
  <c r="A122" i="26"/>
  <c r="A126" i="26"/>
  <c r="A140" i="26"/>
  <c r="A154" i="26"/>
  <c r="A377" i="26"/>
  <c r="A385" i="26"/>
  <c r="A389" i="26"/>
  <c r="A391" i="26"/>
  <c r="A395" i="26"/>
  <c r="A397" i="26"/>
  <c r="A399" i="26"/>
  <c r="A403" i="26"/>
  <c r="A413" i="26"/>
  <c r="A415" i="26"/>
  <c r="A152" i="26"/>
  <c r="A205" i="26"/>
  <c r="A209" i="26"/>
  <c r="A378" i="26"/>
  <c r="A420" i="26"/>
  <c r="A432" i="26"/>
  <c r="A66" i="26"/>
  <c r="A117" i="26"/>
  <c r="A125" i="26"/>
  <c r="A147" i="26"/>
  <c r="A151" i="26"/>
  <c r="A274" i="26"/>
  <c r="A278" i="26"/>
  <c r="A282" i="26"/>
  <c r="A286" i="26"/>
  <c r="A290" i="26"/>
  <c r="A296" i="26"/>
  <c r="A298" i="26"/>
  <c r="A300" i="26"/>
  <c r="A302" i="26"/>
  <c r="A328" i="26"/>
  <c r="A346" i="26"/>
  <c r="A425" i="26"/>
  <c r="A441" i="26"/>
  <c r="A127" i="26"/>
  <c r="A161" i="26"/>
  <c r="A219" i="26"/>
  <c r="A241" i="26"/>
  <c r="A307" i="26"/>
  <c r="A335" i="26"/>
  <c r="A351" i="26"/>
  <c r="A361" i="26"/>
  <c r="A376" i="26"/>
  <c r="A380" i="26"/>
  <c r="A456" i="26"/>
  <c r="A263" i="26"/>
  <c r="A267" i="26"/>
  <c r="A331" i="26"/>
  <c r="A424" i="26"/>
  <c r="A428" i="26"/>
  <c r="A458" i="26"/>
  <c r="A466" i="26"/>
  <c r="A476" i="26"/>
  <c r="A419" i="26"/>
  <c r="A115" i="26"/>
  <c r="A119" i="26"/>
  <c r="A123" i="26"/>
  <c r="A149" i="26"/>
  <c r="A153" i="26"/>
  <c r="M17" i="80"/>
  <c r="X12" i="89"/>
  <c r="M16" i="26"/>
  <c r="A464" i="26"/>
  <c r="A468" i="26"/>
  <c r="A163" i="26"/>
  <c r="A167" i="26"/>
  <c r="A220" i="26"/>
  <c r="A236" i="26"/>
  <c r="A239" i="26"/>
  <c r="A243" i="26"/>
  <c r="A247" i="26"/>
  <c r="A251" i="26"/>
  <c r="A400" i="26"/>
  <c r="A402" i="26"/>
  <c r="A404" i="26"/>
  <c r="A408" i="26"/>
  <c r="A414" i="26"/>
  <c r="A137" i="26"/>
  <c r="A164" i="26"/>
  <c r="A242" i="26"/>
  <c r="A445" i="26"/>
  <c r="A100" i="26"/>
  <c r="A104" i="26"/>
  <c r="A108" i="26"/>
  <c r="A112" i="26"/>
  <c r="A120" i="26"/>
  <c r="A124" i="26"/>
  <c r="A128" i="26"/>
  <c r="A130" i="26"/>
  <c r="A132" i="26"/>
  <c r="A134" i="26"/>
  <c r="A142" i="26"/>
  <c r="A148" i="26"/>
  <c r="A150" i="26"/>
  <c r="A156" i="26"/>
  <c r="A162" i="26"/>
  <c r="A180" i="26"/>
  <c r="A182" i="26"/>
  <c r="A192" i="26"/>
  <c r="A194" i="26"/>
  <c r="A200" i="26"/>
  <c r="A210" i="26"/>
  <c r="A222" i="26"/>
  <c r="A240" i="26"/>
  <c r="A245" i="26"/>
  <c r="A249" i="26"/>
  <c r="A261" i="26"/>
  <c r="A337" i="26"/>
  <c r="A339" i="26"/>
  <c r="A341" i="26"/>
  <c r="A343" i="26"/>
  <c r="A347" i="26"/>
  <c r="A426" i="26"/>
  <c r="A434" i="26"/>
  <c r="A448" i="26"/>
  <c r="A103" i="26"/>
  <c r="A107" i="26"/>
  <c r="A157" i="26"/>
  <c r="A193" i="26"/>
  <c r="A276" i="26"/>
  <c r="A280" i="26"/>
  <c r="A284" i="26"/>
  <c r="A288" i="26"/>
  <c r="A348" i="26"/>
  <c r="A368" i="26"/>
  <c r="A158" i="26"/>
  <c r="A160" i="26"/>
  <c r="A165" i="26"/>
  <c r="A171" i="26"/>
  <c r="A173" i="26"/>
  <c r="A175" i="26"/>
  <c r="A177" i="26"/>
  <c r="A179" i="26"/>
  <c r="A183" i="26"/>
  <c r="A187" i="26"/>
  <c r="A189" i="26"/>
  <c r="A191" i="26"/>
  <c r="A197" i="26"/>
  <c r="A199" i="26"/>
  <c r="A201" i="26"/>
  <c r="A262" i="26"/>
  <c r="A264" i="26"/>
  <c r="A266" i="26"/>
  <c r="A268" i="26"/>
  <c r="A304" i="26"/>
  <c r="A314" i="26"/>
  <c r="A316" i="26"/>
  <c r="A321" i="26"/>
  <c r="A323" i="26"/>
  <c r="A327" i="26"/>
  <c r="A333" i="26"/>
  <c r="A345" i="26"/>
  <c r="A388" i="26"/>
  <c r="A392" i="26"/>
  <c r="A394" i="26"/>
  <c r="A410" i="26"/>
  <c r="A418" i="26"/>
  <c r="A421" i="26"/>
  <c r="A423" i="26"/>
  <c r="A427" i="26"/>
  <c r="A429" i="26"/>
  <c r="A462" i="26"/>
  <c r="A474" i="26"/>
  <c r="A482" i="26"/>
  <c r="A253" i="26"/>
  <c r="A255" i="26"/>
  <c r="A257" i="26"/>
  <c r="A259" i="26"/>
  <c r="A265" i="26"/>
  <c r="A275" i="26"/>
  <c r="A277" i="26"/>
  <c r="A279" i="26"/>
  <c r="A281" i="26"/>
  <c r="A287" i="26"/>
  <c r="A293" i="26"/>
  <c r="A297" i="26"/>
  <c r="A299" i="26"/>
  <c r="A336" i="26"/>
  <c r="A338" i="26"/>
  <c r="A340" i="26"/>
  <c r="A358" i="26"/>
  <c r="A360" i="26"/>
  <c r="A362" i="26"/>
  <c r="A364" i="26"/>
  <c r="A366" i="26"/>
  <c r="A370" i="26"/>
  <c r="A373" i="26"/>
  <c r="A375" i="26"/>
  <c r="A379" i="26"/>
  <c r="A381" i="26"/>
  <c r="A383" i="26"/>
  <c r="A387" i="26"/>
  <c r="A430" i="26"/>
  <c r="A436" i="26"/>
  <c r="A442" i="26"/>
  <c r="A444" i="26"/>
  <c r="A446" i="26"/>
  <c r="A451" i="26"/>
  <c r="A453" i="26"/>
  <c r="A455" i="26"/>
  <c r="A457" i="26"/>
  <c r="A459" i="26"/>
  <c r="A461" i="26"/>
  <c r="A469" i="26"/>
  <c r="A206" i="26"/>
  <c r="A214" i="26"/>
  <c r="A224" i="26"/>
  <c r="A232" i="26"/>
  <c r="A273" i="26"/>
  <c r="A308" i="26"/>
  <c r="A354" i="26"/>
  <c r="A416" i="26"/>
  <c r="A480" i="26"/>
  <c r="A89" i="26"/>
  <c r="A116" i="26"/>
  <c r="A146" i="26"/>
  <c r="A184" i="26"/>
  <c r="A186" i="26"/>
  <c r="A258" i="26"/>
  <c r="A260" i="26"/>
  <c r="A292" i="26"/>
  <c r="A332" i="26"/>
  <c r="A386" i="26"/>
  <c r="A460" i="26"/>
  <c r="A105" i="26"/>
  <c r="A202" i="26"/>
  <c r="A204" i="26"/>
  <c r="A208" i="26"/>
  <c r="A212" i="26"/>
  <c r="A216" i="26"/>
  <c r="A228" i="26"/>
  <c r="A230" i="26"/>
  <c r="A234" i="26"/>
  <c r="A269" i="26"/>
  <c r="A271" i="26"/>
  <c r="A306" i="26"/>
  <c r="A310" i="26"/>
  <c r="A350" i="26"/>
  <c r="A352" i="26"/>
  <c r="A356" i="26"/>
  <c r="A412" i="26"/>
  <c r="A438" i="26"/>
  <c r="A440" i="26"/>
  <c r="A470" i="26"/>
  <c r="A472" i="26"/>
  <c r="A478" i="26"/>
  <c r="A99" i="26"/>
  <c r="A109" i="26"/>
  <c r="A111" i="26"/>
  <c r="A113" i="26"/>
  <c r="A129" i="26"/>
  <c r="A133" i="26"/>
  <c r="A135" i="26"/>
  <c r="A139" i="26"/>
  <c r="A141" i="26"/>
  <c r="A145" i="26"/>
  <c r="A295" i="26"/>
  <c r="A301" i="26"/>
  <c r="A303" i="26"/>
  <c r="A311" i="26"/>
  <c r="A342" i="26"/>
  <c r="A344" i="26"/>
  <c r="A349" i="26"/>
  <c r="A401" i="26"/>
  <c r="A405" i="26"/>
  <c r="A407" i="26"/>
  <c r="A409" i="26"/>
  <c r="A411" i="26"/>
  <c r="A431" i="26"/>
  <c r="A433" i="26"/>
  <c r="A437" i="26"/>
  <c r="A465" i="26"/>
  <c r="A92" i="26"/>
  <c r="A96" i="26"/>
  <c r="A44" i="26"/>
  <c r="A77" i="26"/>
  <c r="A83" i="26"/>
  <c r="A86" i="26"/>
  <c r="A94" i="26"/>
  <c r="A97" i="26"/>
  <c r="A95" i="26"/>
  <c r="A102" i="26"/>
  <c r="A36" i="26"/>
  <c r="A74" i="26"/>
  <c r="O1602" i="1"/>
  <c r="O600" i="1"/>
  <c r="O1236" i="1"/>
  <c r="O1519" i="1"/>
  <c r="H6" i="124"/>
  <c r="O1356" i="1"/>
  <c r="O289" i="1"/>
  <c r="N1" i="5"/>
  <c r="O1420" i="1"/>
  <c r="O1317" i="1"/>
  <c r="O1165" i="1"/>
  <c r="O355" i="1"/>
  <c r="M1654" i="1"/>
  <c r="M1533" i="1"/>
  <c r="M1626" i="1"/>
  <c r="M1532" i="1"/>
  <c r="M1560" i="1"/>
  <c r="M1562" i="1"/>
  <c r="U16" i="80"/>
  <c r="U20" i="80"/>
  <c r="M1652" i="1"/>
  <c r="M1530" i="1"/>
  <c r="M1619" i="1"/>
  <c r="M1531" i="1"/>
  <c r="A93" i="26"/>
  <c r="M1548" i="1"/>
  <c r="M1534" i="1"/>
  <c r="M1546" i="1"/>
  <c r="M1651" i="1"/>
  <c r="A50" i="26" l="1"/>
  <c r="O1479" i="248"/>
  <c r="R1479" i="248" s="1"/>
  <c r="M1500" i="1"/>
  <c r="M1709" i="248"/>
  <c r="R1709" i="248" s="1"/>
  <c r="M1501" i="1"/>
  <c r="O1480" i="248"/>
  <c r="R1480" i="248" s="1"/>
  <c r="R1476" i="248"/>
  <c r="U1476" i="248"/>
  <c r="O1478" i="248"/>
  <c r="R1478" i="248" s="1"/>
  <c r="M1499" i="1"/>
  <c r="M921" i="248"/>
  <c r="O921" i="248" s="1"/>
  <c r="F76" i="80"/>
  <c r="A39" i="26"/>
  <c r="R296" i="248"/>
  <c r="R296" i="1"/>
  <c r="R501" i="248"/>
  <c r="O543" i="248"/>
  <c r="R543" i="248" s="1"/>
  <c r="M545" i="1"/>
  <c r="R545" i="1" s="1"/>
  <c r="R503" i="1"/>
  <c r="R298" i="248"/>
  <c r="R297" i="248"/>
  <c r="R293" i="248"/>
  <c r="R294" i="248"/>
  <c r="O291" i="248"/>
  <c r="S291" i="248" s="1"/>
  <c r="O303" i="248" s="1"/>
  <c r="R294" i="1"/>
  <c r="R297" i="1"/>
  <c r="R298" i="1" s="1"/>
  <c r="M291" i="1"/>
  <c r="S291" i="1" s="1"/>
  <c r="M303" i="1" s="1"/>
  <c r="R293" i="1"/>
  <c r="R440" i="248"/>
  <c r="O474" i="248"/>
  <c r="R474" i="248" s="1"/>
  <c r="R442" i="1"/>
  <c r="M476" i="1"/>
  <c r="R476" i="1" s="1"/>
  <c r="O1620" i="248"/>
  <c r="R1620" i="248" s="1"/>
  <c r="O1554" i="248"/>
  <c r="R1554" i="248" s="1"/>
  <c r="M1641" i="1"/>
  <c r="M1661" i="248"/>
  <c r="R1661" i="248" s="1"/>
  <c r="F104" i="80"/>
  <c r="S1035" i="1"/>
  <c r="R1035" i="1"/>
  <c r="R1005" i="248"/>
  <c r="S1005" i="248"/>
  <c r="S989" i="1"/>
  <c r="R989" i="1"/>
  <c r="R1014" i="248"/>
  <c r="S1014" i="248"/>
  <c r="R998" i="1"/>
  <c r="S998" i="1"/>
  <c r="M992" i="1" s="1"/>
  <c r="O1502" i="248"/>
  <c r="R1502" i="248" s="1"/>
  <c r="R1503" i="248" s="1"/>
  <c r="S968" i="248"/>
  <c r="R968" i="248"/>
  <c r="S1026" i="1"/>
  <c r="R1026" i="1"/>
  <c r="S977" i="248"/>
  <c r="O971" i="248" s="1"/>
  <c r="R977" i="248"/>
  <c r="M1708" i="248"/>
  <c r="M1707" i="248"/>
  <c r="R618" i="248"/>
  <c r="R619" i="248"/>
  <c r="R632" i="248"/>
  <c r="R631" i="248"/>
  <c r="O1610" i="248"/>
  <c r="R1610" i="248" s="1"/>
  <c r="O687" i="248"/>
  <c r="R687" i="248" s="1"/>
  <c r="O1548" i="248"/>
  <c r="R1548" i="248" s="1"/>
  <c r="O925" i="248"/>
  <c r="O728" i="248"/>
  <c r="R728" i="248" s="1"/>
  <c r="R633" i="1"/>
  <c r="R621" i="1"/>
  <c r="R620" i="1"/>
  <c r="R634" i="1"/>
  <c r="G913" i="1"/>
  <c r="I14" i="242"/>
  <c r="I326" i="242"/>
  <c r="K946" i="1"/>
  <c r="J946" i="1"/>
  <c r="M946" i="1"/>
  <c r="O950" i="1"/>
  <c r="M942" i="1"/>
  <c r="O942" i="1" s="1"/>
  <c r="O949" i="1"/>
  <c r="H946" i="1"/>
  <c r="K345" i="89"/>
  <c r="M1332" i="1"/>
  <c r="R1332" i="1" s="1"/>
  <c r="R1704" i="1"/>
  <c r="F94" i="80"/>
  <c r="F102" i="80"/>
  <c r="U325" i="242"/>
  <c r="I220" i="242"/>
  <c r="K188" i="242"/>
  <c r="K220" i="242" s="1"/>
  <c r="K13" i="242" s="1"/>
  <c r="U188" i="242"/>
  <c r="U147" i="242"/>
  <c r="K11" i="242"/>
  <c r="K328" i="242"/>
  <c r="I148" i="242"/>
  <c r="I11" i="242"/>
  <c r="I328" i="242"/>
  <c r="Y342" i="89"/>
  <c r="W198" i="89"/>
  <c r="T154" i="242" s="1"/>
  <c r="W237" i="89"/>
  <c r="Y198" i="89"/>
  <c r="Y13" i="89" s="1"/>
  <c r="W342" i="89"/>
  <c r="T227" i="242" s="1"/>
  <c r="I16" i="89"/>
  <c r="I346" i="89" s="1"/>
  <c r="K12" i="89"/>
  <c r="W164" i="89"/>
  <c r="J16" i="89"/>
  <c r="J346" i="89" s="1"/>
  <c r="I40" i="4"/>
  <c r="G33" i="240"/>
  <c r="A17" i="26"/>
  <c r="A15" i="26"/>
  <c r="M689" i="1"/>
  <c r="A20" i="26"/>
  <c r="A33" i="26"/>
  <c r="A22" i="26"/>
  <c r="A24" i="26"/>
  <c r="A21" i="26"/>
  <c r="A29" i="26"/>
  <c r="A63" i="26"/>
  <c r="A31" i="26"/>
  <c r="A65" i="26"/>
  <c r="A26" i="26"/>
  <c r="A48" i="26"/>
  <c r="A61" i="26"/>
  <c r="M611" i="1"/>
  <c r="R611" i="1" s="1"/>
  <c r="F70" i="80"/>
  <c r="F130" i="231"/>
  <c r="A30" i="26"/>
  <c r="A46" i="26"/>
  <c r="E214" i="4"/>
  <c r="A28" i="26"/>
  <c r="G20" i="168"/>
  <c r="A34" i="26"/>
  <c r="A25" i="26"/>
  <c r="A19" i="26"/>
  <c r="A23" i="26"/>
  <c r="K11" i="89"/>
  <c r="Q11" i="89"/>
  <c r="Q16" i="89" s="1"/>
  <c r="Q346" i="89" s="1"/>
  <c r="V16" i="80"/>
  <c r="V19" i="80"/>
  <c r="K15" i="89"/>
  <c r="V18" i="80"/>
  <c r="M614" i="1"/>
  <c r="M615" i="1"/>
  <c r="M1728" i="1"/>
  <c r="M1729" i="1"/>
  <c r="M717" i="1"/>
  <c r="M1730" i="1"/>
  <c r="R1730" i="1" s="1"/>
  <c r="M1573" i="1"/>
  <c r="M1529" i="1"/>
  <c r="R23" i="80"/>
  <c r="V20" i="80"/>
  <c r="M23" i="80"/>
  <c r="Z205" i="89"/>
  <c r="Z171" i="89"/>
  <c r="V15" i="80"/>
  <c r="U23" i="80"/>
  <c r="M1577" i="1"/>
  <c r="M1576" i="1"/>
  <c r="A16" i="26"/>
  <c r="V17" i="80"/>
  <c r="Z127" i="89"/>
  <c r="M1566" i="1"/>
  <c r="M1547" i="1"/>
  <c r="M1631" i="1"/>
  <c r="M718" i="1"/>
  <c r="M1618" i="1"/>
  <c r="M1635" i="1"/>
  <c r="M1627" i="1"/>
  <c r="M1572" i="1"/>
  <c r="M778" i="1"/>
  <c r="V1497" i="1" s="1"/>
  <c r="M1563" i="1"/>
  <c r="M1614" i="1"/>
  <c r="M1564" i="1"/>
  <c r="M1568" i="1"/>
  <c r="M716" i="1"/>
  <c r="M1575" i="1"/>
  <c r="Z342" i="89"/>
  <c r="M1623" i="1"/>
  <c r="M1615" i="1"/>
  <c r="M1632" i="1"/>
  <c r="M1523" i="1"/>
  <c r="S1523" i="1" s="1"/>
  <c r="M1571" i="1"/>
  <c r="M1569" i="1"/>
  <c r="M1625" i="1"/>
  <c r="M1559" i="1"/>
  <c r="M1570" i="1"/>
  <c r="M1628" i="1"/>
  <c r="M1565" i="1"/>
  <c r="M1629" i="1"/>
  <c r="V296" i="1" l="1"/>
  <c r="R549" i="1"/>
  <c r="R544" i="1"/>
  <c r="R497" i="1"/>
  <c r="R492" i="1"/>
  <c r="R501" i="1"/>
  <c r="R502" i="1"/>
  <c r="R551" i="1"/>
  <c r="R494" i="1"/>
  <c r="R498" i="1"/>
  <c r="R500" i="1"/>
  <c r="R499" i="1"/>
  <c r="R493" i="1"/>
  <c r="R548" i="1"/>
  <c r="R496" i="1"/>
  <c r="R546" i="1"/>
  <c r="R543" i="1"/>
  <c r="R495" i="1"/>
  <c r="R547" i="1"/>
  <c r="R550" i="1"/>
  <c r="R494" i="248"/>
  <c r="R496" i="248"/>
  <c r="R541" i="248"/>
  <c r="R491" i="248"/>
  <c r="R548" i="248"/>
  <c r="R546" i="248"/>
  <c r="R545" i="248"/>
  <c r="R549" i="248"/>
  <c r="R495" i="248"/>
  <c r="R490" i="248"/>
  <c r="R544" i="248"/>
  <c r="R497" i="248"/>
  <c r="R542" i="248"/>
  <c r="R492" i="248"/>
  <c r="R500" i="248"/>
  <c r="R493" i="248"/>
  <c r="R498" i="248"/>
  <c r="R547" i="248"/>
  <c r="R499" i="248"/>
  <c r="U296" i="248"/>
  <c r="R474" i="1"/>
  <c r="R475" i="1"/>
  <c r="R477" i="1"/>
  <c r="R478" i="1"/>
  <c r="R479" i="1"/>
  <c r="R441" i="1"/>
  <c r="V294" i="1"/>
  <c r="U294" i="248"/>
  <c r="R475" i="248"/>
  <c r="R472" i="248"/>
  <c r="R477" i="248"/>
  <c r="R476" i="248"/>
  <c r="R439" i="248"/>
  <c r="R473" i="248"/>
  <c r="S1502" i="248"/>
  <c r="R957" i="248"/>
  <c r="U971" i="248"/>
  <c r="R978" i="1"/>
  <c r="V992" i="1"/>
  <c r="O1705" i="248"/>
  <c r="S1705" i="248" s="1"/>
  <c r="U728" i="248"/>
  <c r="O694" i="248"/>
  <c r="R694" i="248" s="1"/>
  <c r="U14" i="242"/>
  <c r="U326" i="242"/>
  <c r="O946" i="1"/>
  <c r="K15" i="242"/>
  <c r="T325" i="242"/>
  <c r="T14" i="242" s="1"/>
  <c r="V227" i="242"/>
  <c r="W14" i="89"/>
  <c r="I95" i="5" s="1"/>
  <c r="L95" i="5" s="1"/>
  <c r="T188" i="242"/>
  <c r="U220" i="242"/>
  <c r="U328" i="242" s="1"/>
  <c r="I13" i="242"/>
  <c r="I15" i="242" s="1"/>
  <c r="I221" i="242"/>
  <c r="W13" i="89"/>
  <c r="I253" i="5" s="1"/>
  <c r="L253" i="5" s="1"/>
  <c r="J932" i="248" s="1"/>
  <c r="T181" i="242"/>
  <c r="T12" i="242" s="1"/>
  <c r="V154" i="242"/>
  <c r="I41" i="4"/>
  <c r="W345" i="89"/>
  <c r="T110" i="242"/>
  <c r="U11" i="242"/>
  <c r="U148" i="242"/>
  <c r="Z237" i="89"/>
  <c r="Z14" i="89" s="1"/>
  <c r="Z198" i="89"/>
  <c r="Z13" i="89" s="1"/>
  <c r="Z164" i="89"/>
  <c r="W12" i="89"/>
  <c r="I245" i="5" s="1"/>
  <c r="L245" i="5" s="1"/>
  <c r="H932" i="248" s="1"/>
  <c r="Y164" i="89"/>
  <c r="Y345" i="89" s="1"/>
  <c r="K16" i="89"/>
  <c r="K346" i="89" s="1"/>
  <c r="G130" i="231"/>
  <c r="O1726" i="1"/>
  <c r="S1726" i="1" s="1"/>
  <c r="J67" i="26"/>
  <c r="Y14" i="89"/>
  <c r="V23" i="80"/>
  <c r="J33" i="26"/>
  <c r="X15" i="89"/>
  <c r="P15" i="89"/>
  <c r="M696" i="1"/>
  <c r="V696" i="1" s="1"/>
  <c r="D2" i="5"/>
  <c r="M730" i="1"/>
  <c r="V730" i="1" s="1"/>
  <c r="J141" i="5" l="1"/>
  <c r="L141" i="5" s="1"/>
  <c r="M1666" i="248" s="1"/>
  <c r="R1666" i="248" s="1"/>
  <c r="J286" i="5"/>
  <c r="L286" i="5" s="1"/>
  <c r="R992" i="1"/>
  <c r="R1000" i="1"/>
  <c r="R990" i="1"/>
  <c r="R983" i="1"/>
  <c r="R994" i="1"/>
  <c r="R993" i="1"/>
  <c r="R991" i="1"/>
  <c r="R982" i="1"/>
  <c r="R981" i="1"/>
  <c r="R997" i="1"/>
  <c r="R995" i="1"/>
  <c r="R980" i="1"/>
  <c r="R999" i="1"/>
  <c r="R985" i="1"/>
  <c r="R979" i="1"/>
  <c r="R996" i="1"/>
  <c r="R987" i="1"/>
  <c r="R988" i="1"/>
  <c r="R986" i="1"/>
  <c r="R962" i="248"/>
  <c r="R978" i="248"/>
  <c r="R961" i="248"/>
  <c r="R959" i="248"/>
  <c r="R976" i="248"/>
  <c r="R973" i="248"/>
  <c r="R975" i="248"/>
  <c r="R979" i="248"/>
  <c r="R960" i="248"/>
  <c r="R966" i="248"/>
  <c r="R958" i="248"/>
  <c r="R967" i="248"/>
  <c r="R965" i="248"/>
  <c r="R972" i="248"/>
  <c r="R970" i="248"/>
  <c r="R969" i="248"/>
  <c r="R971" i="248"/>
  <c r="R974" i="248"/>
  <c r="R964" i="248"/>
  <c r="P16" i="89"/>
  <c r="P346" i="89" s="1"/>
  <c r="P16" i="242"/>
  <c r="U694" i="248"/>
  <c r="R730" i="248"/>
  <c r="R703" i="248"/>
  <c r="R726" i="248"/>
  <c r="R734" i="248"/>
  <c r="R704" i="248"/>
  <c r="R710" i="248"/>
  <c r="R733" i="248"/>
  <c r="R709" i="248"/>
  <c r="R708" i="248"/>
  <c r="R729" i="248"/>
  <c r="R711" i="248"/>
  <c r="R713" i="248"/>
  <c r="R707" i="248"/>
  <c r="R712" i="248"/>
  <c r="R732" i="248"/>
  <c r="R705" i="248"/>
  <c r="R727" i="248"/>
  <c r="R731" i="248"/>
  <c r="R706" i="248"/>
  <c r="O749" i="248"/>
  <c r="R749" i="248" s="1"/>
  <c r="I329" i="242"/>
  <c r="I16" i="242"/>
  <c r="J953" i="1"/>
  <c r="H953" i="1"/>
  <c r="I261" i="5"/>
  <c r="L261" i="5" s="1"/>
  <c r="K932" i="248" s="1"/>
  <c r="K329" i="242"/>
  <c r="I43" i="5"/>
  <c r="L43" i="5" s="1"/>
  <c r="M751" i="1"/>
  <c r="I42" i="4"/>
  <c r="D179" i="248" s="1"/>
  <c r="V325" i="242"/>
  <c r="V14" i="242" s="1"/>
  <c r="W227" i="242"/>
  <c r="W325" i="242" s="1"/>
  <c r="W14" i="242" s="1"/>
  <c r="T220" i="242"/>
  <c r="T13" i="242" s="1"/>
  <c r="V188" i="242"/>
  <c r="U13" i="242"/>
  <c r="U15" i="242" s="1"/>
  <c r="U221" i="242"/>
  <c r="V181" i="242"/>
  <c r="V12" i="242" s="1"/>
  <c r="W154" i="242"/>
  <c r="W181" i="242" s="1"/>
  <c r="W12" i="242" s="1"/>
  <c r="V110" i="242"/>
  <c r="T147" i="242"/>
  <c r="Z345" i="89"/>
  <c r="I42" i="5"/>
  <c r="L42" i="5" s="1"/>
  <c r="O747" i="248" s="1"/>
  <c r="R747" i="248" s="1"/>
  <c r="Y12" i="89"/>
  <c r="Z12" i="89"/>
  <c r="E131" i="231"/>
  <c r="J338" i="5"/>
  <c r="J395" i="5"/>
  <c r="M607" i="1"/>
  <c r="L11" i="89"/>
  <c r="X11" i="89"/>
  <c r="J211" i="5"/>
  <c r="J397" i="5"/>
  <c r="L397" i="5" s="1"/>
  <c r="J68" i="26"/>
  <c r="M1545" i="1"/>
  <c r="Z1754" i="1"/>
  <c r="Y1754" i="1"/>
  <c r="D184" i="1" l="1"/>
  <c r="D1610" i="248"/>
  <c r="D184" i="248"/>
  <c r="D67" i="1"/>
  <c r="D67" i="248"/>
  <c r="D179" i="1"/>
  <c r="M1687" i="1"/>
  <c r="R1687" i="1" s="1"/>
  <c r="O1601" i="248"/>
  <c r="R1601" i="248" s="1"/>
  <c r="M1622" i="1"/>
  <c r="M364" i="1"/>
  <c r="M1025" i="1"/>
  <c r="S1025" i="1" s="1"/>
  <c r="O1020" i="248"/>
  <c r="R955" i="248" s="1"/>
  <c r="O363" i="248"/>
  <c r="O1013" i="248"/>
  <c r="S1013" i="248" s="1"/>
  <c r="O1008" i="248" s="1"/>
  <c r="M1034" i="1"/>
  <c r="S1034" i="1" s="1"/>
  <c r="M1029" i="1" s="1"/>
  <c r="O1004" i="248"/>
  <c r="S1004" i="248" s="1"/>
  <c r="M1041" i="1"/>
  <c r="R976" i="1" s="1"/>
  <c r="X16" i="89"/>
  <c r="X346" i="89" s="1"/>
  <c r="AA11" i="89"/>
  <c r="D131" i="248"/>
  <c r="D192" i="1"/>
  <c r="D1910" i="248"/>
  <c r="D177" i="248"/>
  <c r="D2230" i="248"/>
  <c r="D173" i="248"/>
  <c r="D192" i="248"/>
  <c r="D236" i="248"/>
  <c r="D73" i="248"/>
  <c r="D686" i="248"/>
  <c r="D2070" i="248"/>
  <c r="M750" i="1"/>
  <c r="O748" i="248"/>
  <c r="R748" i="248" s="1"/>
  <c r="R693" i="248"/>
  <c r="R695" i="248"/>
  <c r="R696" i="248" s="1"/>
  <c r="R697" i="248"/>
  <c r="R692" i="248"/>
  <c r="D236" i="1"/>
  <c r="D177" i="1"/>
  <c r="D131" i="1"/>
  <c r="D173" i="1"/>
  <c r="D73" i="1"/>
  <c r="D2091" i="1"/>
  <c r="D688" i="1"/>
  <c r="D1631" i="1"/>
  <c r="D2731" i="1"/>
  <c r="D2571" i="1"/>
  <c r="D1931" i="1"/>
  <c r="D2411" i="1"/>
  <c r="D2251" i="1"/>
  <c r="L16" i="89"/>
  <c r="L346" i="89" s="1"/>
  <c r="L16" i="242"/>
  <c r="U329" i="242"/>
  <c r="U16" i="242"/>
  <c r="K953" i="1"/>
  <c r="M749" i="1"/>
  <c r="V220" i="242"/>
  <c r="V13" i="242" s="1"/>
  <c r="W188" i="242"/>
  <c r="W220" i="242" s="1"/>
  <c r="W13" i="242" s="1"/>
  <c r="T11" i="242"/>
  <c r="G242" i="4" s="1"/>
  <c r="M1680" i="248" s="1"/>
  <c r="T328" i="242"/>
  <c r="V147" i="242"/>
  <c r="W110" i="242"/>
  <c r="W147" i="242" s="1"/>
  <c r="F131" i="231"/>
  <c r="W11" i="89"/>
  <c r="Y11" i="89"/>
  <c r="R1809" i="1"/>
  <c r="R950" i="248" l="1"/>
  <c r="R952" i="248"/>
  <c r="R954" i="248"/>
  <c r="R946" i="248"/>
  <c r="R949" i="248"/>
  <c r="R945" i="248"/>
  <c r="R947" i="248"/>
  <c r="R1023" i="248"/>
  <c r="R1026" i="248"/>
  <c r="R1024" i="248"/>
  <c r="R1025" i="248"/>
  <c r="R1020" i="248"/>
  <c r="R951" i="248"/>
  <c r="R948" i="248"/>
  <c r="R1022" i="248"/>
  <c r="R1019" i="248"/>
  <c r="R1018" i="248"/>
  <c r="R953" i="248"/>
  <c r="R1021" i="248"/>
  <c r="R956" i="248"/>
  <c r="R1015" i="1"/>
  <c r="V1029" i="1"/>
  <c r="R994" i="248"/>
  <c r="U1008" i="248"/>
  <c r="R364" i="1"/>
  <c r="V364" i="1"/>
  <c r="R1046" i="1"/>
  <c r="R972" i="1"/>
  <c r="R969" i="1"/>
  <c r="R968" i="1"/>
  <c r="R1047" i="1"/>
  <c r="R1045" i="1"/>
  <c r="R971" i="1"/>
  <c r="R1041" i="1"/>
  <c r="R967" i="1"/>
  <c r="R966" i="1"/>
  <c r="R977" i="1"/>
  <c r="R1043" i="1"/>
  <c r="R970" i="1"/>
  <c r="R974" i="1"/>
  <c r="R973" i="1"/>
  <c r="R975" i="1"/>
  <c r="R1042" i="1"/>
  <c r="R1044" i="1"/>
  <c r="R1039" i="1"/>
  <c r="R1040" i="1"/>
  <c r="R363" i="248"/>
  <c r="U363" i="248"/>
  <c r="AB11" i="89"/>
  <c r="R1680" i="248"/>
  <c r="M1701" i="1"/>
  <c r="T15" i="242"/>
  <c r="T329" i="242" s="1"/>
  <c r="W11" i="242"/>
  <c r="W15" i="242" s="1"/>
  <c r="W328" i="242"/>
  <c r="V11" i="242"/>
  <c r="V15" i="242" s="1"/>
  <c r="V328" i="242"/>
  <c r="G131" i="231"/>
  <c r="I41" i="5"/>
  <c r="L41" i="5" s="1"/>
  <c r="I232" i="5"/>
  <c r="L232" i="5" s="1"/>
  <c r="R1744" i="1"/>
  <c r="Z11" i="89"/>
  <c r="AC11" i="89" s="1"/>
  <c r="R1806" i="1"/>
  <c r="R1801" i="1"/>
  <c r="R1797" i="1"/>
  <c r="R1793" i="1"/>
  <c r="R1789" i="1"/>
  <c r="R1785" i="1"/>
  <c r="R1781" i="1"/>
  <c r="R1777" i="1"/>
  <c r="R1773" i="1"/>
  <c r="R1768" i="1"/>
  <c r="R1763" i="1"/>
  <c r="R1758" i="1"/>
  <c r="R1751" i="1"/>
  <c r="R1747" i="1"/>
  <c r="R1743" i="1"/>
  <c r="R1805" i="1"/>
  <c r="R1800" i="1"/>
  <c r="R1796" i="1"/>
  <c r="R1792" i="1"/>
  <c r="R1788" i="1"/>
  <c r="R1784" i="1"/>
  <c r="R1780" i="1"/>
  <c r="R1776" i="1"/>
  <c r="R1771" i="1"/>
  <c r="R1767" i="1"/>
  <c r="R1762" i="1"/>
  <c r="R1754" i="1"/>
  <c r="R1750" i="1"/>
  <c r="R1746" i="1"/>
  <c r="R1742" i="1"/>
  <c r="R87" i="1" s="1"/>
  <c r="R1808" i="1"/>
  <c r="R1803" i="1"/>
  <c r="R1799" i="1"/>
  <c r="R1795" i="1"/>
  <c r="R1791" i="1"/>
  <c r="R1787" i="1"/>
  <c r="R1783" i="1"/>
  <c r="R1779" i="1"/>
  <c r="R1775" i="1"/>
  <c r="R1770" i="1"/>
  <c r="R1766" i="1"/>
  <c r="R1761" i="1"/>
  <c r="R1753" i="1"/>
  <c r="R1749" i="1"/>
  <c r="R1745" i="1"/>
  <c r="R1807" i="1"/>
  <c r="R1802" i="1"/>
  <c r="R1798" i="1"/>
  <c r="R1794" i="1"/>
  <c r="R1790" i="1"/>
  <c r="R1786" i="1"/>
  <c r="R1782" i="1"/>
  <c r="R1778" i="1"/>
  <c r="R1774" i="1"/>
  <c r="R1769" i="1"/>
  <c r="R1764" i="1"/>
  <c r="R1760" i="1"/>
  <c r="R1752" i="1"/>
  <c r="R1748" i="1"/>
  <c r="R984" i="248" l="1"/>
  <c r="R980" i="248"/>
  <c r="R1005" i="1"/>
  <c r="R1001" i="1"/>
  <c r="R1007" i="248"/>
  <c r="R995" i="248"/>
  <c r="R1011" i="248"/>
  <c r="R1016" i="248"/>
  <c r="R1004" i="248"/>
  <c r="R1001" i="248"/>
  <c r="R997" i="248"/>
  <c r="R1013" i="248"/>
  <c r="R1015" i="248"/>
  <c r="R1012" i="248"/>
  <c r="R1008" i="248"/>
  <c r="R996" i="248"/>
  <c r="R1010" i="248"/>
  <c r="R1017" i="248"/>
  <c r="R1002" i="248"/>
  <c r="R999" i="248"/>
  <c r="R1006" i="248"/>
  <c r="R1003" i="248"/>
  <c r="R1009" i="248"/>
  <c r="R998" i="248"/>
  <c r="R1022" i="1"/>
  <c r="R1017" i="1"/>
  <c r="R1027" i="1"/>
  <c r="R1020" i="1"/>
  <c r="R1019" i="1"/>
  <c r="R1037" i="1"/>
  <c r="R1030" i="1"/>
  <c r="R1034" i="1"/>
  <c r="R1036" i="1"/>
  <c r="R1028" i="1"/>
  <c r="R1025" i="1"/>
  <c r="R1018" i="1"/>
  <c r="R1023" i="1"/>
  <c r="R1016" i="1"/>
  <c r="R1032" i="1"/>
  <c r="R1024" i="1"/>
  <c r="R1031" i="1"/>
  <c r="R1033" i="1"/>
  <c r="R1038" i="1"/>
  <c r="R1029" i="1"/>
  <c r="O823" i="248"/>
  <c r="M825" i="1"/>
  <c r="O746" i="248"/>
  <c r="R746" i="248" s="1"/>
  <c r="O1540" i="248"/>
  <c r="R1540" i="248" s="1"/>
  <c r="R1701" i="1"/>
  <c r="M748" i="1"/>
  <c r="W329" i="242"/>
  <c r="V329" i="242"/>
  <c r="E132" i="231"/>
  <c r="F132" i="231" s="1"/>
  <c r="G132" i="231" s="1"/>
  <c r="M1561" i="1"/>
  <c r="M1555" i="1" s="1"/>
  <c r="R1002" i="1" l="1"/>
  <c r="R1004" i="1"/>
  <c r="R1003" i="1"/>
  <c r="R1014" i="1"/>
  <c r="R1012" i="1"/>
  <c r="R1006" i="1"/>
  <c r="R1008" i="1"/>
  <c r="R1007" i="1"/>
  <c r="R1013" i="1"/>
  <c r="R1010" i="1"/>
  <c r="R1009" i="1"/>
  <c r="R1011" i="1"/>
  <c r="R982" i="248"/>
  <c r="R981" i="248"/>
  <c r="R983" i="248"/>
  <c r="R993" i="248"/>
  <c r="R985" i="248"/>
  <c r="R986" i="248"/>
  <c r="R989" i="248"/>
  <c r="R991" i="248"/>
  <c r="R990" i="248"/>
  <c r="R988" i="248"/>
  <c r="R987" i="248"/>
  <c r="R992" i="248"/>
  <c r="S825" i="1"/>
  <c r="R825" i="1"/>
  <c r="R823" i="248"/>
  <c r="S823" i="248"/>
  <c r="O1534" i="248"/>
  <c r="R1534" i="248" s="1"/>
  <c r="E133" i="231"/>
  <c r="F133" i="231" s="1"/>
  <c r="G133" i="231" s="1"/>
  <c r="S1555" i="1"/>
  <c r="S1534" i="248" l="1"/>
  <c r="E134" i="231"/>
  <c r="F134" i="231" s="1"/>
  <c r="G134" i="231" s="1"/>
  <c r="R1535" i="248" l="1"/>
  <c r="R1536" i="248" s="1"/>
  <c r="R1564" i="248"/>
  <c r="E135" i="231"/>
  <c r="F135" i="231" s="1"/>
  <c r="G135" i="231" s="1"/>
  <c r="E136" i="231" l="1"/>
  <c r="F136" i="231" s="1"/>
  <c r="G136" i="231" s="1"/>
  <c r="E137" i="231" l="1"/>
  <c r="F137" i="231" s="1"/>
  <c r="G137" i="231" s="1"/>
  <c r="E138" i="231" l="1"/>
  <c r="F138" i="231" s="1"/>
  <c r="G138" i="231" s="1"/>
  <c r="E139" i="231" l="1"/>
  <c r="F139" i="231" s="1"/>
  <c r="G139" i="231" s="1"/>
  <c r="E140" i="231" l="1"/>
  <c r="F140" i="231" s="1"/>
  <c r="G140" i="231" s="1"/>
  <c r="E141" i="231" l="1"/>
  <c r="F141" i="231" s="1"/>
  <c r="G141" i="231" s="1"/>
  <c r="E142" i="231" l="1"/>
  <c r="F142" i="231" s="1"/>
  <c r="G142" i="231" s="1"/>
  <c r="E143" i="231" l="1"/>
  <c r="F143" i="231" s="1"/>
  <c r="G143" i="231" s="1"/>
  <c r="E144" i="231" l="1"/>
  <c r="F144" i="231" s="1"/>
  <c r="G144" i="231" s="1"/>
  <c r="E145" i="231" l="1"/>
  <c r="F145" i="231" s="1"/>
  <c r="G145" i="231" s="1"/>
  <c r="E146" i="231" l="1"/>
  <c r="F146" i="231" s="1"/>
  <c r="G146" i="231" s="1"/>
  <c r="E147" i="231" l="1"/>
  <c r="F147" i="231" s="1"/>
  <c r="G147" i="231" s="1"/>
  <c r="E148" i="231" l="1"/>
  <c r="F148" i="231" s="1"/>
  <c r="G148" i="231" s="1"/>
  <c r="E149" i="231" l="1"/>
  <c r="F149" i="231" s="1"/>
  <c r="G149" i="231" s="1"/>
  <c r="E150" i="231" l="1"/>
  <c r="F150" i="231" s="1"/>
  <c r="G150" i="231" s="1"/>
  <c r="E151" i="231" l="1"/>
  <c r="F151" i="231" s="1"/>
  <c r="G151" i="231" s="1"/>
  <c r="W15" i="89"/>
  <c r="W16" i="89" s="1"/>
  <c r="W346" i="89" s="1"/>
  <c r="E152" i="231" l="1"/>
  <c r="F152" i="231" s="1"/>
  <c r="G152" i="231" s="1"/>
  <c r="I269" i="5"/>
  <c r="L269" i="5" s="1"/>
  <c r="M932" i="248" s="1"/>
  <c r="I96" i="5"/>
  <c r="L96" i="5" s="1"/>
  <c r="Z15" i="89"/>
  <c r="Y15" i="89"/>
  <c r="Y16" i="89" s="1"/>
  <c r="Y346" i="89" s="1"/>
  <c r="F84" i="80" l="1"/>
  <c r="W18" i="89"/>
  <c r="O750" i="248"/>
  <c r="R750" i="248" s="1"/>
  <c r="O1596" i="248"/>
  <c r="R1596" i="248" s="1"/>
  <c r="O932" i="248"/>
  <c r="M953" i="1"/>
  <c r="M752" i="1"/>
  <c r="Z16" i="89"/>
  <c r="Z346" i="89" s="1"/>
  <c r="E153" i="231"/>
  <c r="F153" i="231" s="1"/>
  <c r="G153" i="231" s="1"/>
  <c r="M1617" i="1"/>
  <c r="M755" i="1" l="1"/>
  <c r="V755" i="1" s="1"/>
  <c r="O753" i="248"/>
  <c r="R753" i="248" s="1"/>
  <c r="O953" i="1"/>
  <c r="J18" i="26"/>
  <c r="J17" i="26"/>
  <c r="E154" i="231"/>
  <c r="F154" i="231" s="1"/>
  <c r="G154" i="231" s="1"/>
  <c r="W19" i="89"/>
  <c r="J234" i="5" l="1"/>
  <c r="L234" i="5" s="1"/>
  <c r="J129" i="5"/>
  <c r="L129" i="5" s="1"/>
  <c r="J13" i="5"/>
  <c r="L13" i="5" s="1"/>
  <c r="M1684" i="1"/>
  <c r="U753" i="248"/>
  <c r="M1663" i="248"/>
  <c r="E155" i="231"/>
  <c r="F155" i="231" s="1"/>
  <c r="G155" i="231" s="1"/>
  <c r="R18" i="89" l="1"/>
  <c r="R19" i="89" s="1"/>
  <c r="O604" i="248"/>
  <c r="R604" i="248" s="1"/>
  <c r="O811" i="248"/>
  <c r="R811" i="248" s="1"/>
  <c r="M813" i="1"/>
  <c r="R813" i="1" s="1"/>
  <c r="R1684" i="1"/>
  <c r="R1663" i="248"/>
  <c r="R744" i="248"/>
  <c r="R758" i="248"/>
  <c r="R741" i="248"/>
  <c r="R751" i="248"/>
  <c r="R756" i="248"/>
  <c r="R739" i="248"/>
  <c r="R735" i="248"/>
  <c r="R759" i="248"/>
  <c r="R743" i="248"/>
  <c r="R754" i="248"/>
  <c r="R738" i="248"/>
  <c r="R742" i="248"/>
  <c r="R737" i="248"/>
  <c r="R752" i="248"/>
  <c r="R757" i="248"/>
  <c r="R740" i="248"/>
  <c r="R736" i="248"/>
  <c r="R755" i="248"/>
  <c r="R745" i="248"/>
  <c r="E156" i="231"/>
  <c r="F156" i="231" s="1"/>
  <c r="G156" i="231" s="1"/>
  <c r="S813" i="1" l="1"/>
  <c r="S811" i="248"/>
  <c r="E157" i="231"/>
  <c r="F157" i="231" s="1"/>
  <c r="G157" i="231" s="1"/>
  <c r="J78" i="26"/>
  <c r="G484" i="26"/>
  <c r="G257" i="4" l="1"/>
  <c r="E158" i="231"/>
  <c r="F158" i="231" s="1"/>
  <c r="G158" i="231" s="1"/>
  <c r="H484" i="26"/>
  <c r="O1734" i="248" l="1"/>
  <c r="O1737" i="248" s="1"/>
  <c r="O1744" i="248" s="1"/>
  <c r="O1748" i="248" s="1"/>
  <c r="M1662" i="248" s="1"/>
  <c r="R1662" i="248" s="1"/>
  <c r="O1755" i="1"/>
  <c r="O1758" i="1" s="1"/>
  <c r="E159" i="231"/>
  <c r="F159" i="231" s="1"/>
  <c r="G159" i="231" s="1"/>
  <c r="D1744" i="248" l="1"/>
  <c r="O1765" i="1"/>
  <c r="D1765" i="1" s="1"/>
  <c r="E160" i="231"/>
  <c r="F160" i="231" s="1"/>
  <c r="G160" i="231" s="1"/>
  <c r="O1769" i="1" l="1"/>
  <c r="M1683" i="1" s="1"/>
  <c r="R1683" i="1" s="1"/>
  <c r="E161" i="231"/>
  <c r="F161" i="231" s="1"/>
  <c r="G161" i="231" s="1"/>
  <c r="E162" i="231" l="1"/>
  <c r="F162" i="231" s="1"/>
  <c r="G162" i="231" s="1"/>
  <c r="E163" i="231" l="1"/>
  <c r="F163" i="231" s="1"/>
  <c r="G163" i="231" s="1"/>
  <c r="E164" i="231" l="1"/>
  <c r="F164" i="231" s="1"/>
  <c r="G164" i="231" s="1"/>
  <c r="E165" i="231" l="1"/>
  <c r="F165" i="231" s="1"/>
  <c r="G165" i="231" s="1"/>
  <c r="E166" i="231" l="1"/>
  <c r="F166" i="231" s="1"/>
  <c r="G166" i="231" s="1"/>
  <c r="E167" i="231" l="1"/>
  <c r="F167" i="231" s="1"/>
  <c r="G167" i="231" s="1"/>
  <c r="M1544" i="1"/>
  <c r="J28" i="149"/>
  <c r="F484" i="149"/>
  <c r="F486" i="149" s="1"/>
  <c r="F9" i="149" s="1"/>
  <c r="I176" i="136" l="1"/>
  <c r="I175" i="136"/>
  <c r="I172" i="136"/>
  <c r="I173" i="136"/>
  <c r="I174" i="136"/>
  <c r="E168" i="231"/>
  <c r="F168" i="231" s="1"/>
  <c r="G168" i="231" s="1"/>
  <c r="I177" i="136"/>
  <c r="I178" i="136"/>
  <c r="G6" i="136"/>
  <c r="I6" i="136" s="1"/>
  <c r="F8" i="149"/>
  <c r="D8" i="149" s="1"/>
  <c r="O1801" i="248" l="1"/>
  <c r="S1801" i="248" s="1"/>
  <c r="O307" i="248"/>
  <c r="M307" i="1"/>
  <c r="Z307" i="1" s="1"/>
  <c r="N3" i="136"/>
  <c r="M1822" i="1"/>
  <c r="S1822" i="1" s="1"/>
  <c r="O1982" i="1"/>
  <c r="S1982" i="1" s="1"/>
  <c r="E169" i="231"/>
  <c r="F169" i="231" s="1"/>
  <c r="G169" i="231" s="1"/>
  <c r="G400" i="136"/>
  <c r="G2" i="136" s="1"/>
  <c r="S307" i="248" l="1"/>
  <c r="R307" i="248"/>
  <c r="R308" i="248" s="1"/>
  <c r="W307" i="248"/>
  <c r="D307" i="248" s="1"/>
  <c r="O1884" i="248"/>
  <c r="O1868" i="248"/>
  <c r="C1868" i="248" s="1"/>
  <c r="O1942" i="248"/>
  <c r="U307" i="248" s="1"/>
  <c r="O1937" i="248"/>
  <c r="O1925" i="248"/>
  <c r="C1925" i="248" s="1"/>
  <c r="O1819" i="248"/>
  <c r="C1819" i="248" s="1"/>
  <c r="O1833" i="248"/>
  <c r="S307" i="1"/>
  <c r="R307" i="1"/>
  <c r="R308" i="1" s="1"/>
  <c r="Y307" i="1"/>
  <c r="D307" i="1" s="1"/>
  <c r="O2000" i="1"/>
  <c r="C2000" i="1" s="1"/>
  <c r="O2049" i="1"/>
  <c r="C2049" i="1" s="1"/>
  <c r="O2106" i="1"/>
  <c r="C2106" i="1" s="1"/>
  <c r="O2065" i="1"/>
  <c r="O2014" i="1"/>
  <c r="O2118" i="1"/>
  <c r="O2123" i="1"/>
  <c r="V2123" i="1" s="1"/>
  <c r="M1889" i="1"/>
  <c r="M1958" i="1"/>
  <c r="M1905" i="1"/>
  <c r="Z1905" i="1" s="1"/>
  <c r="M1946" i="1"/>
  <c r="M1854" i="1"/>
  <c r="M1963" i="1"/>
  <c r="M1840" i="1"/>
  <c r="E170" i="231"/>
  <c r="F170" i="231" s="1"/>
  <c r="G170" i="231" s="1"/>
  <c r="R1810" i="1" l="1"/>
  <c r="R1942" i="1" s="1"/>
  <c r="V1963" i="1"/>
  <c r="C1942" i="248"/>
  <c r="R1789" i="248"/>
  <c r="C1884" i="248"/>
  <c r="U1884" i="248"/>
  <c r="C2123" i="1"/>
  <c r="R1970" i="1"/>
  <c r="Y1889" i="1"/>
  <c r="Z1889" i="1"/>
  <c r="Y1963" i="1"/>
  <c r="Z1963" i="1"/>
  <c r="Y1946" i="1"/>
  <c r="Z1946" i="1"/>
  <c r="Y1840" i="1"/>
  <c r="Z1840" i="1"/>
  <c r="C2065" i="1"/>
  <c r="V2065" i="1"/>
  <c r="Y1905" i="1"/>
  <c r="C1905" i="1" s="1"/>
  <c r="V1905" i="1"/>
  <c r="E171" i="231"/>
  <c r="F171" i="231" s="1"/>
  <c r="G171" i="231" s="1"/>
  <c r="R1912" i="1" l="1"/>
  <c r="R1850" i="1"/>
  <c r="R1921" i="248"/>
  <c r="R1829" i="248"/>
  <c r="R2102" i="1"/>
  <c r="R2010" i="1"/>
  <c r="C1946" i="1"/>
  <c r="C1889" i="1"/>
  <c r="C1963" i="1"/>
  <c r="C1840" i="1"/>
  <c r="R1873" i="248"/>
  <c r="R1857" i="248"/>
  <c r="R1899" i="248"/>
  <c r="R1905" i="248"/>
  <c r="R1926" i="248"/>
  <c r="R1810" i="248"/>
  <c r="R1846" i="248"/>
  <c r="R1856" i="248"/>
  <c r="R1866" i="248"/>
  <c r="R1930" i="248"/>
  <c r="R1902" i="248"/>
  <c r="R1877" i="248"/>
  <c r="R1947" i="248"/>
  <c r="R1812" i="248"/>
  <c r="R1862" i="248"/>
  <c r="R1791" i="248"/>
  <c r="R1908" i="248"/>
  <c r="R1919" i="248"/>
  <c r="R1943" i="248"/>
  <c r="R1925" i="248"/>
  <c r="R1847" i="248"/>
  <c r="R1920" i="248"/>
  <c r="R1853" i="248"/>
  <c r="R1891" i="248"/>
  <c r="R1884" i="248"/>
  <c r="R1854" i="248"/>
  <c r="R1882" i="248"/>
  <c r="R1945" i="248"/>
  <c r="R1867" i="248"/>
  <c r="R1942" i="248"/>
  <c r="R1864" i="248"/>
  <c r="R1915" i="248"/>
  <c r="R1914" i="248"/>
  <c r="R1910" i="248"/>
  <c r="R1941" i="248"/>
  <c r="R1932" i="248"/>
  <c r="R1861" i="248"/>
  <c r="R1940" i="248"/>
  <c r="R1860" i="248"/>
  <c r="R1909" i="248"/>
  <c r="R1907" i="248"/>
  <c r="R1842" i="248"/>
  <c r="R1796" i="248"/>
  <c r="R1840" i="248"/>
  <c r="R1872" i="248"/>
  <c r="R1792" i="248"/>
  <c r="R1946" i="248"/>
  <c r="R1870" i="248"/>
  <c r="R1948" i="248"/>
  <c r="R1800" i="248"/>
  <c r="R1903" i="248"/>
  <c r="R1878" i="248"/>
  <c r="R1798" i="248"/>
  <c r="R1797" i="248"/>
  <c r="R1794" i="248"/>
  <c r="R1875" i="248"/>
  <c r="R1801" i="248"/>
  <c r="R1802" i="248" s="1"/>
  <c r="R1799" i="248"/>
  <c r="R1939" i="248"/>
  <c r="R1900" i="248"/>
  <c r="R1839" i="248"/>
  <c r="R1871" i="248"/>
  <c r="R1841" i="248"/>
  <c r="R1895" i="248"/>
  <c r="R1790" i="248"/>
  <c r="R1894" i="248"/>
  <c r="R1835" i="248"/>
  <c r="R1906" i="248"/>
  <c r="R1838" i="248"/>
  <c r="R1868" i="248"/>
  <c r="R1850" i="248"/>
  <c r="R1911" i="248"/>
  <c r="R1927" i="248"/>
  <c r="R1924" i="248"/>
  <c r="R1845" i="248"/>
  <c r="R1916" i="248"/>
  <c r="R1851" i="248"/>
  <c r="R1887" i="248"/>
  <c r="R1880" i="248"/>
  <c r="R1825" i="248"/>
  <c r="R1863" i="248"/>
  <c r="R1917" i="248"/>
  <c r="R1843" i="248"/>
  <c r="R1912" i="248"/>
  <c r="R1849" i="248"/>
  <c r="R1883" i="248"/>
  <c r="R1885" i="248"/>
  <c r="R1869" i="248"/>
  <c r="R1933" i="248"/>
  <c r="R1896" i="248"/>
  <c r="R1844" i="248"/>
  <c r="R1886" i="248"/>
  <c r="R1793" i="248"/>
  <c r="R1944" i="248"/>
  <c r="R1858" i="248"/>
  <c r="R1813" i="248"/>
  <c r="R1826" i="248"/>
  <c r="R1879" i="248"/>
  <c r="R1913" i="248"/>
  <c r="R1893" i="248"/>
  <c r="R1874" i="248"/>
  <c r="R1881" i="248"/>
  <c r="R1809" i="248"/>
  <c r="R1898" i="248"/>
  <c r="R1805" i="248"/>
  <c r="R1811" i="248"/>
  <c r="R1808" i="248"/>
  <c r="R1855" i="248"/>
  <c r="R1931" i="248"/>
  <c r="R1892" i="248"/>
  <c r="R1828" i="248"/>
  <c r="R1904" i="248"/>
  <c r="R1827" i="248"/>
  <c r="R1859" i="248"/>
  <c r="R1848" i="248"/>
  <c r="R1897" i="248"/>
  <c r="R1876" i="248"/>
  <c r="R1890" i="248"/>
  <c r="R1824" i="248"/>
  <c r="R1901" i="248"/>
  <c r="R1815" i="248"/>
  <c r="R1852" i="248"/>
  <c r="R1814" i="248"/>
  <c r="R1821" i="248"/>
  <c r="R1923" i="248"/>
  <c r="R1803" i="248"/>
  <c r="R1804" i="248" s="1"/>
  <c r="R1918" i="248"/>
  <c r="R1795" i="248"/>
  <c r="R1864" i="1"/>
  <c r="R1892" i="1"/>
  <c r="R2052" i="1"/>
  <c r="R2051" i="1"/>
  <c r="R1986" i="1"/>
  <c r="R2114" i="1"/>
  <c r="R2021" i="1"/>
  <c r="R2112" i="1"/>
  <c r="R2028" i="1"/>
  <c r="R2098" i="1"/>
  <c r="R2089" i="1"/>
  <c r="R1989" i="1"/>
  <c r="R1992" i="1"/>
  <c r="R2084" i="1"/>
  <c r="R2043" i="1"/>
  <c r="R2094" i="1"/>
  <c r="R2044" i="1"/>
  <c r="R2037" i="1"/>
  <c r="R2033" i="1"/>
  <c r="R2045" i="1"/>
  <c r="R2081" i="1"/>
  <c r="R2092" i="1"/>
  <c r="R2083" i="1"/>
  <c r="R2082" i="1"/>
  <c r="R2008" i="1"/>
  <c r="R2075" i="1"/>
  <c r="R2065" i="1"/>
  <c r="R2056" i="1"/>
  <c r="R2049" i="1"/>
  <c r="R2063" i="1"/>
  <c r="R2047" i="1"/>
  <c r="R2050" i="1"/>
  <c r="R2129" i="1"/>
  <c r="R2007" i="1"/>
  <c r="R2095" i="1"/>
  <c r="R1991" i="1"/>
  <c r="R2022" i="1"/>
  <c r="R2042" i="1"/>
  <c r="R2086" i="1"/>
  <c r="R2040" i="1"/>
  <c r="R2073" i="1"/>
  <c r="R1990" i="1"/>
  <c r="R2038" i="1"/>
  <c r="R2074" i="1"/>
  <c r="R1976" i="1"/>
  <c r="R2125" i="1"/>
  <c r="R2060" i="1"/>
  <c r="R2066" i="1"/>
  <c r="R2123" i="1"/>
  <c r="R2058" i="1"/>
  <c r="R2023" i="1"/>
  <c r="R2091" i="1"/>
  <c r="R2108" i="1"/>
  <c r="R1993" i="1"/>
  <c r="R2077" i="1"/>
  <c r="R2100" i="1"/>
  <c r="R2101" i="1"/>
  <c r="R2027" i="1"/>
  <c r="R1984" i="1"/>
  <c r="R1985" i="1" s="1"/>
  <c r="R1981" i="1"/>
  <c r="R1971" i="1"/>
  <c r="R1978" i="1"/>
  <c r="R1972" i="1"/>
  <c r="R2057" i="1"/>
  <c r="R2067" i="1"/>
  <c r="R2124" i="1"/>
  <c r="R2062" i="1"/>
  <c r="R1996" i="1"/>
  <c r="R2019" i="1"/>
  <c r="R2034" i="1"/>
  <c r="R2005" i="1"/>
  <c r="R2088" i="1"/>
  <c r="R2035" i="1"/>
  <c r="R1995" i="1"/>
  <c r="R2080" i="1"/>
  <c r="R2076" i="1"/>
  <c r="R2087" i="1"/>
  <c r="R1994" i="1"/>
  <c r="R2030" i="1"/>
  <c r="R2026" i="1"/>
  <c r="R2078" i="1"/>
  <c r="R2016" i="1"/>
  <c r="R2068" i="1"/>
  <c r="R2071" i="1"/>
  <c r="R2036" i="1"/>
  <c r="R2111" i="1"/>
  <c r="R2002" i="1"/>
  <c r="R1974" i="1"/>
  <c r="R2053" i="1"/>
  <c r="R1975" i="1"/>
  <c r="R2061" i="1"/>
  <c r="R2106" i="1"/>
  <c r="R1979" i="1"/>
  <c r="R1977" i="1"/>
  <c r="R2126" i="1"/>
  <c r="R2121" i="1"/>
  <c r="R2127" i="1"/>
  <c r="R2054" i="1"/>
  <c r="R2107" i="1"/>
  <c r="R2104" i="1"/>
  <c r="R2025" i="1"/>
  <c r="R2113" i="1"/>
  <c r="R2006" i="1"/>
  <c r="R2085" i="1"/>
  <c r="R2093" i="1"/>
  <c r="R2090" i="1"/>
  <c r="R2020" i="1"/>
  <c r="R2096" i="1"/>
  <c r="R2039" i="1"/>
  <c r="R2105" i="1"/>
  <c r="R2122" i="1"/>
  <c r="R1980" i="1"/>
  <c r="R1973" i="1"/>
  <c r="R2064" i="1"/>
  <c r="R2048" i="1"/>
  <c r="R2097" i="1"/>
  <c r="R2029" i="1"/>
  <c r="R2120" i="1"/>
  <c r="R2032" i="1"/>
  <c r="R2072" i="1"/>
  <c r="R2099" i="1"/>
  <c r="R2031" i="1"/>
  <c r="R2079" i="1"/>
  <c r="R2024" i="1"/>
  <c r="R2009" i="1"/>
  <c r="R2041" i="1"/>
  <c r="R2128" i="1"/>
  <c r="R1982" i="1"/>
  <c r="R1983" i="1" s="1"/>
  <c r="R2055" i="1"/>
  <c r="R2059" i="1"/>
  <c r="R1889" i="1"/>
  <c r="R1813" i="1"/>
  <c r="R1964" i="1"/>
  <c r="R1966" i="1"/>
  <c r="R1925" i="1"/>
  <c r="R1831" i="1"/>
  <c r="R1842" i="1"/>
  <c r="R1844" i="1" s="1"/>
  <c r="R1941" i="1"/>
  <c r="R1905" i="1"/>
  <c r="R1812" i="1"/>
  <c r="R1913" i="1"/>
  <c r="R1930" i="1"/>
  <c r="R1961" i="1"/>
  <c r="R1927" i="1"/>
  <c r="R1938" i="1"/>
  <c r="R1904" i="1"/>
  <c r="R1887" i="1"/>
  <c r="R1963" i="1"/>
  <c r="R1907" i="1"/>
  <c r="R1960" i="1"/>
  <c r="R1948" i="1"/>
  <c r="R1949" i="1" s="1"/>
  <c r="R1950" i="1" s="1"/>
  <c r="R1882" i="1"/>
  <c r="R1895" i="1"/>
  <c r="R1929" i="1"/>
  <c r="R1900" i="1"/>
  <c r="R1860" i="1"/>
  <c r="R1922" i="1"/>
  <c r="R1846" i="1"/>
  <c r="R1884" i="1"/>
  <c r="R1928" i="1"/>
  <c r="R1829" i="1"/>
  <c r="R1951" i="1"/>
  <c r="R1968" i="1"/>
  <c r="R1847" i="1"/>
  <c r="R1923" i="1"/>
  <c r="R1814" i="1"/>
  <c r="R1873" i="1"/>
  <c r="R1918" i="1"/>
  <c r="R1824" i="1"/>
  <c r="R1825" i="1" s="1"/>
  <c r="R1832" i="1"/>
  <c r="R1935" i="1"/>
  <c r="R1888" i="1"/>
  <c r="R1896" i="1"/>
  <c r="R1916" i="1"/>
  <c r="R1867" i="1"/>
  <c r="R1939" i="1"/>
  <c r="R1818" i="1"/>
  <c r="R1822" i="1"/>
  <c r="R1823" i="1" s="1"/>
  <c r="R1821" i="1"/>
  <c r="R1919" i="1"/>
  <c r="R1890" i="1"/>
  <c r="R1894" i="1"/>
  <c r="R1811" i="1"/>
  <c r="R1924" i="1"/>
  <c r="R1856" i="1"/>
  <c r="R1857" i="1" s="1"/>
  <c r="R1858" i="1" s="1"/>
  <c r="R1965" i="1"/>
  <c r="R1967" i="1"/>
  <c r="R1936" i="1"/>
  <c r="R1932" i="1"/>
  <c r="R1901" i="1"/>
  <c r="R1921" i="1"/>
  <c r="R1902" i="1"/>
  <c r="R1878" i="1"/>
  <c r="R1891" i="1"/>
  <c r="R1911" i="1"/>
  <c r="R1926" i="1"/>
  <c r="R1834" i="1"/>
  <c r="R1946" i="1"/>
  <c r="R1897" i="1"/>
  <c r="R1819" i="1"/>
  <c r="R1872" i="1"/>
  <c r="R1880" i="1"/>
  <c r="R1920" i="1"/>
  <c r="R1944" i="1"/>
  <c r="R1934" i="1"/>
  <c r="R1933" i="1"/>
  <c r="R1940" i="1"/>
  <c r="R1861" i="1"/>
  <c r="R1863" i="1"/>
  <c r="R1848" i="1"/>
  <c r="R1893" i="1"/>
  <c r="R1906" i="1"/>
  <c r="R1871" i="1"/>
  <c r="R1879" i="1"/>
  <c r="R1899" i="1"/>
  <c r="R1931" i="1"/>
  <c r="R1826" i="1"/>
  <c r="R1837" i="1" s="1"/>
  <c r="R1876" i="1"/>
  <c r="R1859" i="1"/>
  <c r="R1915" i="1"/>
  <c r="R1830" i="1"/>
  <c r="R1883" i="1"/>
  <c r="R1865" i="1"/>
  <c r="R1845" i="1"/>
  <c r="R1820" i="1"/>
  <c r="R1862" i="1"/>
  <c r="R1945" i="1"/>
  <c r="R1914" i="1"/>
  <c r="R1908" i="1"/>
  <c r="R1909" i="1" s="1"/>
  <c r="R1910" i="1" s="1"/>
  <c r="R1870" i="1"/>
  <c r="R1937" i="1"/>
  <c r="R1866" i="1"/>
  <c r="R1917" i="1"/>
  <c r="R1954" i="1"/>
  <c r="R1817" i="1"/>
  <c r="R1836" i="1"/>
  <c r="R1898" i="1"/>
  <c r="R1877" i="1"/>
  <c r="R1869" i="1"/>
  <c r="R1849" i="1"/>
  <c r="R1903" i="1"/>
  <c r="R1885" i="1"/>
  <c r="R1881" i="1"/>
  <c r="R1969" i="1"/>
  <c r="R1953" i="1"/>
  <c r="R1816" i="1"/>
  <c r="R1952" i="1"/>
  <c r="R1874" i="1"/>
  <c r="R1962" i="1"/>
  <c r="R1815" i="1"/>
  <c r="R1835" i="1"/>
  <c r="R1875" i="1"/>
  <c r="R1947" i="1"/>
  <c r="R1833" i="1"/>
  <c r="R1868" i="1"/>
  <c r="E172" i="231"/>
  <c r="F172" i="231" s="1"/>
  <c r="G172" i="231" s="1"/>
  <c r="R1822" i="248" l="1"/>
  <c r="R1833" i="248"/>
  <c r="R1834" i="248" s="1"/>
  <c r="R1830" i="248"/>
  <c r="R1831" i="248" s="1"/>
  <c r="R1832" i="248" s="1"/>
  <c r="R1823" i="248"/>
  <c r="R1865" i="248"/>
  <c r="R1836" i="248"/>
  <c r="R1837" i="248" s="1"/>
  <c r="R1922" i="248"/>
  <c r="R1888" i="248"/>
  <c r="R1889" i="248" s="1"/>
  <c r="R1816" i="248"/>
  <c r="R1806" i="248"/>
  <c r="R1807" i="248" s="1"/>
  <c r="R1817" i="248"/>
  <c r="R1818" i="248" s="1"/>
  <c r="R1819" i="248" s="1"/>
  <c r="R1820" i="248" s="1"/>
  <c r="R1928" i="248"/>
  <c r="R1929" i="248" s="1"/>
  <c r="R1934" i="248"/>
  <c r="R1935" i="248" s="1"/>
  <c r="R1936" i="248" s="1"/>
  <c r="R1937" i="248" s="1"/>
  <c r="R1938" i="248" s="1"/>
  <c r="R1886" i="1"/>
  <c r="R1955" i="1"/>
  <c r="R1956" i="1" s="1"/>
  <c r="R1957" i="1" s="1"/>
  <c r="R1958" i="1" s="1"/>
  <c r="R1959" i="1" s="1"/>
  <c r="R2003" i="1"/>
  <c r="R2014" i="1"/>
  <c r="R2015" i="1" s="1"/>
  <c r="R2004" i="1"/>
  <c r="R2011" i="1"/>
  <c r="R2012" i="1" s="1"/>
  <c r="R2013" i="1" s="1"/>
  <c r="R2069" i="1"/>
  <c r="R2070" i="1" s="1"/>
  <c r="R2103" i="1"/>
  <c r="R2109" i="1"/>
  <c r="R2110" i="1" s="1"/>
  <c r="R2115" i="1"/>
  <c r="R2116" i="1" s="1"/>
  <c r="R2117" i="1" s="1"/>
  <c r="R2118" i="1" s="1"/>
  <c r="R2119" i="1" s="1"/>
  <c r="R2046" i="1"/>
  <c r="R2017" i="1"/>
  <c r="R2018" i="1" s="1"/>
  <c r="R1987" i="1"/>
  <c r="R1988" i="1" s="1"/>
  <c r="R1997" i="1"/>
  <c r="R1998" i="1"/>
  <c r="R1999" i="1" s="1"/>
  <c r="R2000" i="1" s="1"/>
  <c r="R2001" i="1" s="1"/>
  <c r="R1854" i="1"/>
  <c r="R1855" i="1" s="1"/>
  <c r="R1843" i="1"/>
  <c r="R1827" i="1"/>
  <c r="R1828" i="1" s="1"/>
  <c r="R1851" i="1" s="1"/>
  <c r="R1852" i="1" s="1"/>
  <c r="R1853" i="1" s="1"/>
  <c r="R1943" i="1"/>
  <c r="R1838" i="1"/>
  <c r="R1839" i="1" s="1"/>
  <c r="R1840" i="1" s="1"/>
  <c r="R1841" i="1" s="1"/>
  <c r="E173" i="231"/>
  <c r="F173" i="231" s="1"/>
  <c r="G173" i="231" s="1"/>
  <c r="E174" i="231" l="1"/>
  <c r="F174" i="231" s="1"/>
  <c r="G174" i="231" s="1"/>
  <c r="E175" i="231" l="1"/>
  <c r="F175" i="231" s="1"/>
  <c r="G175" i="231" s="1"/>
  <c r="N359" i="5"/>
  <c r="H24" i="187" s="1"/>
  <c r="H26" i="187" s="1"/>
  <c r="O1240" i="1" l="1"/>
  <c r="U1240" i="1" s="1"/>
  <c r="E176" i="231"/>
  <c r="F176" i="231" s="1"/>
  <c r="G176" i="231" s="1"/>
  <c r="I359" i="5"/>
  <c r="L359" i="5" s="1"/>
  <c r="O1219" i="248" s="1"/>
  <c r="R1219" i="248" s="1"/>
  <c r="S1219" i="248" l="1"/>
  <c r="R1220" i="248"/>
  <c r="R1221" i="248" s="1"/>
  <c r="R1222" i="248" s="1"/>
  <c r="G24" i="187"/>
  <c r="G26" i="187" s="1"/>
  <c r="E177" i="231"/>
  <c r="F177" i="231" s="1"/>
  <c r="G177" i="231" s="1"/>
  <c r="M1240" i="1"/>
  <c r="S1240" i="1" s="1"/>
  <c r="N31" i="5"/>
  <c r="E178" i="231" l="1"/>
  <c r="F178" i="231" s="1"/>
  <c r="G178" i="231" s="1"/>
  <c r="R1240" i="1"/>
  <c r="R1241" i="1" s="1"/>
  <c r="R1242" i="1" s="1"/>
  <c r="R1243" i="1" s="1"/>
  <c r="N35" i="5"/>
  <c r="E179" i="231" l="1"/>
  <c r="F179" i="231" s="1"/>
  <c r="G179" i="231" s="1"/>
  <c r="N34" i="5"/>
  <c r="N33" i="5"/>
  <c r="E180" i="231" l="1"/>
  <c r="F180" i="231" s="1"/>
  <c r="G180" i="231" s="1"/>
  <c r="E181" i="231" l="1"/>
  <c r="F181" i="231" s="1"/>
  <c r="G181" i="231" s="1"/>
  <c r="E182" i="231" l="1"/>
  <c r="F182" i="231" s="1"/>
  <c r="G182" i="231" s="1"/>
  <c r="E183" i="231" l="1"/>
  <c r="F183" i="231" s="1"/>
  <c r="G183" i="231" s="1"/>
  <c r="O1640" i="1"/>
  <c r="O1639" i="1"/>
  <c r="N122" i="5"/>
  <c r="O1638" i="1" s="1"/>
  <c r="N121" i="5"/>
  <c r="O1637" i="1" s="1"/>
  <c r="R1616" i="1" l="1"/>
  <c r="E184" i="231"/>
  <c r="F184" i="231" s="1"/>
  <c r="G184" i="231" s="1"/>
  <c r="O1641" i="1"/>
  <c r="N197" i="5"/>
  <c r="O1325" i="1" s="1"/>
  <c r="N205" i="5"/>
  <c r="O1333" i="1" s="1"/>
  <c r="N198" i="5"/>
  <c r="O1326" i="1" s="1"/>
  <c r="N202" i="5"/>
  <c r="O1330" i="1" s="1"/>
  <c r="E185" i="231" l="1"/>
  <c r="F185" i="231" s="1"/>
  <c r="G185" i="231" s="1"/>
  <c r="H14" i="168"/>
  <c r="H21" i="168"/>
  <c r="H13" i="168"/>
  <c r="H18" i="168"/>
  <c r="I202" i="5"/>
  <c r="N208" i="5"/>
  <c r="N199" i="5"/>
  <c r="O1327" i="1" s="1"/>
  <c r="I198" i="5"/>
  <c r="I205" i="5"/>
  <c r="I197" i="5"/>
  <c r="L197" i="5" s="1"/>
  <c r="O1304" i="248" s="1"/>
  <c r="R1304" i="248" s="1"/>
  <c r="N207" i="5"/>
  <c r="H26" i="168" s="1"/>
  <c r="N217" i="5"/>
  <c r="N215" i="5"/>
  <c r="N214" i="5"/>
  <c r="O1338" i="1" l="1"/>
  <c r="U1338" i="1" s="1"/>
  <c r="I207" i="5"/>
  <c r="L207" i="5" s="1"/>
  <c r="O1317" i="248" s="1"/>
  <c r="R1317" i="248" s="1"/>
  <c r="M1325" i="1"/>
  <c r="R1325" i="1" s="1"/>
  <c r="E186" i="231"/>
  <c r="F186" i="231" s="1"/>
  <c r="G186" i="231" s="1"/>
  <c r="H15" i="168"/>
  <c r="G13" i="168"/>
  <c r="O1367" i="1"/>
  <c r="H16" i="169"/>
  <c r="O1364" i="1"/>
  <c r="H13" i="169"/>
  <c r="O1365" i="1"/>
  <c r="H14" i="169"/>
  <c r="I217" i="5"/>
  <c r="L217" i="5" s="1"/>
  <c r="O1346" i="248" s="1"/>
  <c r="R1346" i="248" s="1"/>
  <c r="N200" i="5"/>
  <c r="O1328" i="1" s="1"/>
  <c r="I215" i="5"/>
  <c r="L215" i="5" s="1"/>
  <c r="O1344" i="248" s="1"/>
  <c r="R1344" i="248" s="1"/>
  <c r="I208" i="5"/>
  <c r="L208" i="5" s="1"/>
  <c r="N206" i="5"/>
  <c r="O1334" i="1" s="1"/>
  <c r="E179" i="4"/>
  <c r="I199" i="5"/>
  <c r="L199" i="5" s="1"/>
  <c r="O1306" i="248" s="1"/>
  <c r="R1306" i="248" s="1"/>
  <c r="I214" i="5"/>
  <c r="L214" i="5" s="1"/>
  <c r="O1343" i="248" s="1"/>
  <c r="R1343" i="248" s="1"/>
  <c r="N201" i="5"/>
  <c r="O1329" i="1" s="1"/>
  <c r="S1317" i="248" l="1"/>
  <c r="G26" i="168"/>
  <c r="M1327" i="1"/>
  <c r="R1327" i="1" s="1"/>
  <c r="M1338" i="1"/>
  <c r="R1338" i="1" s="1"/>
  <c r="H22" i="168"/>
  <c r="E187" i="231"/>
  <c r="F187" i="231" s="1"/>
  <c r="G187" i="231" s="1"/>
  <c r="H17" i="168"/>
  <c r="G15" i="168"/>
  <c r="H16" i="168"/>
  <c r="M1364" i="1"/>
  <c r="R1364" i="1" s="1"/>
  <c r="G13" i="169"/>
  <c r="M1365" i="1"/>
  <c r="R1365" i="1" s="1"/>
  <c r="G14" i="169"/>
  <c r="M1367" i="1"/>
  <c r="R1367" i="1" s="1"/>
  <c r="G16" i="169"/>
  <c r="I206" i="5"/>
  <c r="L206" i="5" s="1"/>
  <c r="O1313" i="248" s="1"/>
  <c r="R1313" i="248" s="1"/>
  <c r="I201" i="5"/>
  <c r="I200" i="5"/>
  <c r="E189" i="4"/>
  <c r="R1316" i="248" l="1"/>
  <c r="R1314" i="248"/>
  <c r="R1315" i="248"/>
  <c r="M1334" i="1"/>
  <c r="R1334" i="1" s="1"/>
  <c r="R1335" i="1"/>
  <c r="R1336" i="1"/>
  <c r="R1337" i="1"/>
  <c r="E188" i="231"/>
  <c r="F188" i="231" s="1"/>
  <c r="G188" i="231" s="1"/>
  <c r="G22" i="168"/>
  <c r="S1338" i="1"/>
  <c r="E224" i="4"/>
  <c r="N184" i="5"/>
  <c r="N182" i="5"/>
  <c r="I182" i="5" s="1"/>
  <c r="L182" i="5" s="1"/>
  <c r="N78" i="5"/>
  <c r="O1584" i="1" s="1"/>
  <c r="R1584" i="1" s="1"/>
  <c r="N77" i="5"/>
  <c r="O1583" i="1" s="1"/>
  <c r="R1583" i="1" s="1"/>
  <c r="N76" i="5"/>
  <c r="O1582" i="1" s="1"/>
  <c r="R1582" i="1" s="1"/>
  <c r="N75" i="5"/>
  <c r="O1581" i="1" s="1"/>
  <c r="R1581" i="1" s="1"/>
  <c r="N98" i="5"/>
  <c r="N99" i="5"/>
  <c r="N15" i="5"/>
  <c r="O1530" i="1" s="1"/>
  <c r="R1530" i="1" s="1"/>
  <c r="N26" i="5"/>
  <c r="N27" i="5"/>
  <c r="N72" i="5"/>
  <c r="N73" i="5"/>
  <c r="N74" i="5"/>
  <c r="O1580" i="1" s="1"/>
  <c r="R1580" i="1" s="1"/>
  <c r="N117" i="5"/>
  <c r="N118" i="5"/>
  <c r="O1634" i="1" s="1"/>
  <c r="N119" i="5"/>
  <c r="O1635" i="1" s="1"/>
  <c r="N100" i="5"/>
  <c r="N101" i="5"/>
  <c r="N16" i="5"/>
  <c r="O1531" i="1" s="1"/>
  <c r="R1531" i="1" s="1"/>
  <c r="N17" i="5"/>
  <c r="O1532" i="1" s="1"/>
  <c r="R1532" i="1" s="1"/>
  <c r="N396" i="5"/>
  <c r="N394" i="5"/>
  <c r="N387" i="5"/>
  <c r="O1498" i="1" s="1"/>
  <c r="R1498" i="1" s="1"/>
  <c r="N386" i="5"/>
  <c r="O1497" i="1" s="1"/>
  <c r="N383" i="5"/>
  <c r="N376" i="5"/>
  <c r="N364" i="5"/>
  <c r="N297" i="5"/>
  <c r="N291" i="5"/>
  <c r="N290" i="5"/>
  <c r="N271" i="5"/>
  <c r="N267" i="5"/>
  <c r="N263" i="5"/>
  <c r="N259" i="5"/>
  <c r="N255" i="5"/>
  <c r="N251" i="5"/>
  <c r="N247" i="5"/>
  <c r="N243" i="5"/>
  <c r="N178" i="5"/>
  <c r="N177" i="5"/>
  <c r="N176" i="5"/>
  <c r="N120" i="5"/>
  <c r="O1636" i="1" s="1"/>
  <c r="N115" i="5"/>
  <c r="O1630" i="1" s="1"/>
  <c r="N112" i="5"/>
  <c r="N111" i="5"/>
  <c r="N110" i="5"/>
  <c r="O1626" i="1" s="1"/>
  <c r="N108" i="5"/>
  <c r="N106" i="5"/>
  <c r="O1621" i="1" s="1"/>
  <c r="N105" i="5"/>
  <c r="O1620" i="1" s="1"/>
  <c r="N104" i="5"/>
  <c r="N103" i="5"/>
  <c r="O1618" i="1" s="1"/>
  <c r="N102" i="5"/>
  <c r="N94" i="5"/>
  <c r="N90" i="5"/>
  <c r="O1612" i="1" s="1"/>
  <c r="N88" i="5"/>
  <c r="O1610" i="1" s="1"/>
  <c r="N87" i="5"/>
  <c r="N86" i="5"/>
  <c r="N83" i="5"/>
  <c r="N82" i="5"/>
  <c r="N80" i="5"/>
  <c r="N68" i="5"/>
  <c r="N66" i="5"/>
  <c r="N64" i="5"/>
  <c r="N63" i="5"/>
  <c r="N60" i="5"/>
  <c r="O718" i="1" s="1"/>
  <c r="R718" i="1" s="1"/>
  <c r="N57" i="5"/>
  <c r="N56" i="5"/>
  <c r="N55" i="5"/>
  <c r="N54" i="5"/>
  <c r="N53" i="5"/>
  <c r="N51" i="5"/>
  <c r="N50" i="5"/>
  <c r="O1567" i="1" s="1"/>
  <c r="R1567" i="1" s="1"/>
  <c r="N49" i="5"/>
  <c r="N48" i="5"/>
  <c r="N44" i="5"/>
  <c r="O1562" i="1" s="1"/>
  <c r="R1562" i="1" s="1"/>
  <c r="N39" i="5"/>
  <c r="O1560" i="1" s="1"/>
  <c r="R1560" i="1" s="1"/>
  <c r="N37" i="5"/>
  <c r="H19" i="240" s="1"/>
  <c r="N29" i="5"/>
  <c r="N28" i="5"/>
  <c r="N22" i="5"/>
  <c r="N21" i="5"/>
  <c r="N20" i="5"/>
  <c r="N19" i="5"/>
  <c r="O1534" i="1" s="1"/>
  <c r="R1534" i="1" s="1"/>
  <c r="N18" i="5"/>
  <c r="O1533" i="1" s="1"/>
  <c r="R1533" i="1" s="1"/>
  <c r="N12" i="5"/>
  <c r="N11" i="5"/>
  <c r="N10" i="5"/>
  <c r="N7" i="5"/>
  <c r="R1497" i="1" l="1"/>
  <c r="D698" i="248"/>
  <c r="R698" i="248" s="1"/>
  <c r="D700" i="1"/>
  <c r="R1640" i="1"/>
  <c r="R1612" i="1"/>
  <c r="R1636" i="1"/>
  <c r="I184" i="5"/>
  <c r="L184" i="5" s="1"/>
  <c r="O778" i="1"/>
  <c r="R778" i="1" s="1"/>
  <c r="O689" i="1"/>
  <c r="O690" i="1"/>
  <c r="R690" i="1" s="1"/>
  <c r="O692" i="1"/>
  <c r="R692" i="1" s="1"/>
  <c r="O693" i="1"/>
  <c r="R693" i="1" s="1"/>
  <c r="O691" i="1"/>
  <c r="R691" i="1" s="1"/>
  <c r="O414" i="1"/>
  <c r="X414" i="1" s="1"/>
  <c r="I376" i="5"/>
  <c r="L376" i="5" s="1"/>
  <c r="O413" i="248" s="1"/>
  <c r="E189" i="231"/>
  <c r="F189" i="231" s="1"/>
  <c r="G189" i="231" s="1"/>
  <c r="O1619" i="1"/>
  <c r="R1620" i="1" s="1"/>
  <c r="O1574" i="1"/>
  <c r="R1574" i="1" s="1"/>
  <c r="O1633" i="1"/>
  <c r="O1558" i="1"/>
  <c r="R1558" i="1" s="1"/>
  <c r="O1579" i="1"/>
  <c r="R1579" i="1" s="1"/>
  <c r="O1578" i="1"/>
  <c r="R1578" i="1" s="1"/>
  <c r="N9" i="5"/>
  <c r="N24" i="5"/>
  <c r="N241" i="5"/>
  <c r="H920" i="1" s="1"/>
  <c r="N249" i="5"/>
  <c r="J920" i="1" s="1"/>
  <c r="N257" i="5"/>
  <c r="K920" i="1" s="1"/>
  <c r="N58" i="5"/>
  <c r="O1547" i="1"/>
  <c r="R1547" i="1" s="1"/>
  <c r="N85" i="5"/>
  <c r="O1611" i="1" s="1"/>
  <c r="R1611" i="1" s="1"/>
  <c r="N172" i="5"/>
  <c r="N242" i="5"/>
  <c r="H927" i="1" s="1"/>
  <c r="N250" i="5"/>
  <c r="J927" i="1" s="1"/>
  <c r="N258" i="5"/>
  <c r="K927" i="1" s="1"/>
  <c r="N352" i="5"/>
  <c r="O1546" i="1"/>
  <c r="R1546" i="1" s="1"/>
  <c r="O1631" i="1"/>
  <c r="R1631" i="1" s="1"/>
  <c r="O1548" i="1"/>
  <c r="R1548" i="1" s="1"/>
  <c r="O1652" i="1"/>
  <c r="R1652" i="1" s="1"/>
  <c r="N107" i="5"/>
  <c r="O1627" i="1"/>
  <c r="O616" i="1"/>
  <c r="N226" i="5"/>
  <c r="N239" i="5"/>
  <c r="N262" i="5"/>
  <c r="K928" i="1" s="1"/>
  <c r="N336" i="5"/>
  <c r="N357" i="5"/>
  <c r="N372" i="5"/>
  <c r="N377" i="5"/>
  <c r="N71" i="5"/>
  <c r="O1545" i="1"/>
  <c r="R1545" i="1" s="1"/>
  <c r="N52" i="5"/>
  <c r="N62" i="5"/>
  <c r="N81" i="5"/>
  <c r="N97" i="5"/>
  <c r="N191" i="5"/>
  <c r="N325" i="5"/>
  <c r="O1654" i="1"/>
  <c r="R1654" i="1" s="1"/>
  <c r="O1651" i="1"/>
  <c r="N246" i="5"/>
  <c r="H928" i="1" s="1"/>
  <c r="N254" i="5"/>
  <c r="J928" i="1" s="1"/>
  <c r="N36" i="5"/>
  <c r="N40" i="5"/>
  <c r="N65" i="5"/>
  <c r="N79" i="5"/>
  <c r="N84" i="5"/>
  <c r="N266" i="5"/>
  <c r="M927" i="1" s="1"/>
  <c r="N270" i="5"/>
  <c r="M928" i="1" s="1"/>
  <c r="N70" i="5"/>
  <c r="N25" i="5"/>
  <c r="N370" i="5"/>
  <c r="N391" i="5"/>
  <c r="N389" i="5"/>
  <c r="O1500" i="1" s="1"/>
  <c r="R1500" i="1" s="1"/>
  <c r="O615" i="1"/>
  <c r="R615" i="1" s="1"/>
  <c r="N388" i="5"/>
  <c r="O1499" i="1" s="1"/>
  <c r="R1499" i="1" s="1"/>
  <c r="N369" i="5"/>
  <c r="N390" i="5"/>
  <c r="O1501" i="1" s="1"/>
  <c r="R1501" i="1" s="1"/>
  <c r="N363" i="5"/>
  <c r="N374" i="5"/>
  <c r="N382" i="5"/>
  <c r="N397" i="5"/>
  <c r="N23" i="5"/>
  <c r="O1535" i="1" s="1"/>
  <c r="N213" i="5"/>
  <c r="N330" i="5"/>
  <c r="N332" i="5"/>
  <c r="H15" i="229" s="1"/>
  <c r="N212" i="5"/>
  <c r="N343" i="5"/>
  <c r="H26" i="229" s="1"/>
  <c r="N219" i="5"/>
  <c r="N179" i="5"/>
  <c r="N221" i="5"/>
  <c r="N211" i="5"/>
  <c r="N355" i="5"/>
  <c r="N335" i="5"/>
  <c r="N354" i="5"/>
  <c r="N296" i="5"/>
  <c r="N346" i="5"/>
  <c r="H29" i="229" s="1"/>
  <c r="N379" i="5"/>
  <c r="N268" i="5"/>
  <c r="M917" i="1" s="1"/>
  <c r="N225" i="5"/>
  <c r="N368" i="5"/>
  <c r="N224" i="5"/>
  <c r="N220" i="5"/>
  <c r="N240" i="5"/>
  <c r="H916" i="1" s="1"/>
  <c r="N248" i="5"/>
  <c r="J916" i="1" s="1"/>
  <c r="N294" i="5"/>
  <c r="N344" i="5"/>
  <c r="H27" i="229" s="1"/>
  <c r="N375" i="5"/>
  <c r="N222" i="5"/>
  <c r="N223" i="5"/>
  <c r="N299" i="5"/>
  <c r="N292" i="5"/>
  <c r="N300" i="5"/>
  <c r="N301" i="5"/>
  <c r="N252" i="5"/>
  <c r="J917" i="1" s="1"/>
  <c r="N244" i="5"/>
  <c r="H917" i="1" s="1"/>
  <c r="N183" i="5"/>
  <c r="N260" i="5"/>
  <c r="K917" i="1" s="1"/>
  <c r="N295" i="5"/>
  <c r="N256" i="5"/>
  <c r="K916" i="1" s="1"/>
  <c r="N327" i="5"/>
  <c r="H10" i="229" s="1"/>
  <c r="N334" i="5"/>
  <c r="N195" i="5"/>
  <c r="N293" i="5"/>
  <c r="N264" i="5"/>
  <c r="M916" i="1" s="1"/>
  <c r="N367" i="5"/>
  <c r="N378" i="5"/>
  <c r="N392" i="5"/>
  <c r="X1497" i="1" l="1"/>
  <c r="M913" i="1"/>
  <c r="O917" i="1"/>
  <c r="O1187" i="1"/>
  <c r="H18" i="229"/>
  <c r="H913" i="1"/>
  <c r="O916" i="1"/>
  <c r="O1174" i="1"/>
  <c r="H13" i="229"/>
  <c r="O1186" i="1"/>
  <c r="H17" i="229"/>
  <c r="R413" i="248"/>
  <c r="U413" i="248"/>
  <c r="R1619" i="1"/>
  <c r="R1637" i="1"/>
  <c r="R1618" i="1"/>
  <c r="R1641" i="1"/>
  <c r="R1621" i="1"/>
  <c r="O928" i="1"/>
  <c r="I183" i="5"/>
  <c r="L183" i="5" s="1"/>
  <c r="K924" i="1"/>
  <c r="J924" i="1"/>
  <c r="O927" i="1"/>
  <c r="H924" i="1"/>
  <c r="H938" i="1"/>
  <c r="H960" i="1" s="1"/>
  <c r="K913" i="1"/>
  <c r="K938" i="1"/>
  <c r="K960" i="1" s="1"/>
  <c r="J938" i="1"/>
  <c r="J960" i="1" s="1"/>
  <c r="J913" i="1"/>
  <c r="M924" i="1"/>
  <c r="O1191" i="1"/>
  <c r="O1624" i="1"/>
  <c r="H17" i="178"/>
  <c r="O1275" i="1"/>
  <c r="O1189" i="1"/>
  <c r="O1188" i="1"/>
  <c r="O1192" i="1"/>
  <c r="H16" i="178"/>
  <c r="O1274" i="1"/>
  <c r="H15" i="178"/>
  <c r="O1273" i="1"/>
  <c r="H14" i="178"/>
  <c r="O1272" i="1"/>
  <c r="O1171" i="1"/>
  <c r="O1323" i="1"/>
  <c r="M414" i="1"/>
  <c r="O1184" i="1"/>
  <c r="E190" i="231"/>
  <c r="F190" i="231" s="1"/>
  <c r="G190" i="231" s="1"/>
  <c r="H11" i="168"/>
  <c r="O1372" i="1"/>
  <c r="H21" i="169"/>
  <c r="O1369" i="1"/>
  <c r="H18" i="169"/>
  <c r="O1370" i="1"/>
  <c r="H19" i="169"/>
  <c r="O1375" i="1"/>
  <c r="H24" i="169"/>
  <c r="O1373" i="1"/>
  <c r="H22" i="169"/>
  <c r="O1361" i="1"/>
  <c r="H10" i="169"/>
  <c r="O1374" i="1"/>
  <c r="H23" i="169"/>
  <c r="O1371" i="1"/>
  <c r="H20" i="169"/>
  <c r="O1362" i="1"/>
  <c r="H11" i="169"/>
  <c r="O1363" i="1"/>
  <c r="H12" i="169"/>
  <c r="O1566" i="1"/>
  <c r="R1566" i="1" s="1"/>
  <c r="I370" i="5"/>
  <c r="L370" i="5" s="1"/>
  <c r="O1428" i="1"/>
  <c r="I369" i="5"/>
  <c r="L369" i="5" s="1"/>
  <c r="O1427" i="1"/>
  <c r="O1571" i="1"/>
  <c r="R1571" i="1" s="1"/>
  <c r="O1577" i="1"/>
  <c r="R1577" i="1" s="1"/>
  <c r="O1623" i="1"/>
  <c r="R1623" i="1" s="1"/>
  <c r="O1568" i="1"/>
  <c r="R1568" i="1" s="1"/>
  <c r="O1576" i="1"/>
  <c r="R1576" i="1" s="1"/>
  <c r="O1572" i="1"/>
  <c r="R1572" i="1" s="1"/>
  <c r="R700" i="1"/>
  <c r="O1090" i="1"/>
  <c r="I300" i="5"/>
  <c r="L300" i="5" s="1"/>
  <c r="O1069" i="248" s="1"/>
  <c r="R1069" i="248" s="1"/>
  <c r="I296" i="5"/>
  <c r="L296" i="5" s="1"/>
  <c r="O1042" i="248" s="1"/>
  <c r="R1042" i="248" s="1"/>
  <c r="O1063" i="1"/>
  <c r="I221" i="5"/>
  <c r="L221" i="5" s="1"/>
  <c r="O1350" i="248" s="1"/>
  <c r="R1350" i="248" s="1"/>
  <c r="I219" i="5"/>
  <c r="L219" i="5" s="1"/>
  <c r="O1348" i="248" s="1"/>
  <c r="R1348" i="248" s="1"/>
  <c r="N265" i="5"/>
  <c r="M920" i="1" s="1"/>
  <c r="O920" i="1" s="1"/>
  <c r="N47" i="5"/>
  <c r="H33" i="240" s="1"/>
  <c r="N114" i="5"/>
  <c r="N113" i="5"/>
  <c r="O1091" i="1"/>
  <c r="I301" i="5"/>
  <c r="L301" i="5" s="1"/>
  <c r="O1070" i="248" s="1"/>
  <c r="R1070" i="248" s="1"/>
  <c r="N180" i="5"/>
  <c r="I294" i="5"/>
  <c r="L294" i="5" s="1"/>
  <c r="O1040" i="248" s="1"/>
  <c r="R1040" i="248" s="1"/>
  <c r="O1061" i="1"/>
  <c r="O1426" i="1"/>
  <c r="I368" i="5"/>
  <c r="L368" i="5" s="1"/>
  <c r="I335" i="5"/>
  <c r="L335" i="5" s="1"/>
  <c r="I343" i="5"/>
  <c r="L343" i="5" s="1"/>
  <c r="I212" i="5"/>
  <c r="L212" i="5" s="1"/>
  <c r="O1341" i="248" s="1"/>
  <c r="R1341" i="248" s="1"/>
  <c r="N38" i="5"/>
  <c r="N109" i="5"/>
  <c r="I391" i="5"/>
  <c r="L391" i="5" s="1"/>
  <c r="O1472" i="1"/>
  <c r="H20" i="167"/>
  <c r="I378" i="5"/>
  <c r="L378" i="5" s="1"/>
  <c r="O1397" i="1"/>
  <c r="I195" i="5"/>
  <c r="L195" i="5" s="1"/>
  <c r="O1302" i="248" s="1"/>
  <c r="R1302" i="248" s="1"/>
  <c r="I256" i="5"/>
  <c r="L256" i="5" s="1"/>
  <c r="K917" i="248" s="1"/>
  <c r="I222" i="5"/>
  <c r="L222" i="5" s="1"/>
  <c r="O1351" i="248" s="1"/>
  <c r="R1351" i="248" s="1"/>
  <c r="I220" i="5"/>
  <c r="L220" i="5" s="1"/>
  <c r="O1349" i="248" s="1"/>
  <c r="R1349" i="248" s="1"/>
  <c r="M1192" i="1"/>
  <c r="I213" i="5"/>
  <c r="L213" i="5" s="1"/>
  <c r="O1342" i="248" s="1"/>
  <c r="R1342" i="248" s="1"/>
  <c r="N373" i="5"/>
  <c r="O1060" i="1"/>
  <c r="I293" i="5"/>
  <c r="L293" i="5" s="1"/>
  <c r="O1039" i="248" s="1"/>
  <c r="R1039" i="248" s="1"/>
  <c r="I299" i="5"/>
  <c r="L299" i="5" s="1"/>
  <c r="O1068" i="248" s="1"/>
  <c r="R1068" i="248" s="1"/>
  <c r="O1089" i="1"/>
  <c r="I223" i="5"/>
  <c r="L223" i="5" s="1"/>
  <c r="O1352" i="248" s="1"/>
  <c r="R1352" i="248" s="1"/>
  <c r="I344" i="5"/>
  <c r="L344" i="5" s="1"/>
  <c r="I346" i="5"/>
  <c r="L346" i="5" s="1"/>
  <c r="N365" i="5"/>
  <c r="I211" i="5"/>
  <c r="L211" i="5" s="1"/>
  <c r="O1340" i="248" s="1"/>
  <c r="R1340" i="248" s="1"/>
  <c r="I332" i="5"/>
  <c r="L332" i="5" s="1"/>
  <c r="I330" i="5"/>
  <c r="N59" i="5"/>
  <c r="N45" i="5"/>
  <c r="N61" i="5"/>
  <c r="N67" i="5"/>
  <c r="O1573" i="1" s="1"/>
  <c r="R1573" i="1" s="1"/>
  <c r="N116" i="5"/>
  <c r="O1544" i="1"/>
  <c r="O1541" i="1" s="1"/>
  <c r="I367" i="5"/>
  <c r="L367" i="5" s="1"/>
  <c r="O1425" i="1"/>
  <c r="I224" i="5"/>
  <c r="L224" i="5" s="1"/>
  <c r="O1353" i="248" s="1"/>
  <c r="R1353" i="248" s="1"/>
  <c r="N46" i="5"/>
  <c r="R1651" i="1"/>
  <c r="I327" i="5"/>
  <c r="L327" i="5" s="1"/>
  <c r="I295" i="5"/>
  <c r="L295" i="5" s="1"/>
  <c r="O1041" i="248" s="1"/>
  <c r="R1041" i="248" s="1"/>
  <c r="O1062" i="1"/>
  <c r="O365" i="1"/>
  <c r="O1059" i="1"/>
  <c r="I292" i="5"/>
  <c r="L292" i="5" s="1"/>
  <c r="N353" i="5"/>
  <c r="I240" i="5"/>
  <c r="L240" i="5" s="1"/>
  <c r="H917" i="248" s="1"/>
  <c r="N371" i="5"/>
  <c r="O1398" i="1"/>
  <c r="I379" i="5"/>
  <c r="L379" i="5" s="1"/>
  <c r="O1377" i="248" s="1"/>
  <c r="R1377" i="248" s="1"/>
  <c r="H37" i="167"/>
  <c r="H91" i="167"/>
  <c r="O1401" i="1"/>
  <c r="I382" i="5"/>
  <c r="L382" i="5" s="1"/>
  <c r="O1380" i="248" s="1"/>
  <c r="R1380" i="248" s="1"/>
  <c r="H93" i="187"/>
  <c r="I363" i="5"/>
  <c r="L363" i="5" s="1"/>
  <c r="O1226" i="248" s="1"/>
  <c r="R1226" i="248" s="1"/>
  <c r="O1247" i="1"/>
  <c r="U1247" i="1" s="1"/>
  <c r="N393" i="5"/>
  <c r="N14" i="5"/>
  <c r="O1529" i="1" s="1"/>
  <c r="R1529" i="1" s="1"/>
  <c r="R689" i="1"/>
  <c r="O696" i="1"/>
  <c r="X696" i="1" s="1"/>
  <c r="O1473" i="1"/>
  <c r="I392" i="5"/>
  <c r="L392" i="5" s="1"/>
  <c r="O1452" i="248" s="1"/>
  <c r="R1452" i="248" s="1"/>
  <c r="I334" i="5"/>
  <c r="L334" i="5" s="1"/>
  <c r="I375" i="5"/>
  <c r="L375" i="5" s="1"/>
  <c r="O1430" i="248" s="1"/>
  <c r="R1430" i="248" s="1"/>
  <c r="O1451" i="1"/>
  <c r="I248" i="5"/>
  <c r="L248" i="5" s="1"/>
  <c r="J917" i="248" s="1"/>
  <c r="I225" i="5"/>
  <c r="L225" i="5" s="1"/>
  <c r="O1354" i="248" s="1"/>
  <c r="R1354" i="248" s="1"/>
  <c r="O1216" i="1"/>
  <c r="I354" i="5"/>
  <c r="L354" i="5" s="1"/>
  <c r="O1195" i="248" s="1"/>
  <c r="R1195" i="248" s="1"/>
  <c r="O1217" i="1"/>
  <c r="I355" i="5"/>
  <c r="L355" i="5" s="1"/>
  <c r="O1196" i="248" s="1"/>
  <c r="R1196" i="248" s="1"/>
  <c r="N8" i="5"/>
  <c r="I374" i="5"/>
  <c r="L374" i="5" s="1"/>
  <c r="O1429" i="248" s="1"/>
  <c r="R1429" i="248" s="1"/>
  <c r="O1450" i="1"/>
  <c r="N69" i="5"/>
  <c r="N92" i="5"/>
  <c r="N91" i="5"/>
  <c r="N181" i="5"/>
  <c r="I181" i="5" s="1"/>
  <c r="L181" i="5" s="1"/>
  <c r="O1653" i="1"/>
  <c r="O716" i="1"/>
  <c r="O913" i="1" l="1"/>
  <c r="C1037" i="248"/>
  <c r="H939" i="248"/>
  <c r="J939" i="248"/>
  <c r="K939" i="248"/>
  <c r="O1451" i="248"/>
  <c r="R1451" i="248" s="1"/>
  <c r="O364" i="248"/>
  <c r="R364" i="248" s="1"/>
  <c r="D364" i="248"/>
  <c r="O1038" i="248"/>
  <c r="R1038" i="248" s="1"/>
  <c r="O1404" i="248"/>
  <c r="R1404" i="248" s="1"/>
  <c r="O1251" i="248"/>
  <c r="R1251" i="248" s="1"/>
  <c r="O1163" i="248"/>
  <c r="G15" i="229"/>
  <c r="M1189" i="1"/>
  <c r="R1189" i="1" s="1"/>
  <c r="O1168" i="248"/>
  <c r="R1168" i="248" s="1"/>
  <c r="G27" i="229"/>
  <c r="O1405" i="248"/>
  <c r="R1405" i="248" s="1"/>
  <c r="O1252" i="248"/>
  <c r="R1252" i="248" s="1"/>
  <c r="O1253" i="248"/>
  <c r="R1253" i="248" s="1"/>
  <c r="O1406" i="248"/>
  <c r="R1406" i="248" s="1"/>
  <c r="M1186" i="1"/>
  <c r="R1186" i="1" s="1"/>
  <c r="O1165" i="248"/>
  <c r="R1165" i="248" s="1"/>
  <c r="G17" i="229"/>
  <c r="O1376" i="248"/>
  <c r="R1376" i="248" s="1"/>
  <c r="M1188" i="1"/>
  <c r="R1188" i="1" s="1"/>
  <c r="O1167" i="248"/>
  <c r="R1167" i="248" s="1"/>
  <c r="G26" i="229"/>
  <c r="O1254" i="248"/>
  <c r="R1254" i="248" s="1"/>
  <c r="O1407" i="248"/>
  <c r="R1407" i="248" s="1"/>
  <c r="S1226" i="248"/>
  <c r="O1150" i="248"/>
  <c r="G10" i="229"/>
  <c r="M1191" i="1"/>
  <c r="R1191" i="1" s="1"/>
  <c r="O1170" i="248"/>
  <c r="R1170" i="248" s="1"/>
  <c r="G29" i="229"/>
  <c r="M1187" i="1"/>
  <c r="R1187" i="1" s="1"/>
  <c r="O1166" i="248"/>
  <c r="R1166" i="248" s="1"/>
  <c r="G18" i="229"/>
  <c r="R1634" i="1"/>
  <c r="I180" i="5"/>
  <c r="O393" i="1"/>
  <c r="O924" i="1"/>
  <c r="M938" i="1"/>
  <c r="M960" i="1" s="1"/>
  <c r="J923" i="1"/>
  <c r="M923" i="1"/>
  <c r="K923" i="1"/>
  <c r="O938" i="1"/>
  <c r="H923" i="1"/>
  <c r="E121" i="4"/>
  <c r="R1192" i="1"/>
  <c r="O1622" i="1"/>
  <c r="L330" i="5"/>
  <c r="O1523" i="1"/>
  <c r="M1274" i="1"/>
  <c r="R1274" i="1" s="1"/>
  <c r="M1275" i="1"/>
  <c r="R1275" i="1" s="1"/>
  <c r="M1273" i="1"/>
  <c r="R1273" i="1" s="1"/>
  <c r="C1058" i="1"/>
  <c r="M1272" i="1"/>
  <c r="R1272" i="1" s="1"/>
  <c r="H12" i="178"/>
  <c r="O1270" i="1"/>
  <c r="D365" i="1"/>
  <c r="G15" i="178"/>
  <c r="G17" i="178"/>
  <c r="G16" i="178"/>
  <c r="G14" i="178"/>
  <c r="O415" i="1"/>
  <c r="V414" i="1"/>
  <c r="R414" i="1"/>
  <c r="M1184" i="1"/>
  <c r="M1323" i="1"/>
  <c r="R1323" i="1" s="1"/>
  <c r="M1171" i="1"/>
  <c r="E191" i="231"/>
  <c r="F191" i="231" s="1"/>
  <c r="G191" i="231" s="1"/>
  <c r="M1061" i="1"/>
  <c r="R1061" i="1" s="1"/>
  <c r="M1217" i="1"/>
  <c r="R1217" i="1" s="1"/>
  <c r="M1451" i="1"/>
  <c r="R1451" i="1" s="1"/>
  <c r="M1062" i="1"/>
  <c r="R1062" i="1" s="1"/>
  <c r="M1426" i="1"/>
  <c r="R1426" i="1" s="1"/>
  <c r="M1428" i="1"/>
  <c r="R1428" i="1" s="1"/>
  <c r="M1473" i="1"/>
  <c r="R1473" i="1" s="1"/>
  <c r="M1425" i="1"/>
  <c r="R1425" i="1" s="1"/>
  <c r="M1060" i="1"/>
  <c r="R1060" i="1" s="1"/>
  <c r="M1091" i="1"/>
  <c r="R1091" i="1" s="1"/>
  <c r="M1063" i="1"/>
  <c r="R1063" i="1" s="1"/>
  <c r="M1216" i="1"/>
  <c r="R1216" i="1" s="1"/>
  <c r="M1089" i="1"/>
  <c r="R1089" i="1" s="1"/>
  <c r="M1090" i="1"/>
  <c r="R1090" i="1" s="1"/>
  <c r="M1427" i="1"/>
  <c r="R1427" i="1" s="1"/>
  <c r="M1450" i="1"/>
  <c r="R1450" i="1" s="1"/>
  <c r="O614" i="1"/>
  <c r="R614" i="1" s="1"/>
  <c r="G11" i="168"/>
  <c r="O613" i="1"/>
  <c r="O1066" i="1"/>
  <c r="X365" i="1" s="1"/>
  <c r="M1369" i="1"/>
  <c r="R1369" i="1" s="1"/>
  <c r="G18" i="169"/>
  <c r="M1361" i="1"/>
  <c r="R1361" i="1" s="1"/>
  <c r="G10" i="169"/>
  <c r="M1372" i="1"/>
  <c r="R1372" i="1" s="1"/>
  <c r="G21" i="169"/>
  <c r="M1371" i="1"/>
  <c r="R1371" i="1" s="1"/>
  <c r="G20" i="169"/>
  <c r="M1374" i="1"/>
  <c r="R1374" i="1" s="1"/>
  <c r="G23" i="169"/>
  <c r="M1370" i="1"/>
  <c r="R1370" i="1" s="1"/>
  <c r="G19" i="169"/>
  <c r="M1375" i="1"/>
  <c r="R1375" i="1" s="1"/>
  <c r="G24" i="169"/>
  <c r="M1373" i="1"/>
  <c r="R1373" i="1" s="1"/>
  <c r="G22" i="169"/>
  <c r="M1363" i="1"/>
  <c r="R1363" i="1" s="1"/>
  <c r="G12" i="169"/>
  <c r="M1362" i="1"/>
  <c r="R1362" i="1" s="1"/>
  <c r="G11" i="169"/>
  <c r="O1575" i="1"/>
  <c r="R1575" i="1" s="1"/>
  <c r="O717" i="1"/>
  <c r="R717" i="1" s="1"/>
  <c r="O608" i="1"/>
  <c r="O1559" i="1"/>
  <c r="R1559" i="1" s="1"/>
  <c r="O1570" i="1"/>
  <c r="R1570" i="1" s="1"/>
  <c r="O1625" i="1"/>
  <c r="O1565" i="1"/>
  <c r="R1565" i="1" s="1"/>
  <c r="O1564" i="1"/>
  <c r="R1564" i="1" s="1"/>
  <c r="O1632" i="1"/>
  <c r="O1563" i="1"/>
  <c r="R1563" i="1" s="1"/>
  <c r="O1628" i="1"/>
  <c r="R1628" i="1" s="1"/>
  <c r="O612" i="1"/>
  <c r="O1614" i="1"/>
  <c r="R1614" i="1" s="1"/>
  <c r="O1615" i="1"/>
  <c r="R1615" i="1" s="1"/>
  <c r="O607" i="1"/>
  <c r="R607" i="1" s="1"/>
  <c r="O1629" i="1"/>
  <c r="N253" i="5"/>
  <c r="J931" i="1" s="1"/>
  <c r="J939" i="1" s="1"/>
  <c r="J961" i="1" s="1"/>
  <c r="N380" i="5"/>
  <c r="O1092" i="1"/>
  <c r="N381" i="5"/>
  <c r="N298" i="5"/>
  <c r="O366" i="1" s="1"/>
  <c r="R696" i="1"/>
  <c r="M1247" i="1"/>
  <c r="G93" i="187"/>
  <c r="G37" i="167"/>
  <c r="M1398" i="1"/>
  <c r="R1398" i="1" s="1"/>
  <c r="H39" i="178"/>
  <c r="O1276" i="1"/>
  <c r="I371" i="5"/>
  <c r="L371" i="5" s="1"/>
  <c r="I353" i="5"/>
  <c r="L353" i="5" s="1"/>
  <c r="O1215" i="1"/>
  <c r="T218" i="5"/>
  <c r="R212" i="5"/>
  <c r="I365" i="5"/>
  <c r="L365" i="5" s="1"/>
  <c r="O1423" i="1"/>
  <c r="N194" i="5"/>
  <c r="N361" i="5"/>
  <c r="N362" i="5"/>
  <c r="R716" i="1"/>
  <c r="I393" i="5"/>
  <c r="L393" i="5" s="1"/>
  <c r="O1453" i="248" s="1"/>
  <c r="R1453" i="248" s="1"/>
  <c r="O1474" i="1"/>
  <c r="O1477" i="1" s="1"/>
  <c r="M365" i="1"/>
  <c r="M1059" i="1"/>
  <c r="R1544" i="1"/>
  <c r="N6" i="5"/>
  <c r="M1397" i="1"/>
  <c r="R1397" i="1" s="1"/>
  <c r="G20" i="167"/>
  <c r="N89" i="5"/>
  <c r="N216" i="5"/>
  <c r="N196" i="5"/>
  <c r="N95" i="5"/>
  <c r="O751" i="1" s="1"/>
  <c r="N345" i="5"/>
  <c r="H28" i="229" s="1"/>
  <c r="N13" i="5"/>
  <c r="N341" i="5"/>
  <c r="H24" i="229" s="1"/>
  <c r="N360" i="5"/>
  <c r="O1569" i="1"/>
  <c r="I264" i="5"/>
  <c r="L264" i="5" s="1"/>
  <c r="M917" i="248" s="1"/>
  <c r="O917" i="248" s="1"/>
  <c r="M1401" i="1"/>
  <c r="R1401" i="1" s="1"/>
  <c r="G91" i="167"/>
  <c r="O413" i="1"/>
  <c r="I373" i="5"/>
  <c r="L373" i="5" s="1"/>
  <c r="C1427" i="248" s="1"/>
  <c r="O1449" i="1"/>
  <c r="O1454" i="1" s="1"/>
  <c r="E169" i="4"/>
  <c r="M1472" i="1"/>
  <c r="R1472" i="1" s="1"/>
  <c r="N42" i="5"/>
  <c r="O939" i="248" l="1"/>
  <c r="R907" i="248" s="1"/>
  <c r="C1450" i="248"/>
  <c r="M939" i="248"/>
  <c r="R1150" i="248"/>
  <c r="R1163" i="248"/>
  <c r="D414" i="248"/>
  <c r="O1249" i="248"/>
  <c r="R1249" i="248" s="1"/>
  <c r="O1402" i="248"/>
  <c r="R1402" i="248" s="1"/>
  <c r="O1153" i="248"/>
  <c r="R1153" i="248" s="1"/>
  <c r="G13" i="229"/>
  <c r="D412" i="248"/>
  <c r="O412" i="248"/>
  <c r="O1428" i="248"/>
  <c r="R1428" i="248" s="1"/>
  <c r="O1045" i="248"/>
  <c r="R1045" i="248" s="1"/>
  <c r="O1456" i="248"/>
  <c r="R1456" i="248" s="1"/>
  <c r="O1194" i="248"/>
  <c r="R1194" i="248" s="1"/>
  <c r="O1255" i="248"/>
  <c r="R1255" i="248" s="1"/>
  <c r="O414" i="248"/>
  <c r="R414" i="248" s="1"/>
  <c r="R1626" i="1"/>
  <c r="R1635" i="1"/>
  <c r="R1632" i="1"/>
  <c r="R1610" i="1"/>
  <c r="R1630" i="1"/>
  <c r="R1639" i="1"/>
  <c r="R1629" i="1"/>
  <c r="R1638" i="1"/>
  <c r="R1633" i="1"/>
  <c r="R1625" i="1"/>
  <c r="X938" i="1"/>
  <c r="O960" i="1"/>
  <c r="X913" i="1"/>
  <c r="O923" i="1"/>
  <c r="J934" i="1"/>
  <c r="M1174" i="1"/>
  <c r="R1174" i="1" s="1"/>
  <c r="E130" i="4"/>
  <c r="O1178" i="1"/>
  <c r="O749" i="1"/>
  <c r="R749" i="1" s="1"/>
  <c r="O1190" i="1"/>
  <c r="C1471" i="1"/>
  <c r="D415" i="1"/>
  <c r="D413" i="1"/>
  <c r="C1448" i="1"/>
  <c r="M1270" i="1"/>
  <c r="G12" i="178"/>
  <c r="O1324" i="1"/>
  <c r="O1322" i="1"/>
  <c r="M415" i="1"/>
  <c r="E192" i="231"/>
  <c r="F192" i="231" s="1"/>
  <c r="G192" i="231" s="1"/>
  <c r="M1474" i="1"/>
  <c r="M1092" i="1"/>
  <c r="R1092" i="1" s="1"/>
  <c r="H12" i="168"/>
  <c r="H10" i="168"/>
  <c r="O1366" i="1"/>
  <c r="H15" i="169"/>
  <c r="R1247" i="1"/>
  <c r="S1247" i="1"/>
  <c r="O730" i="1"/>
  <c r="X413" i="1"/>
  <c r="X415" i="1"/>
  <c r="I196" i="5"/>
  <c r="L196" i="5" s="1"/>
  <c r="O1303" i="248" s="1"/>
  <c r="R1303" i="248" s="1"/>
  <c r="R1059" i="1"/>
  <c r="M1066" i="1"/>
  <c r="R1066" i="1" s="1"/>
  <c r="R1071" i="1" s="1"/>
  <c r="I194" i="5"/>
  <c r="L194" i="5" s="1"/>
  <c r="O1301" i="248" s="1"/>
  <c r="R1301" i="248" s="1"/>
  <c r="M1449" i="1"/>
  <c r="M413" i="1"/>
  <c r="O1521" i="1"/>
  <c r="R365" i="1"/>
  <c r="H62" i="187"/>
  <c r="I361" i="5"/>
  <c r="L361" i="5" s="1"/>
  <c r="O1224" i="248" s="1"/>
  <c r="R1224" i="248" s="1"/>
  <c r="O1245" i="1"/>
  <c r="U1245" i="1" s="1"/>
  <c r="M1423" i="1"/>
  <c r="R1423" i="1" s="1"/>
  <c r="G39" i="178"/>
  <c r="M1276" i="1"/>
  <c r="R1276" i="1" s="1"/>
  <c r="I381" i="5"/>
  <c r="L381" i="5" s="1"/>
  <c r="O1379" i="248" s="1"/>
  <c r="R1379" i="248" s="1"/>
  <c r="H74" i="167"/>
  <c r="O1400" i="1"/>
  <c r="I252" i="5"/>
  <c r="L252" i="5" s="1"/>
  <c r="J918" i="248" s="1"/>
  <c r="N261" i="5"/>
  <c r="K931" i="1" s="1"/>
  <c r="N245" i="5"/>
  <c r="H931" i="1" s="1"/>
  <c r="I216" i="5"/>
  <c r="L216" i="5" s="1"/>
  <c r="O1345" i="248" s="1"/>
  <c r="R1345" i="248" s="1"/>
  <c r="O1613" i="1"/>
  <c r="R694" i="1"/>
  <c r="R699" i="1"/>
  <c r="R697" i="1"/>
  <c r="R698" i="1" s="1"/>
  <c r="R695" i="1"/>
  <c r="O1088" i="1"/>
  <c r="I298" i="5"/>
  <c r="L298" i="5" s="1"/>
  <c r="H54" i="167"/>
  <c r="O1399" i="1"/>
  <c r="I380" i="5"/>
  <c r="L380" i="5" s="1"/>
  <c r="N43" i="5"/>
  <c r="R1569" i="1"/>
  <c r="I341" i="5"/>
  <c r="L341" i="5" s="1"/>
  <c r="I345" i="5"/>
  <c r="L345" i="5" s="1"/>
  <c r="L180" i="5"/>
  <c r="U1523" i="1"/>
  <c r="R1523" i="1"/>
  <c r="H76" i="187"/>
  <c r="O1246" i="1"/>
  <c r="U1246" i="1" s="1"/>
  <c r="I362" i="5"/>
  <c r="L362" i="5" s="1"/>
  <c r="O1225" i="248" s="1"/>
  <c r="R1225" i="248" s="1"/>
  <c r="O1660" i="1"/>
  <c r="U1660" i="1" s="1"/>
  <c r="O606" i="1"/>
  <c r="O603" i="1" s="1"/>
  <c r="N338" i="5"/>
  <c r="R1171" i="1"/>
  <c r="O1244" i="1"/>
  <c r="U1244" i="1" s="1"/>
  <c r="I360" i="5"/>
  <c r="L360" i="5" s="1"/>
  <c r="O1223" i="248" s="1"/>
  <c r="R1223" i="248" s="1"/>
  <c r="H45" i="187"/>
  <c r="O1528" i="1"/>
  <c r="R751" i="1"/>
  <c r="U1541" i="1"/>
  <c r="M1215" i="1"/>
  <c r="D1085" i="1" l="1"/>
  <c r="D365" i="248"/>
  <c r="D366" i="1"/>
  <c r="O392" i="248"/>
  <c r="R901" i="248"/>
  <c r="R903" i="248"/>
  <c r="R908" i="248"/>
  <c r="R943" i="248"/>
  <c r="R944" i="248"/>
  <c r="R906" i="248"/>
  <c r="R902" i="248"/>
  <c r="R905" i="248"/>
  <c r="R900" i="248"/>
  <c r="R942" i="248"/>
  <c r="R904" i="248"/>
  <c r="R899" i="248"/>
  <c r="O1175" i="1"/>
  <c r="H21" i="229"/>
  <c r="C1084" i="1"/>
  <c r="U939" i="248"/>
  <c r="J940" i="248"/>
  <c r="J913" i="248"/>
  <c r="D1064" i="248"/>
  <c r="C1063" i="248"/>
  <c r="O1157" i="248"/>
  <c r="R1157" i="248" s="1"/>
  <c r="G24" i="229"/>
  <c r="S1224" i="248"/>
  <c r="M366" i="1"/>
  <c r="O1067" i="248"/>
  <c r="R1067" i="248" s="1"/>
  <c r="O365" i="248"/>
  <c r="R365" i="248" s="1"/>
  <c r="S1223" i="248"/>
  <c r="M1190" i="1"/>
  <c r="R1190" i="1" s="1"/>
  <c r="O1169" i="248"/>
  <c r="G28" i="229"/>
  <c r="O1378" i="248"/>
  <c r="R1378" i="248" s="1"/>
  <c r="U364" i="248"/>
  <c r="O1433" i="248"/>
  <c r="R1433" i="248" s="1"/>
  <c r="S1225" i="248"/>
  <c r="U414" i="248"/>
  <c r="R412" i="248"/>
  <c r="U603" i="1"/>
  <c r="O668" i="1" s="1"/>
  <c r="X603" i="1"/>
  <c r="O1085" i="1"/>
  <c r="U1085" i="1" s="1"/>
  <c r="M393" i="1"/>
  <c r="K939" i="1"/>
  <c r="K961" i="1" s="1"/>
  <c r="K934" i="1"/>
  <c r="J945" i="1"/>
  <c r="J956" i="1"/>
  <c r="R909" i="1"/>
  <c r="V960" i="1"/>
  <c r="H939" i="1"/>
  <c r="H961" i="1" s="1"/>
  <c r="H934" i="1"/>
  <c r="M1178" i="1"/>
  <c r="R1178" i="1" s="1"/>
  <c r="E142" i="4"/>
  <c r="O1181" i="1"/>
  <c r="U1181" i="1" s="1"/>
  <c r="O750" i="1"/>
  <c r="R750" i="1" s="1"/>
  <c r="R730" i="1"/>
  <c r="R732" i="1" s="1"/>
  <c r="X730" i="1"/>
  <c r="M1324" i="1"/>
  <c r="R1324" i="1" s="1"/>
  <c r="M1322" i="1"/>
  <c r="R1322" i="1" s="1"/>
  <c r="M1477" i="1"/>
  <c r="R1477" i="1" s="1"/>
  <c r="E193" i="231"/>
  <c r="F193" i="231" s="1"/>
  <c r="G193" i="231" s="1"/>
  <c r="R1050" i="1"/>
  <c r="R1070" i="1"/>
  <c r="R1069" i="1"/>
  <c r="R1474" i="1"/>
  <c r="R1524" i="1"/>
  <c r="G10" i="168"/>
  <c r="G12" i="168"/>
  <c r="M1366" i="1"/>
  <c r="R1366" i="1" s="1"/>
  <c r="G15" i="169"/>
  <c r="L201" i="5"/>
  <c r="O1308" i="248" s="1"/>
  <c r="R1308" i="248" s="1"/>
  <c r="G400" i="5"/>
  <c r="G2" i="5" s="1"/>
  <c r="L200" i="5"/>
  <c r="O1307" i="248" s="1"/>
  <c r="R1307" i="248" s="1"/>
  <c r="V365" i="1"/>
  <c r="R415" i="1"/>
  <c r="M1246" i="1"/>
  <c r="G76" i="187"/>
  <c r="I260" i="5"/>
  <c r="L260" i="5" s="1"/>
  <c r="K918" i="248" s="1"/>
  <c r="R413" i="1"/>
  <c r="E164" i="4"/>
  <c r="E174" i="4"/>
  <c r="M1400" i="1"/>
  <c r="R1400" i="1" s="1"/>
  <c r="G74" i="167"/>
  <c r="U1521" i="1"/>
  <c r="R1449" i="1"/>
  <c r="M1454" i="1"/>
  <c r="R1454" i="1" s="1"/>
  <c r="R1215" i="1"/>
  <c r="I338" i="5"/>
  <c r="L338" i="5" s="1"/>
  <c r="M1088" i="1"/>
  <c r="M1085" i="1" s="1"/>
  <c r="G45" i="187"/>
  <c r="M1244" i="1"/>
  <c r="G54" i="167"/>
  <c r="M1399" i="1"/>
  <c r="R1399" i="1" s="1"/>
  <c r="N192" i="5"/>
  <c r="I192" i="5" s="1"/>
  <c r="O1525" i="1"/>
  <c r="I244" i="5"/>
  <c r="L244" i="5" s="1"/>
  <c r="H918" i="248" s="1"/>
  <c r="G62" i="187"/>
  <c r="M1245" i="1"/>
  <c r="R1057" i="1"/>
  <c r="R1056" i="1"/>
  <c r="R1055" i="1"/>
  <c r="R1054" i="1"/>
  <c r="R1058" i="1"/>
  <c r="R1065" i="1"/>
  <c r="R1053" i="1"/>
  <c r="R1052" i="1"/>
  <c r="R1051" i="1"/>
  <c r="R1064" i="1"/>
  <c r="R1049" i="1"/>
  <c r="R1048" i="1"/>
  <c r="R1073" i="1"/>
  <c r="R1067" i="1"/>
  <c r="R1068" i="1" s="1"/>
  <c r="R1072" i="1"/>
  <c r="R912" i="1" l="1"/>
  <c r="R965" i="1"/>
  <c r="R908" i="1"/>
  <c r="R904" i="1"/>
  <c r="R964" i="1"/>
  <c r="R907" i="1"/>
  <c r="R902" i="1"/>
  <c r="R963" i="1"/>
  <c r="R906" i="1"/>
  <c r="R901" i="1"/>
  <c r="R903" i="1"/>
  <c r="R905" i="1"/>
  <c r="R910" i="1"/>
  <c r="D1181" i="1"/>
  <c r="J924" i="248"/>
  <c r="J935" i="248"/>
  <c r="H940" i="248"/>
  <c r="H913" i="248"/>
  <c r="R915" i="248"/>
  <c r="R928" i="248"/>
  <c r="R935" i="248"/>
  <c r="R910" i="248"/>
  <c r="R933" i="248"/>
  <c r="R926" i="248"/>
  <c r="R930" i="248"/>
  <c r="R925" i="248"/>
  <c r="R938" i="248"/>
  <c r="R936" i="248"/>
  <c r="R920" i="248"/>
  <c r="R917" i="248"/>
  <c r="R916" i="248"/>
  <c r="R914" i="248"/>
  <c r="R913" i="248"/>
  <c r="R921" i="248"/>
  <c r="R922" i="248"/>
  <c r="R941" i="248"/>
  <c r="R909" i="248"/>
  <c r="R937" i="248"/>
  <c r="R940" i="248"/>
  <c r="R932" i="248"/>
  <c r="R934" i="248"/>
  <c r="R939" i="248"/>
  <c r="R929" i="248"/>
  <c r="R911" i="248"/>
  <c r="R927" i="248"/>
  <c r="R923" i="248"/>
  <c r="R924" i="248"/>
  <c r="R918" i="248"/>
  <c r="R919" i="248"/>
  <c r="R912" i="248"/>
  <c r="R931" i="248"/>
  <c r="K940" i="248"/>
  <c r="K913" i="248"/>
  <c r="R1169" i="248"/>
  <c r="D1160" i="248"/>
  <c r="U412" i="248"/>
  <c r="O1064" i="248"/>
  <c r="R1064" i="248" s="1"/>
  <c r="O1160" i="248"/>
  <c r="R1160" i="248" s="1"/>
  <c r="R1423" i="248"/>
  <c r="R1431" i="248"/>
  <c r="R1418" i="248"/>
  <c r="R1432" i="248"/>
  <c r="R1427" i="248"/>
  <c r="R1435" i="248"/>
  <c r="R1424" i="248"/>
  <c r="R1422" i="248"/>
  <c r="R1434" i="248"/>
  <c r="R1425" i="248"/>
  <c r="R1437" i="248"/>
  <c r="R1421" i="248"/>
  <c r="R1426" i="248"/>
  <c r="R1438" i="248"/>
  <c r="R1436" i="248"/>
  <c r="R1419" i="248"/>
  <c r="R1420" i="248"/>
  <c r="R1417" i="248"/>
  <c r="R1439" i="248"/>
  <c r="E133" i="4"/>
  <c r="O1154" i="248"/>
  <c r="G21" i="229"/>
  <c r="M1181" i="1"/>
  <c r="S1181" i="1" s="1"/>
  <c r="R1459" i="248"/>
  <c r="R1461" i="248"/>
  <c r="R1441" i="248"/>
  <c r="R1442" i="248"/>
  <c r="R1448" i="248"/>
  <c r="R1454" i="248"/>
  <c r="R1440" i="248"/>
  <c r="R1450" i="248"/>
  <c r="R1444" i="248"/>
  <c r="R1443" i="248"/>
  <c r="R1460" i="248"/>
  <c r="R1462" i="248"/>
  <c r="R1457" i="248"/>
  <c r="R1455" i="248"/>
  <c r="R1447" i="248"/>
  <c r="R1445" i="248"/>
  <c r="R1458" i="248"/>
  <c r="R1446" i="248"/>
  <c r="R1449" i="248"/>
  <c r="R1050" i="248"/>
  <c r="R1031" i="248"/>
  <c r="R1037" i="248"/>
  <c r="R1036" i="248"/>
  <c r="R1033" i="248"/>
  <c r="R1035" i="248"/>
  <c r="R1044" i="248"/>
  <c r="R1029" i="248"/>
  <c r="R1049" i="248"/>
  <c r="R1032" i="248"/>
  <c r="R1030" i="248"/>
  <c r="R1027" i="248"/>
  <c r="R1034" i="248"/>
  <c r="R1046" i="248"/>
  <c r="R1047" i="248" s="1"/>
  <c r="R1028" i="248"/>
  <c r="R1051" i="248"/>
  <c r="R1048" i="248"/>
  <c r="R1043" i="248"/>
  <c r="R1052" i="248"/>
  <c r="O1126" i="1"/>
  <c r="X366" i="1" s="1"/>
  <c r="S1085" i="1"/>
  <c r="R1085" i="1"/>
  <c r="R962" i="1"/>
  <c r="R946" i="1"/>
  <c r="R959" i="1"/>
  <c r="R949" i="1"/>
  <c r="R918" i="1"/>
  <c r="R956" i="1"/>
  <c r="R935" i="1"/>
  <c r="R921" i="1"/>
  <c r="R936" i="1"/>
  <c r="R928" i="1"/>
  <c r="R945" i="1"/>
  <c r="R952" i="1"/>
  <c r="R943" i="1"/>
  <c r="R911" i="1"/>
  <c r="R960" i="1"/>
  <c r="R916" i="1"/>
  <c r="R915" i="1"/>
  <c r="R925" i="1"/>
  <c r="R944" i="1"/>
  <c r="R923" i="1"/>
  <c r="R917" i="1"/>
  <c r="R926" i="1"/>
  <c r="R914" i="1"/>
  <c r="R950" i="1"/>
  <c r="R937" i="1"/>
  <c r="R933" i="1"/>
  <c r="R922" i="1"/>
  <c r="R961" i="1"/>
  <c r="R940" i="1"/>
  <c r="R942" i="1"/>
  <c r="R939" i="1"/>
  <c r="R924" i="1"/>
  <c r="R957" i="1"/>
  <c r="R953" i="1"/>
  <c r="R938" i="1"/>
  <c r="R913" i="1"/>
  <c r="R934" i="1"/>
  <c r="R947" i="1"/>
  <c r="R929" i="1"/>
  <c r="R927" i="1"/>
  <c r="R951" i="1"/>
  <c r="R930" i="1"/>
  <c r="R958" i="1"/>
  <c r="R920" i="1"/>
  <c r="R955" i="1"/>
  <c r="R941" i="1"/>
  <c r="R954" i="1"/>
  <c r="R932" i="1"/>
  <c r="R931" i="1"/>
  <c r="R919" i="1"/>
  <c r="R948" i="1"/>
  <c r="K945" i="1"/>
  <c r="K956" i="1"/>
  <c r="H945" i="1"/>
  <c r="H956" i="1"/>
  <c r="R708" i="1"/>
  <c r="R713" i="1"/>
  <c r="R736" i="1"/>
  <c r="R711" i="1"/>
  <c r="R735" i="1"/>
  <c r="R712" i="1"/>
  <c r="R729" i="1"/>
  <c r="R715" i="1"/>
  <c r="R714" i="1"/>
  <c r="R728" i="1"/>
  <c r="R710" i="1"/>
  <c r="R706" i="1"/>
  <c r="R707" i="1"/>
  <c r="R709" i="1"/>
  <c r="R734" i="1"/>
  <c r="R731" i="1"/>
  <c r="R705" i="1"/>
  <c r="R733" i="1"/>
  <c r="M1175" i="1"/>
  <c r="O1320" i="1"/>
  <c r="M1329" i="1"/>
  <c r="R1329" i="1" s="1"/>
  <c r="M1328" i="1"/>
  <c r="R1328" i="1" s="1"/>
  <c r="R1463" i="1"/>
  <c r="R1479" i="1"/>
  <c r="R1440" i="1"/>
  <c r="R1456" i="1"/>
  <c r="E194" i="231"/>
  <c r="F194" i="231" s="1"/>
  <c r="G194" i="231" s="1"/>
  <c r="R1465" i="1"/>
  <c r="R1478" i="1"/>
  <c r="R1482" i="1"/>
  <c r="R1467" i="1"/>
  <c r="R1475" i="1"/>
  <c r="R1471" i="1"/>
  <c r="V415" i="1"/>
  <c r="R1469" i="1"/>
  <c r="R1481" i="1"/>
  <c r="R1464" i="1"/>
  <c r="R1480" i="1"/>
  <c r="R1462" i="1"/>
  <c r="R1483" i="1"/>
  <c r="R1466" i="1"/>
  <c r="R1470" i="1"/>
  <c r="R1476" i="1"/>
  <c r="R1461" i="1"/>
  <c r="R1468" i="1"/>
  <c r="G16" i="168"/>
  <c r="G17" i="168"/>
  <c r="H8" i="168"/>
  <c r="R1245" i="1"/>
  <c r="S1245" i="1"/>
  <c r="R1244" i="1"/>
  <c r="S1244" i="1"/>
  <c r="R1246" i="1"/>
  <c r="S1246" i="1"/>
  <c r="E199" i="4"/>
  <c r="E194" i="4"/>
  <c r="U1525" i="1"/>
  <c r="R1088" i="1"/>
  <c r="V413" i="1"/>
  <c r="R366" i="1"/>
  <c r="R1452" i="1"/>
  <c r="R1442" i="1"/>
  <c r="R1441" i="1"/>
  <c r="R1443" i="1"/>
  <c r="R1459" i="1"/>
  <c r="R1438" i="1"/>
  <c r="R1457" i="1"/>
  <c r="R1460" i="1"/>
  <c r="R1439" i="1"/>
  <c r="R1453" i="1"/>
  <c r="R1458" i="1"/>
  <c r="R1448" i="1"/>
  <c r="R1455" i="1"/>
  <c r="R1446" i="1"/>
  <c r="R1445" i="1"/>
  <c r="R1444" i="1"/>
  <c r="R1447" i="1"/>
  <c r="N193" i="5"/>
  <c r="J185" i="5" l="1"/>
  <c r="L185" i="5" s="1"/>
  <c r="M394" i="1" s="1"/>
  <c r="R394" i="1" s="1"/>
  <c r="H924" i="248"/>
  <c r="H935" i="248"/>
  <c r="K924" i="248"/>
  <c r="K935" i="248"/>
  <c r="R1154" i="248"/>
  <c r="R1181" i="1"/>
  <c r="R1193" i="1" s="1"/>
  <c r="S1064" i="248"/>
  <c r="O1105" i="248" s="1"/>
  <c r="R1105" i="248" s="1"/>
  <c r="S1160" i="248"/>
  <c r="M1126" i="1"/>
  <c r="R1126" i="1" s="1"/>
  <c r="R1103" i="1"/>
  <c r="R1087" i="1"/>
  <c r="R1086" i="1"/>
  <c r="R1104" i="1"/>
  <c r="R1175" i="1"/>
  <c r="O1321" i="1"/>
  <c r="O1337" i="1" s="1"/>
  <c r="E195" i="231"/>
  <c r="F195" i="231" s="1"/>
  <c r="G195" i="231" s="1"/>
  <c r="H9" i="168"/>
  <c r="H24" i="168" s="1"/>
  <c r="H28" i="168" s="1"/>
  <c r="H30" i="168" s="1"/>
  <c r="O403" i="1"/>
  <c r="O1553" i="1"/>
  <c r="R1184" i="1"/>
  <c r="I193" i="5"/>
  <c r="O1648" i="1"/>
  <c r="O1539" i="1"/>
  <c r="O393" i="248" l="1"/>
  <c r="R393" i="248" s="1"/>
  <c r="J139" i="5"/>
  <c r="L139" i="5" s="1"/>
  <c r="R1182" i="1"/>
  <c r="R1183" i="1" s="1"/>
  <c r="R1065" i="248"/>
  <c r="R1082" i="248"/>
  <c r="R1083" i="248"/>
  <c r="R1066" i="248"/>
  <c r="U365" i="248"/>
  <c r="R1161" i="248"/>
  <c r="R1162" i="248" s="1"/>
  <c r="R1172" i="248"/>
  <c r="R1124" i="1"/>
  <c r="R1133" i="1"/>
  <c r="R1127" i="1"/>
  <c r="R1128" i="1" s="1"/>
  <c r="R1081" i="1"/>
  <c r="R1131" i="1"/>
  <c r="R1083" i="1"/>
  <c r="R1084" i="1"/>
  <c r="R1078" i="1"/>
  <c r="R1077" i="1"/>
  <c r="R1076" i="1"/>
  <c r="R1129" i="1"/>
  <c r="R1080" i="1"/>
  <c r="R1125" i="1"/>
  <c r="R1074" i="1"/>
  <c r="R1130" i="1"/>
  <c r="R1132" i="1"/>
  <c r="R1082" i="1"/>
  <c r="R1079" i="1"/>
  <c r="R1075" i="1"/>
  <c r="V366" i="1"/>
  <c r="J10" i="5"/>
  <c r="L10" i="5" s="1"/>
  <c r="O1507" i="248" s="1"/>
  <c r="R1507" i="248" s="1"/>
  <c r="J6" i="5"/>
  <c r="L6" i="5" s="1"/>
  <c r="U1319" i="1"/>
  <c r="O1341" i="1" s="1"/>
  <c r="X403" i="1" s="1"/>
  <c r="E196" i="231"/>
  <c r="F196" i="231" s="1"/>
  <c r="G196" i="231" s="1"/>
  <c r="U1648" i="1"/>
  <c r="F27" i="80" l="1"/>
  <c r="F33" i="80" s="1"/>
  <c r="O614" i="248"/>
  <c r="O601" i="248" s="1"/>
  <c r="M616" i="1"/>
  <c r="R616" i="1" s="1"/>
  <c r="O1639" i="248"/>
  <c r="R1639" i="248" s="1"/>
  <c r="R1058" i="248"/>
  <c r="R1110" i="248"/>
  <c r="R1055" i="248"/>
  <c r="R1062" i="248"/>
  <c r="R1104" i="248"/>
  <c r="R1111" i="248"/>
  <c r="R1053" i="248"/>
  <c r="R1060" i="248"/>
  <c r="R1103" i="248"/>
  <c r="R1106" i="248"/>
  <c r="R1107" i="248" s="1"/>
  <c r="R1109" i="248"/>
  <c r="R1054" i="248"/>
  <c r="R1112" i="248"/>
  <c r="R1108" i="248"/>
  <c r="R1061" i="248"/>
  <c r="R1059" i="248"/>
  <c r="R1057" i="248"/>
  <c r="R1063" i="248"/>
  <c r="R1056" i="248"/>
  <c r="O1500" i="248"/>
  <c r="R1500" i="248" s="1"/>
  <c r="M1528" i="1"/>
  <c r="R1528" i="1" s="1"/>
  <c r="M1521" i="1"/>
  <c r="E197" i="231"/>
  <c r="F197" i="231" s="1"/>
  <c r="G197" i="231" s="1"/>
  <c r="R614" i="248" l="1"/>
  <c r="S1639" i="248"/>
  <c r="R601" i="248"/>
  <c r="S601" i="248"/>
  <c r="O666" i="248" s="1"/>
  <c r="R666" i="248" s="1"/>
  <c r="U601" i="248"/>
  <c r="R1501" i="248"/>
  <c r="S1500" i="248"/>
  <c r="S1521" i="1"/>
  <c r="R1521" i="1"/>
  <c r="R1522" i="1" s="1"/>
  <c r="E198" i="231"/>
  <c r="F198" i="231" s="1"/>
  <c r="G198" i="231" s="1"/>
  <c r="R602" i="248" l="1"/>
  <c r="R616" i="248"/>
  <c r="R603" i="248"/>
  <c r="R615" i="248"/>
  <c r="R672" i="248"/>
  <c r="R595" i="248"/>
  <c r="R597" i="248"/>
  <c r="R590" i="248"/>
  <c r="R668" i="248"/>
  <c r="R664" i="248"/>
  <c r="R665" i="248"/>
  <c r="R667" i="248"/>
  <c r="R593" i="248"/>
  <c r="R600" i="248"/>
  <c r="R671" i="248"/>
  <c r="R591" i="248"/>
  <c r="R594" i="248"/>
  <c r="R596" i="248"/>
  <c r="R599" i="248"/>
  <c r="R670" i="248"/>
  <c r="R598" i="248"/>
  <c r="R669" i="248"/>
  <c r="R592" i="248"/>
  <c r="E199" i="231"/>
  <c r="F199" i="231" s="1"/>
  <c r="G199" i="231" s="1"/>
  <c r="E200" i="231" l="1"/>
  <c r="F200" i="231" s="1"/>
  <c r="G200" i="231" s="1"/>
  <c r="E201" i="231" l="1"/>
  <c r="F201" i="231" s="1"/>
  <c r="G201" i="231" s="1"/>
  <c r="E202" i="231" l="1"/>
  <c r="F202" i="231" s="1"/>
  <c r="G202" i="231" s="1"/>
  <c r="E203" i="231" l="1"/>
  <c r="F203" i="231" s="1"/>
  <c r="G203" i="231" s="1"/>
  <c r="E204" i="231" l="1"/>
  <c r="F204" i="231" s="1"/>
  <c r="G204" i="231" s="1"/>
  <c r="E205" i="231" l="1"/>
  <c r="F205" i="231" s="1"/>
  <c r="G205" i="231" s="1"/>
  <c r="E206" i="231" l="1"/>
  <c r="F206" i="231" s="1"/>
  <c r="G206" i="231" s="1"/>
  <c r="J193" i="5" l="1"/>
  <c r="L193" i="5" s="1"/>
  <c r="O1300" i="248" s="1"/>
  <c r="R1300" i="248" s="1"/>
  <c r="J21" i="5"/>
  <c r="L21" i="5" s="1"/>
  <c r="E207" i="231"/>
  <c r="F207" i="231" s="1"/>
  <c r="G207" i="231" s="1"/>
  <c r="M613" i="1"/>
  <c r="R613" i="1" s="1"/>
  <c r="M606" i="1"/>
  <c r="J203" i="5"/>
  <c r="L203" i="5" s="1"/>
  <c r="O1310" i="248" s="1"/>
  <c r="R1310" i="248" s="1"/>
  <c r="M612" i="1"/>
  <c r="R612" i="1" s="1"/>
  <c r="J89" i="5"/>
  <c r="L89" i="5" s="1"/>
  <c r="L205" i="5"/>
  <c r="O1312" i="248" s="1"/>
  <c r="R1312" i="248" s="1"/>
  <c r="J210" i="5"/>
  <c r="M608" i="1"/>
  <c r="M1660" i="1"/>
  <c r="O1592" i="248" l="1"/>
  <c r="R1592" i="248" s="1"/>
  <c r="F72" i="80"/>
  <c r="R606" i="1"/>
  <c r="M603" i="1"/>
  <c r="V603" i="1" s="1"/>
  <c r="M1331" i="1"/>
  <c r="R1331" i="1" s="1"/>
  <c r="M1333" i="1"/>
  <c r="R1333" i="1" s="1"/>
  <c r="M1321" i="1"/>
  <c r="R1321" i="1" s="1"/>
  <c r="E208" i="231"/>
  <c r="F208" i="231" s="1"/>
  <c r="G208" i="231" s="1"/>
  <c r="G19" i="168"/>
  <c r="E209" i="4"/>
  <c r="G9" i="168"/>
  <c r="M1613" i="1"/>
  <c r="G21" i="168"/>
  <c r="E219" i="4"/>
  <c r="E159" i="4"/>
  <c r="S1660" i="1"/>
  <c r="R1660" i="1"/>
  <c r="R608" i="1"/>
  <c r="R603" i="1" l="1"/>
  <c r="S603" i="1"/>
  <c r="M668" i="1" s="1"/>
  <c r="R1622" i="1"/>
  <c r="E209" i="231"/>
  <c r="F209" i="231" s="1"/>
  <c r="G209" i="231" s="1"/>
  <c r="R1613" i="1"/>
  <c r="R668" i="1" l="1"/>
  <c r="R604" i="1"/>
  <c r="R618" i="1"/>
  <c r="R617" i="1"/>
  <c r="R605" i="1"/>
  <c r="E210" i="231"/>
  <c r="F210" i="231" s="1"/>
  <c r="G210" i="231" s="1"/>
  <c r="R667" i="1" l="1"/>
  <c r="R673" i="1"/>
  <c r="R595" i="1"/>
  <c r="R671" i="1"/>
  <c r="R672" i="1"/>
  <c r="R592" i="1"/>
  <c r="R600" i="1"/>
  <c r="R597" i="1"/>
  <c r="R670" i="1"/>
  <c r="R674" i="1"/>
  <c r="R669" i="1"/>
  <c r="R596" i="1"/>
  <c r="R598" i="1"/>
  <c r="R602" i="1"/>
  <c r="R599" i="1"/>
  <c r="R666" i="1"/>
  <c r="R594" i="1"/>
  <c r="R593" i="1"/>
  <c r="R601" i="1"/>
  <c r="E211" i="231"/>
  <c r="F211" i="231" s="1"/>
  <c r="G211" i="231" s="1"/>
  <c r="E212" i="231" l="1"/>
  <c r="F212" i="231" s="1"/>
  <c r="G212" i="231" s="1"/>
  <c r="E213" i="231" l="1"/>
  <c r="F213" i="231" s="1"/>
  <c r="G213" i="231" s="1"/>
  <c r="J76" i="26"/>
  <c r="J202" i="5" s="1"/>
  <c r="L202" i="5" s="1"/>
  <c r="O1309" i="248" s="1"/>
  <c r="R1309" i="248" s="1"/>
  <c r="J77" i="26"/>
  <c r="M1330" i="1" l="1"/>
  <c r="R1330" i="1" s="1"/>
  <c r="E204" i="4"/>
  <c r="G18" i="168"/>
  <c r="E214" i="231"/>
  <c r="F214" i="231" s="1"/>
  <c r="G214" i="231" s="1"/>
  <c r="J47" i="26"/>
  <c r="J46" i="26"/>
  <c r="N96" i="5"/>
  <c r="N269" i="5"/>
  <c r="M931" i="1" s="1"/>
  <c r="M939" i="1" l="1"/>
  <c r="M961" i="1" s="1"/>
  <c r="M934" i="1"/>
  <c r="O931" i="1"/>
  <c r="O752" i="1"/>
  <c r="R752" i="1" s="1"/>
  <c r="E215" i="231"/>
  <c r="F215" i="231" s="1"/>
  <c r="G215" i="231" s="1"/>
  <c r="J228" i="5"/>
  <c r="L228" i="5" s="1"/>
  <c r="J198" i="5"/>
  <c r="L198" i="5" s="1"/>
  <c r="I268" i="5"/>
  <c r="L268" i="5" s="1"/>
  <c r="O363" i="1"/>
  <c r="O1617" i="1"/>
  <c r="R1627" i="1" s="1"/>
  <c r="O809" i="248" l="1"/>
  <c r="M811" i="1"/>
  <c r="O362" i="248"/>
  <c r="R362" i="248" s="1"/>
  <c r="M918" i="248"/>
  <c r="O1305" i="248"/>
  <c r="M945" i="1"/>
  <c r="M956" i="1"/>
  <c r="O939" i="1"/>
  <c r="O934" i="1"/>
  <c r="M1326" i="1"/>
  <c r="E216" i="231"/>
  <c r="F216" i="231" s="1"/>
  <c r="G216" i="231" s="1"/>
  <c r="E184" i="4"/>
  <c r="G14" i="168"/>
  <c r="R1617" i="1"/>
  <c r="O1607" i="1"/>
  <c r="M363" i="1"/>
  <c r="R363" i="1" s="1"/>
  <c r="S811" i="1" l="1"/>
  <c r="R811" i="1"/>
  <c r="S809" i="248"/>
  <c r="R809" i="248"/>
  <c r="M940" i="248"/>
  <c r="M913" i="248"/>
  <c r="O918" i="248"/>
  <c r="R1305" i="248"/>
  <c r="X934" i="1"/>
  <c r="X942" i="1"/>
  <c r="O945" i="1"/>
  <c r="O956" i="1"/>
  <c r="V956" i="1" s="1"/>
  <c r="X939" i="1"/>
  <c r="O961" i="1"/>
  <c r="V961" i="1" s="1"/>
  <c r="X363" i="1"/>
  <c r="R1326" i="1"/>
  <c r="E217" i="231"/>
  <c r="F217" i="231" s="1"/>
  <c r="G217" i="231" s="1"/>
  <c r="U1607" i="1"/>
  <c r="O940" i="248" l="1"/>
  <c r="U940" i="248" s="1"/>
  <c r="O913" i="248"/>
  <c r="M924" i="248"/>
  <c r="M935" i="248"/>
  <c r="E218" i="231"/>
  <c r="F218" i="231" s="1"/>
  <c r="G218" i="231" s="1"/>
  <c r="U913" i="248" l="1"/>
  <c r="O924" i="248"/>
  <c r="O935" i="248"/>
  <c r="V363" i="1"/>
  <c r="E219" i="231"/>
  <c r="F219" i="231" s="1"/>
  <c r="G219" i="231" s="1"/>
  <c r="U935" i="248" l="1"/>
  <c r="U362" i="248"/>
  <c r="E220" i="231"/>
  <c r="F220" i="231" s="1"/>
  <c r="G220" i="231" s="1"/>
  <c r="N218" i="5"/>
  <c r="E221" i="231" l="1"/>
  <c r="F221" i="231" s="1"/>
  <c r="G221" i="231" s="1"/>
  <c r="O1368" i="1"/>
  <c r="H17" i="169"/>
  <c r="I218" i="5"/>
  <c r="L218" i="5" s="1"/>
  <c r="O1347" i="248" s="1"/>
  <c r="R1347" i="248" s="1"/>
  <c r="E222" i="231" l="1"/>
  <c r="F222" i="231" s="1"/>
  <c r="G222" i="231" s="1"/>
  <c r="M1368" i="1"/>
  <c r="R1368" i="1" s="1"/>
  <c r="G17" i="169"/>
  <c r="N366" i="5"/>
  <c r="N356" i="5"/>
  <c r="N190" i="5"/>
  <c r="O329" i="1" s="1"/>
  <c r="H13" i="178" l="1"/>
  <c r="H19" i="178" s="1"/>
  <c r="H21" i="178" s="1"/>
  <c r="O1271" i="1"/>
  <c r="O1279" i="1" s="1"/>
  <c r="E223" i="231"/>
  <c r="F223" i="231" s="1"/>
  <c r="G223" i="231" s="1"/>
  <c r="H19" i="206"/>
  <c r="N339" i="5"/>
  <c r="H22" i="229" s="1"/>
  <c r="N358" i="5"/>
  <c r="N395" i="5"/>
  <c r="I356" i="5"/>
  <c r="O1218" i="1"/>
  <c r="O1221" i="1" s="1"/>
  <c r="O375" i="1"/>
  <c r="O1424" i="1"/>
  <c r="O1431" i="1" s="1"/>
  <c r="I366" i="5"/>
  <c r="L366" i="5" s="1"/>
  <c r="O377" i="1"/>
  <c r="O412" i="1"/>
  <c r="C1401" i="248" l="1"/>
  <c r="O1403" i="248"/>
  <c r="R1403" i="248" s="1"/>
  <c r="O1250" i="248"/>
  <c r="R1250" i="248" s="1"/>
  <c r="O411" i="248"/>
  <c r="R411" i="248" s="1"/>
  <c r="D411" i="248"/>
  <c r="O376" i="248"/>
  <c r="H32" i="229"/>
  <c r="H34" i="229" s="1"/>
  <c r="O1176" i="1"/>
  <c r="O1168" i="1" s="1"/>
  <c r="U1168" i="1" s="1"/>
  <c r="O1196" i="1" s="1"/>
  <c r="C1422" i="1"/>
  <c r="M1271" i="1"/>
  <c r="R1271" i="1" s="1"/>
  <c r="D412" i="1"/>
  <c r="M377" i="1"/>
  <c r="G13" i="178"/>
  <c r="G19" i="178" s="1"/>
  <c r="G21" i="178" s="1"/>
  <c r="E224" i="231"/>
  <c r="F224" i="231" s="1"/>
  <c r="G224" i="231" s="1"/>
  <c r="X412" i="1"/>
  <c r="H28" i="187"/>
  <c r="O376" i="1"/>
  <c r="I358" i="5"/>
  <c r="L358" i="5" s="1"/>
  <c r="O1239" i="1"/>
  <c r="X375" i="1"/>
  <c r="M1424" i="1"/>
  <c r="M412" i="1"/>
  <c r="X377" i="1"/>
  <c r="O1248" i="1"/>
  <c r="U1248" i="1" s="1"/>
  <c r="I395" i="5"/>
  <c r="L395" i="5" s="1"/>
  <c r="O1402" i="1"/>
  <c r="O1405" i="1" s="1"/>
  <c r="O411" i="1"/>
  <c r="I339" i="5"/>
  <c r="L339" i="5" s="1"/>
  <c r="C1146" i="248" s="1"/>
  <c r="O368" i="1"/>
  <c r="E136" i="4" l="1"/>
  <c r="O1155" i="248"/>
  <c r="G22" i="229"/>
  <c r="G32" i="229" s="1"/>
  <c r="G34" i="229" s="1"/>
  <c r="O367" i="248"/>
  <c r="D367" i="248"/>
  <c r="O375" i="248"/>
  <c r="R375" i="248" s="1"/>
  <c r="O1218" i="248"/>
  <c r="R1218" i="248" s="1"/>
  <c r="R376" i="248"/>
  <c r="O1258" i="248"/>
  <c r="R1258" i="248" s="1"/>
  <c r="O1381" i="248"/>
  <c r="R1381" i="248" s="1"/>
  <c r="O1227" i="248"/>
  <c r="R1227" i="248" s="1"/>
  <c r="O410" i="248"/>
  <c r="O1410" i="248"/>
  <c r="R1410" i="248" s="1"/>
  <c r="M1176" i="1"/>
  <c r="M1168" i="1" s="1"/>
  <c r="C1167" i="1"/>
  <c r="D368" i="1"/>
  <c r="E225" i="231"/>
  <c r="F225" i="231" s="1"/>
  <c r="G225" i="231" s="1"/>
  <c r="O1243" i="1"/>
  <c r="U1239" i="1"/>
  <c r="O1251" i="1" s="1"/>
  <c r="X376" i="1" s="1"/>
  <c r="X411" i="1"/>
  <c r="G28" i="187"/>
  <c r="M376" i="1"/>
  <c r="M1239" i="1"/>
  <c r="M368" i="1"/>
  <c r="X368" i="1"/>
  <c r="M1402" i="1"/>
  <c r="M1248" i="1"/>
  <c r="G38" i="80"/>
  <c r="G57" i="80" s="1"/>
  <c r="H57" i="80" s="1"/>
  <c r="M411" i="1"/>
  <c r="R377" i="1"/>
  <c r="R1270" i="1"/>
  <c r="M1279" i="1"/>
  <c r="R1279" i="1" s="1"/>
  <c r="R412" i="1"/>
  <c r="M1431" i="1"/>
  <c r="R1431" i="1" s="1"/>
  <c r="R1433" i="1" s="1"/>
  <c r="R1424" i="1"/>
  <c r="R1155" i="248" l="1"/>
  <c r="D1147" i="248"/>
  <c r="U376" i="248"/>
  <c r="U411" i="248"/>
  <c r="R367" i="248"/>
  <c r="R1248" i="248"/>
  <c r="R1263" i="248"/>
  <c r="R1247" i="248"/>
  <c r="R1243" i="248"/>
  <c r="R1238" i="248"/>
  <c r="R1242" i="248"/>
  <c r="R1240" i="248"/>
  <c r="R1261" i="248"/>
  <c r="R1241" i="248"/>
  <c r="R1260" i="248"/>
  <c r="R1264" i="248"/>
  <c r="R1262" i="248"/>
  <c r="R1257" i="248"/>
  <c r="R1259" i="248"/>
  <c r="R1239" i="248"/>
  <c r="R1256" i="248"/>
  <c r="R1244" i="248"/>
  <c r="R1246" i="248"/>
  <c r="R1245" i="248"/>
  <c r="S1218" i="248"/>
  <c r="O1222" i="248"/>
  <c r="R410" i="248"/>
  <c r="O1147" i="248"/>
  <c r="R1147" i="248" s="1"/>
  <c r="O1384" i="248"/>
  <c r="R1384" i="248" s="1"/>
  <c r="S1227" i="248"/>
  <c r="R1176" i="1"/>
  <c r="D1168" i="1"/>
  <c r="S1168" i="1"/>
  <c r="M1196" i="1" s="1"/>
  <c r="R1196" i="1" s="1"/>
  <c r="R1168" i="1"/>
  <c r="R1261" i="1"/>
  <c r="R1281" i="1"/>
  <c r="E226" i="231"/>
  <c r="F226" i="231" s="1"/>
  <c r="G226" i="231" s="1"/>
  <c r="R1414" i="1"/>
  <c r="R1435" i="1"/>
  <c r="S1239" i="1"/>
  <c r="M1243" i="1"/>
  <c r="R1248" i="1"/>
  <c r="S1248" i="1"/>
  <c r="V377" i="1"/>
  <c r="R1430" i="1"/>
  <c r="R1418" i="1"/>
  <c r="R1421" i="1"/>
  <c r="R1415" i="1"/>
  <c r="R1419" i="1"/>
  <c r="R1416" i="1"/>
  <c r="R1437" i="1"/>
  <c r="R1436" i="1"/>
  <c r="R1412" i="1"/>
  <c r="R1422" i="1"/>
  <c r="R1432" i="1"/>
  <c r="R1429" i="1"/>
  <c r="R1420" i="1"/>
  <c r="R1417" i="1"/>
  <c r="R1434" i="1"/>
  <c r="R1413" i="1"/>
  <c r="V412" i="1"/>
  <c r="M1405" i="1"/>
  <c r="R1405" i="1" s="1"/>
  <c r="R1402" i="1"/>
  <c r="R368" i="1"/>
  <c r="R1239" i="1"/>
  <c r="R1278" i="1"/>
  <c r="R1264" i="1"/>
  <c r="R1282" i="1"/>
  <c r="R1260" i="1"/>
  <c r="R1269" i="1"/>
  <c r="R1280" i="1"/>
  <c r="R1284" i="1"/>
  <c r="R1259" i="1"/>
  <c r="R1265" i="1"/>
  <c r="R1262" i="1"/>
  <c r="R1268" i="1"/>
  <c r="R1266" i="1"/>
  <c r="R1267" i="1"/>
  <c r="R1283" i="1"/>
  <c r="R1285" i="1"/>
  <c r="R1263" i="1"/>
  <c r="R1277" i="1"/>
  <c r="R411" i="1"/>
  <c r="R376" i="1"/>
  <c r="O1230" i="248" l="1"/>
  <c r="S1147" i="248"/>
  <c r="O1175" i="248" s="1"/>
  <c r="R1175" i="248" s="1"/>
  <c r="R1415" i="248"/>
  <c r="R1411" i="248"/>
  <c r="R1400" i="248"/>
  <c r="R1414" i="248"/>
  <c r="R1393" i="248"/>
  <c r="R1395" i="248"/>
  <c r="R1396" i="248"/>
  <c r="R1412" i="248"/>
  <c r="R1398" i="248"/>
  <c r="R1416" i="248"/>
  <c r="R1413" i="248"/>
  <c r="R1401" i="248"/>
  <c r="R1397" i="248"/>
  <c r="R1394" i="248"/>
  <c r="R1408" i="248"/>
  <c r="R1392" i="248"/>
  <c r="R1391" i="248"/>
  <c r="R1409" i="248"/>
  <c r="R1399" i="248"/>
  <c r="U410" i="248"/>
  <c r="R1169" i="1"/>
  <c r="R1170" i="1" s="1"/>
  <c r="R1179" i="1"/>
  <c r="R1180" i="1" s="1"/>
  <c r="R1194" i="1"/>
  <c r="R1388" i="1"/>
  <c r="R1407" i="1"/>
  <c r="R1159" i="1"/>
  <c r="R1198" i="1"/>
  <c r="E227" i="231"/>
  <c r="F227" i="231" s="1"/>
  <c r="G227" i="231" s="1"/>
  <c r="M1251" i="1"/>
  <c r="R1251" i="1" s="1"/>
  <c r="R1253" i="1" s="1"/>
  <c r="V411" i="1"/>
  <c r="V368" i="1"/>
  <c r="R1158" i="1"/>
  <c r="R1162" i="1"/>
  <c r="R1163" i="1"/>
  <c r="R1201" i="1"/>
  <c r="R1161" i="1"/>
  <c r="R1167" i="1"/>
  <c r="R1195" i="1"/>
  <c r="R1199" i="1"/>
  <c r="R1202" i="1"/>
  <c r="R1157" i="1"/>
  <c r="R1166" i="1"/>
  <c r="R1164" i="1"/>
  <c r="R1165" i="1"/>
  <c r="R1160" i="1"/>
  <c r="R1200" i="1"/>
  <c r="R1197" i="1"/>
  <c r="R1404" i="1"/>
  <c r="R1403" i="1"/>
  <c r="R1387" i="1"/>
  <c r="R1408" i="1"/>
  <c r="R1394" i="1"/>
  <c r="R1410" i="1"/>
  <c r="R1396" i="1"/>
  <c r="R1390" i="1"/>
  <c r="R1386" i="1"/>
  <c r="R1392" i="1"/>
  <c r="R1391" i="1"/>
  <c r="R1409" i="1"/>
  <c r="R1395" i="1"/>
  <c r="R1411" i="1"/>
  <c r="R1393" i="1"/>
  <c r="R1406" i="1"/>
  <c r="R1389" i="1"/>
  <c r="U375" i="248" l="1"/>
  <c r="R1230" i="248"/>
  <c r="R1216" i="248" s="1"/>
  <c r="R1158" i="248"/>
  <c r="R1159" i="248" s="1"/>
  <c r="R1148" i="248"/>
  <c r="R1149" i="248" s="1"/>
  <c r="U367" i="248"/>
  <c r="R1372" i="248"/>
  <c r="R1382" i="248"/>
  <c r="R1373" i="248"/>
  <c r="R1390" i="248"/>
  <c r="R1368" i="248"/>
  <c r="R1387" i="248"/>
  <c r="R1366" i="248"/>
  <c r="R1389" i="248"/>
  <c r="R1386" i="248"/>
  <c r="R1371" i="248"/>
  <c r="R1374" i="248"/>
  <c r="R1388" i="248"/>
  <c r="R1383" i="248"/>
  <c r="R1385" i="248"/>
  <c r="R1367" i="248"/>
  <c r="R1370" i="248"/>
  <c r="R1369" i="248"/>
  <c r="R1375" i="248"/>
  <c r="R1365" i="248"/>
  <c r="E228" i="231"/>
  <c r="F228" i="231" s="1"/>
  <c r="G228" i="231" s="1"/>
  <c r="R1258" i="1"/>
  <c r="R1230" i="1"/>
  <c r="R1236" i="1"/>
  <c r="R1237" i="1"/>
  <c r="R1232" i="1"/>
  <c r="R1234" i="1"/>
  <c r="R1229" i="1"/>
  <c r="R1252" i="1"/>
  <c r="R1257" i="1"/>
  <c r="R1233" i="1"/>
  <c r="R1238" i="1"/>
  <c r="R1231" i="1"/>
  <c r="R1249" i="1"/>
  <c r="R1256" i="1"/>
  <c r="V376" i="1"/>
  <c r="R1235" i="1"/>
  <c r="R1250" i="1"/>
  <c r="R1228" i="1"/>
  <c r="R1217" i="248" l="1"/>
  <c r="R1235" i="248"/>
  <c r="R1207" i="248"/>
  <c r="R1231" i="248"/>
  <c r="R1232" i="248"/>
  <c r="R1208" i="248"/>
  <c r="R1211" i="248"/>
  <c r="R1237" i="248"/>
  <c r="R1213" i="248"/>
  <c r="R1215" i="248"/>
  <c r="R1228" i="248"/>
  <c r="R1214" i="248"/>
  <c r="R1212" i="248"/>
  <c r="R1229" i="248"/>
  <c r="R1236" i="248"/>
  <c r="R1209" i="248"/>
  <c r="R1210" i="248"/>
  <c r="R1181" i="248"/>
  <c r="R1141" i="248"/>
  <c r="R1140" i="248"/>
  <c r="R1145" i="248"/>
  <c r="R1174" i="248"/>
  <c r="R1178" i="248"/>
  <c r="R1180" i="248"/>
  <c r="R1177" i="248"/>
  <c r="R1138" i="248"/>
  <c r="R1144" i="248"/>
  <c r="R1143" i="248"/>
  <c r="R1146" i="248"/>
  <c r="R1136" i="248"/>
  <c r="R1179" i="248"/>
  <c r="R1142" i="248"/>
  <c r="R1139" i="248"/>
  <c r="R1137" i="248"/>
  <c r="R1173" i="248"/>
  <c r="R1176" i="248"/>
  <c r="E229" i="231"/>
  <c r="F229" i="231" s="1"/>
  <c r="G229" i="231" s="1"/>
  <c r="E230" i="231" l="1"/>
  <c r="F230" i="231" s="1"/>
  <c r="G230" i="231" s="1"/>
  <c r="N32" i="5"/>
  <c r="E231" i="231" l="1"/>
  <c r="F231" i="231" s="1"/>
  <c r="G231" i="231" s="1"/>
  <c r="E232" i="231" l="1"/>
  <c r="F232" i="231" s="1"/>
  <c r="G232" i="231" s="1"/>
  <c r="E233" i="231" l="1"/>
  <c r="F233" i="231" s="1"/>
  <c r="G233" i="231" s="1"/>
  <c r="E234" i="231" l="1"/>
  <c r="F234" i="231" s="1"/>
  <c r="G234" i="231" s="1"/>
  <c r="E235" i="231" l="1"/>
  <c r="F235" i="231" s="1"/>
  <c r="G235" i="231" s="1"/>
  <c r="E236" i="231" l="1"/>
  <c r="F236" i="231" s="1"/>
  <c r="G236" i="231" s="1"/>
  <c r="E237" i="231" l="1"/>
  <c r="F237" i="231" s="1"/>
  <c r="G237" i="231" s="1"/>
  <c r="J22" i="26" l="1"/>
  <c r="J21" i="26"/>
  <c r="J81" i="5" s="1"/>
  <c r="L81" i="5" s="1"/>
  <c r="E238" i="231"/>
  <c r="F238" i="231" s="1"/>
  <c r="G238" i="231" s="1"/>
  <c r="G255" i="4" l="1"/>
  <c r="G259" i="4" s="1"/>
  <c r="M1689" i="1"/>
  <c r="O1603" i="248"/>
  <c r="Q18" i="89"/>
  <c r="Q19" i="89" s="1"/>
  <c r="O1632" i="248"/>
  <c r="M1668" i="248"/>
  <c r="M1624" i="1"/>
  <c r="M1653" i="1"/>
  <c r="J189" i="5"/>
  <c r="L189" i="5" s="1"/>
  <c r="J188" i="5"/>
  <c r="L188" i="5" s="1"/>
  <c r="J238" i="5"/>
  <c r="L238" i="5" s="1"/>
  <c r="E239" i="231"/>
  <c r="F239" i="231" s="1"/>
  <c r="G239" i="231" s="1"/>
  <c r="M1684" i="248" l="1"/>
  <c r="M1705" i="1"/>
  <c r="G253" i="4"/>
  <c r="R1624" i="1"/>
  <c r="M1607" i="1"/>
  <c r="R1668" i="248"/>
  <c r="O1659" i="248"/>
  <c r="R1632" i="248"/>
  <c r="O1627" i="248"/>
  <c r="R1603" i="248"/>
  <c r="O1586" i="248"/>
  <c r="M1648" i="1"/>
  <c r="R1653" i="1"/>
  <c r="R1689" i="1"/>
  <c r="O1680" i="1"/>
  <c r="O394" i="248"/>
  <c r="R394" i="248" s="1"/>
  <c r="M395" i="1"/>
  <c r="R395" i="1" s="1"/>
  <c r="M1299" i="1"/>
  <c r="R1299" i="1" s="1"/>
  <c r="O1278" i="248"/>
  <c r="R1278" i="248" s="1"/>
  <c r="M1298" i="1"/>
  <c r="R1298" i="1" s="1"/>
  <c r="O1277" i="248"/>
  <c r="R1277" i="248" s="1"/>
  <c r="O819" i="248"/>
  <c r="M821" i="1"/>
  <c r="E240" i="231"/>
  <c r="F240" i="231" s="1"/>
  <c r="G240" i="231" s="1"/>
  <c r="R1684" i="248" l="1"/>
  <c r="R1705" i="1"/>
  <c r="R1586" i="248"/>
  <c r="S1586" i="248"/>
  <c r="S1659" i="248"/>
  <c r="R1659" i="248"/>
  <c r="S1627" i="248"/>
  <c r="R1627" i="248"/>
  <c r="S1607" i="1"/>
  <c r="R1607" i="1"/>
  <c r="R1680" i="1"/>
  <c r="S1680" i="1"/>
  <c r="S1648" i="1"/>
  <c r="R1648" i="1"/>
  <c r="R1296" i="1"/>
  <c r="R1292" i="1" s="1"/>
  <c r="O1281" i="248"/>
  <c r="U394" i="248" s="1"/>
  <c r="R1275" i="248"/>
  <c r="R1270" i="248" s="1"/>
  <c r="M1302" i="1"/>
  <c r="V395" i="1" s="1"/>
  <c r="S821" i="1"/>
  <c r="R821" i="1"/>
  <c r="S819" i="248"/>
  <c r="R819" i="248"/>
  <c r="E241" i="231"/>
  <c r="F241" i="231" s="1"/>
  <c r="G241" i="231" s="1"/>
  <c r="R1655" i="1" l="1"/>
  <c r="R1656" i="1" s="1"/>
  <c r="R1657" i="1" s="1"/>
  <c r="R1658" i="1" s="1"/>
  <c r="R1659" i="1" s="1"/>
  <c r="R1649" i="1"/>
  <c r="R1650" i="1" s="1"/>
  <c r="R1675" i="248"/>
  <c r="R1677" i="248"/>
  <c r="R1678" i="248" s="1"/>
  <c r="R1676" i="248"/>
  <c r="R1634" i="248"/>
  <c r="R1635" i="248" s="1"/>
  <c r="R1636" i="248" s="1"/>
  <c r="R1637" i="248" s="1"/>
  <c r="R1638" i="248" s="1"/>
  <c r="R1628" i="248"/>
  <c r="R1629" i="248" s="1"/>
  <c r="R1643" i="1"/>
  <c r="R1608" i="1"/>
  <c r="R1609" i="1" s="1"/>
  <c r="R1698" i="1"/>
  <c r="R1699" i="1" s="1"/>
  <c r="R1697" i="1"/>
  <c r="R1696" i="1"/>
  <c r="R1587" i="248"/>
  <c r="R1588" i="248" s="1"/>
  <c r="R1622" i="248"/>
  <c r="R1308" i="1"/>
  <c r="R1300" i="1"/>
  <c r="R1276" i="248"/>
  <c r="R1307" i="1"/>
  <c r="R1303" i="1"/>
  <c r="R1295" i="1"/>
  <c r="R1289" i="1"/>
  <c r="R1291" i="1"/>
  <c r="R1293" i="1"/>
  <c r="R1304" i="1"/>
  <c r="R1297" i="1"/>
  <c r="R1268" i="248"/>
  <c r="R1273" i="248"/>
  <c r="R1284" i="248"/>
  <c r="R1287" i="248"/>
  <c r="R1280" i="248"/>
  <c r="R1285" i="248"/>
  <c r="R1281" i="248"/>
  <c r="R1283" i="248"/>
  <c r="R1279" i="248"/>
  <c r="R1274" i="248"/>
  <c r="R1267" i="248"/>
  <c r="R1266" i="248"/>
  <c r="R1272" i="248"/>
  <c r="R1286" i="248"/>
  <c r="R1269" i="248"/>
  <c r="R1282" i="248"/>
  <c r="R1265" i="248"/>
  <c r="R1271" i="248"/>
  <c r="R1301" i="1"/>
  <c r="R1302" i="1"/>
  <c r="R1286" i="1"/>
  <c r="R1306" i="1"/>
  <c r="R1287" i="1"/>
  <c r="R1294" i="1"/>
  <c r="R1288" i="1"/>
  <c r="R1290" i="1"/>
  <c r="R1305" i="1"/>
  <c r="E242" i="231"/>
  <c r="F242" i="231" s="1"/>
  <c r="G242" i="231" s="1"/>
  <c r="E243" i="231" l="1"/>
  <c r="F243" i="231" s="1"/>
  <c r="G243" i="231" s="1"/>
  <c r="E244" i="231" l="1"/>
  <c r="F244" i="231" s="1"/>
  <c r="G244" i="231" s="1"/>
  <c r="E245" i="231" l="1"/>
  <c r="F245" i="231" s="1"/>
  <c r="G245" i="231" s="1"/>
  <c r="E246" i="231" l="1"/>
  <c r="F246" i="231" s="1"/>
  <c r="G246" i="231" s="1"/>
  <c r="E247" i="231" l="1"/>
  <c r="F247" i="231" s="1"/>
  <c r="G247" i="231" s="1"/>
  <c r="E248" i="231" l="1"/>
  <c r="F248" i="231" s="1"/>
  <c r="G248" i="231" s="1"/>
  <c r="E249" i="231" l="1"/>
  <c r="F249" i="231" s="1"/>
  <c r="G249" i="231" s="1"/>
  <c r="E250" i="231" l="1"/>
  <c r="F250" i="231" s="1"/>
  <c r="G250" i="231" s="1"/>
  <c r="E251" i="231" l="1"/>
  <c r="F251" i="231" s="1"/>
  <c r="G251" i="231" s="1"/>
  <c r="E252" i="231" l="1"/>
  <c r="F252" i="231" s="1"/>
  <c r="G252" i="231" s="1"/>
  <c r="E253" i="231" l="1"/>
  <c r="F253" i="231" s="1"/>
  <c r="G253" i="231" s="1"/>
  <c r="E254" i="231" l="1"/>
  <c r="F254" i="231" s="1"/>
  <c r="G254" i="231" s="1"/>
  <c r="E255" i="231" l="1"/>
  <c r="F255" i="231" s="1"/>
  <c r="G255" i="231" s="1"/>
  <c r="E256" i="231" l="1"/>
  <c r="F256" i="231" l="1"/>
  <c r="E258" i="231"/>
  <c r="F258" i="231" l="1"/>
  <c r="G256" i="231"/>
  <c r="E400" i="136"/>
  <c r="D2" i="136" s="1"/>
  <c r="H2" i="136" s="1"/>
  <c r="I400" i="136" l="1"/>
  <c r="I2" i="136" s="1"/>
  <c r="F81" i="80"/>
  <c r="F32" i="5"/>
  <c r="F71" i="80"/>
  <c r="F79" i="80" s="1"/>
  <c r="F115" i="80" l="1"/>
  <c r="F117" i="80" s="1"/>
  <c r="F122" i="80" s="1"/>
  <c r="F127" i="80" s="1"/>
  <c r="F400" i="5"/>
  <c r="F2" i="5" s="1"/>
  <c r="K2" i="5" s="1"/>
  <c r="L32" i="5"/>
  <c r="J90" i="26" l="1"/>
  <c r="J91" i="26" l="1"/>
  <c r="O806" i="248" l="1"/>
  <c r="M808" i="1"/>
  <c r="N41" i="5"/>
  <c r="O305" i="1" s="1"/>
  <c r="S806" i="248" l="1"/>
  <c r="R806" i="248"/>
  <c r="V808" i="1"/>
  <c r="S808" i="1"/>
  <c r="R808" i="1"/>
  <c r="U305" i="1"/>
  <c r="O748" i="1"/>
  <c r="O755" i="1" s="1"/>
  <c r="X755" i="1" s="1"/>
  <c r="O1561" i="1"/>
  <c r="O315" i="1" l="1"/>
  <c r="O1555" i="1"/>
  <c r="R1561" i="1"/>
  <c r="R748" i="1"/>
  <c r="R755" i="1"/>
  <c r="R757" i="1" s="1"/>
  <c r="O321" i="1" l="1"/>
  <c r="R739" i="1"/>
  <c r="R759" i="1"/>
  <c r="R740" i="1"/>
  <c r="R745" i="1"/>
  <c r="R741" i="1"/>
  <c r="R747" i="1"/>
  <c r="R760" i="1"/>
  <c r="R753" i="1"/>
  <c r="R742" i="1"/>
  <c r="R756" i="1"/>
  <c r="R758" i="1"/>
  <c r="R743" i="1"/>
  <c r="R737" i="1"/>
  <c r="R754" i="1"/>
  <c r="R744" i="1"/>
  <c r="R738" i="1"/>
  <c r="R746" i="1"/>
  <c r="R761" i="1"/>
  <c r="R1555" i="1"/>
  <c r="U1555" i="1"/>
  <c r="O1588" i="1" l="1"/>
  <c r="O1604" i="1"/>
  <c r="O1663" i="1"/>
  <c r="X305" i="1" s="1"/>
  <c r="O1658" i="1"/>
  <c r="O1646" i="1"/>
  <c r="R1585" i="1"/>
  <c r="R1556" i="1"/>
  <c r="X1604" i="1" l="1"/>
  <c r="R1557" i="1"/>
  <c r="I227" i="5" l="1"/>
  <c r="L227" i="5" s="1"/>
  <c r="O804" i="248" l="1"/>
  <c r="S804" i="248" s="1"/>
  <c r="R800" i="248"/>
  <c r="O801" i="248" l="1"/>
  <c r="R835" i="248"/>
  <c r="R827" i="248"/>
  <c r="R802" i="248"/>
  <c r="R801" i="248"/>
  <c r="R833" i="248"/>
  <c r="R829" i="248"/>
  <c r="R808" i="248"/>
  <c r="R824" i="248"/>
  <c r="R803" i="248"/>
  <c r="R834" i="248"/>
  <c r="R830" i="248"/>
  <c r="R826" i="248"/>
  <c r="R825" i="248"/>
  <c r="R804" i="248"/>
  <c r="R799" i="248"/>
  <c r="R828" i="248"/>
  <c r="R807" i="248"/>
  <c r="R798" i="248"/>
  <c r="R802" i="1"/>
  <c r="R837" i="1" s="1"/>
  <c r="M806" i="1"/>
  <c r="I18" i="89"/>
  <c r="I19" i="89" s="1"/>
  <c r="R838" i="248"/>
  <c r="R795" i="248"/>
  <c r="R790" i="248"/>
  <c r="R837" i="248"/>
  <c r="R792" i="248"/>
  <c r="R794" i="248"/>
  <c r="R840" i="248"/>
  <c r="R797" i="248"/>
  <c r="R793" i="248"/>
  <c r="R839" i="248"/>
  <c r="R796" i="248"/>
  <c r="R791" i="248"/>
  <c r="R836" i="248"/>
  <c r="R794" i="1" l="1"/>
  <c r="R840" i="1"/>
  <c r="R795" i="1"/>
  <c r="R792" i="1"/>
  <c r="R842" i="1"/>
  <c r="R798" i="1"/>
  <c r="R836" i="1"/>
  <c r="R796" i="1"/>
  <c r="R797" i="1"/>
  <c r="R841" i="1"/>
  <c r="R806" i="1"/>
  <c r="R801" i="1"/>
  <c r="R835" i="1"/>
  <c r="R838" i="1"/>
  <c r="R839" i="1"/>
  <c r="R793" i="1"/>
  <c r="R799" i="1"/>
  <c r="R804" i="1"/>
  <c r="R826" i="1"/>
  <c r="R800" i="1"/>
  <c r="R809" i="1"/>
  <c r="R810" i="1"/>
  <c r="R803" i="1"/>
  <c r="R832" i="1"/>
  <c r="R827" i="1"/>
  <c r="R831" i="1"/>
  <c r="R829" i="1"/>
  <c r="R830" i="1"/>
  <c r="R828" i="1"/>
  <c r="R805" i="1"/>
  <c r="S806" i="1"/>
  <c r="V806" i="1"/>
  <c r="O362" i="1"/>
  <c r="M803" i="1" l="1"/>
  <c r="V803" i="1" s="1"/>
  <c r="O359" i="1"/>
  <c r="U359" i="1" s="1"/>
  <c r="X362" i="1"/>
  <c r="J18" i="89"/>
  <c r="J19" i="89" l="1"/>
  <c r="K18" i="89"/>
  <c r="K19" i="89" s="1"/>
  <c r="N210" i="5" l="1"/>
  <c r="H9" i="169" l="1"/>
  <c r="O1360" i="1"/>
  <c r="I210" i="5"/>
  <c r="L210" i="5" s="1"/>
  <c r="O1339" i="248" l="1"/>
  <c r="R1339" i="248" s="1"/>
  <c r="M1360" i="1"/>
  <c r="R1360" i="1" s="1"/>
  <c r="G9" i="169"/>
  <c r="N385" i="5" l="1"/>
  <c r="O1496" i="1" s="1"/>
  <c r="O1504" i="1" l="1"/>
  <c r="O378" i="1"/>
  <c r="I384" i="5"/>
  <c r="L384" i="5" s="1"/>
  <c r="O416" i="1"/>
  <c r="O372" i="1" l="1"/>
  <c r="U372" i="1" s="1"/>
  <c r="O384" i="1" s="1"/>
  <c r="X378" i="1"/>
  <c r="O1474" i="248"/>
  <c r="M1495" i="1"/>
  <c r="O408" i="1"/>
  <c r="U408" i="1" s="1"/>
  <c r="X416" i="1"/>
  <c r="N173" i="5"/>
  <c r="R1474" i="248" l="1"/>
  <c r="W1474" i="248"/>
  <c r="D1474" i="248" s="1"/>
  <c r="R1495" i="1"/>
  <c r="Y1495" i="1"/>
  <c r="V1495" i="1"/>
  <c r="Z1495" i="1"/>
  <c r="I190" i="5"/>
  <c r="L190" i="5" s="1"/>
  <c r="O323" i="1"/>
  <c r="O326" i="1" s="1"/>
  <c r="O777" i="1"/>
  <c r="O396" i="1"/>
  <c r="Q3" i="5"/>
  <c r="O774" i="1" l="1"/>
  <c r="U774" i="1" s="1"/>
  <c r="O782" i="1" s="1"/>
  <c r="X1496" i="1"/>
  <c r="D1495" i="1"/>
  <c r="M329" i="1"/>
  <c r="O329" i="248"/>
  <c r="W329" i="248" s="1"/>
  <c r="D328" i="248" s="1"/>
  <c r="O333" i="1"/>
  <c r="X326" i="1"/>
  <c r="O390" i="1"/>
  <c r="U390" i="1" s="1"/>
  <c r="X323" i="1"/>
  <c r="Y329" i="1" l="1"/>
  <c r="Z329" i="1"/>
  <c r="X396" i="1"/>
  <c r="D328" i="1" l="1"/>
  <c r="N209" i="5"/>
  <c r="A400" i="5"/>
  <c r="I209" i="5" l="1"/>
  <c r="O1359" i="1"/>
  <c r="O1378" i="1" s="1"/>
  <c r="H8" i="169"/>
  <c r="H26" i="169" s="1"/>
  <c r="H28" i="169" s="1"/>
  <c r="O404" i="1"/>
  <c r="O400" i="1" s="1"/>
  <c r="U400" i="1" s="1"/>
  <c r="O422" i="1" s="1"/>
  <c r="N400" i="5"/>
  <c r="N2" i="5" s="1"/>
  <c r="X384" i="1" l="1"/>
  <c r="I400" i="5"/>
  <c r="X404" i="1"/>
  <c r="X2" i="1" l="1"/>
  <c r="Q282" i="1" l="1"/>
  <c r="O77" i="1" l="1"/>
  <c r="Q349" i="1"/>
  <c r="O79" i="1" s="1"/>
  <c r="Q432" i="1" l="1"/>
  <c r="J20" i="5"/>
  <c r="L20" i="5" l="1"/>
  <c r="J20" i="26" l="1"/>
  <c r="J237" i="5" l="1"/>
  <c r="L237" i="5" s="1"/>
  <c r="J356" i="5"/>
  <c r="L356" i="5" s="1"/>
  <c r="J19" i="26"/>
  <c r="J30" i="5" l="1"/>
  <c r="L30" i="5" s="1"/>
  <c r="J192" i="5"/>
  <c r="L192" i="5" s="1"/>
  <c r="O810" i="248"/>
  <c r="M812" i="1"/>
  <c r="L18" i="89"/>
  <c r="L19" i="89" s="1"/>
  <c r="O831" i="248"/>
  <c r="M833" i="1"/>
  <c r="J23" i="5"/>
  <c r="L23" i="5" s="1"/>
  <c r="O1197" i="248"/>
  <c r="R1197" i="248" s="1"/>
  <c r="O374" i="248"/>
  <c r="M375" i="1"/>
  <c r="M1218" i="1"/>
  <c r="G19" i="206"/>
  <c r="O1528" i="248" l="1"/>
  <c r="M1549" i="1"/>
  <c r="M1541" i="1" s="1"/>
  <c r="S1541" i="1" s="1"/>
  <c r="M1686" i="248"/>
  <c r="O1679" i="248" s="1"/>
  <c r="M1707" i="1"/>
  <c r="O1700" i="1" s="1"/>
  <c r="R1700" i="1" s="1"/>
  <c r="O1299" i="248"/>
  <c r="G8" i="168"/>
  <c r="G24" i="168" s="1"/>
  <c r="G28" i="168" s="1"/>
  <c r="G30" i="168" s="1"/>
  <c r="E154" i="4"/>
  <c r="M1320" i="1"/>
  <c r="C1298" i="248"/>
  <c r="D402" i="248"/>
  <c r="M403" i="1"/>
  <c r="C1319" i="1"/>
  <c r="O402" i="248"/>
  <c r="R402" i="248" s="1"/>
  <c r="D414" i="1"/>
  <c r="D413" i="248"/>
  <c r="D403" i="1"/>
  <c r="R1528" i="248"/>
  <c r="O1520" i="248"/>
  <c r="M305" i="1"/>
  <c r="R305" i="1" s="1"/>
  <c r="R306" i="1" s="1"/>
  <c r="O305" i="248"/>
  <c r="R305" i="248" s="1"/>
  <c r="R306" i="248" s="1"/>
  <c r="S812" i="1"/>
  <c r="R812" i="1"/>
  <c r="R816" i="1" s="1"/>
  <c r="R833" i="1"/>
  <c r="S833" i="1"/>
  <c r="S810" i="248"/>
  <c r="R810" i="248"/>
  <c r="R814" i="248" s="1"/>
  <c r="S831" i="248"/>
  <c r="R831" i="248"/>
  <c r="M1535" i="1"/>
  <c r="M1525" i="1" s="1"/>
  <c r="O1514" i="248"/>
  <c r="R1514" i="248" s="1"/>
  <c r="R374" i="248"/>
  <c r="O1200" i="248"/>
  <c r="R1200" i="248" s="1"/>
  <c r="M1221" i="1"/>
  <c r="R1221" i="1" s="1"/>
  <c r="R1218" i="1"/>
  <c r="R375" i="1"/>
  <c r="R1686" i="248" l="1"/>
  <c r="R1541" i="1"/>
  <c r="R1543" i="1" s="1"/>
  <c r="R1707" i="1"/>
  <c r="R1549" i="1"/>
  <c r="S1700" i="1"/>
  <c r="R403" i="1"/>
  <c r="R1299" i="248"/>
  <c r="O1316" i="248"/>
  <c r="R1320" i="248"/>
  <c r="S1298" i="248"/>
  <c r="O1320" i="248" s="1"/>
  <c r="U402" i="248" s="1"/>
  <c r="R1320" i="1"/>
  <c r="M1337" i="1"/>
  <c r="S1319" i="1"/>
  <c r="M1341" i="1" s="1"/>
  <c r="V403" i="1" s="1"/>
  <c r="R1341" i="1"/>
  <c r="O814" i="248"/>
  <c r="M816" i="1"/>
  <c r="R1679" i="248"/>
  <c r="S1679" i="248"/>
  <c r="R1520" i="248"/>
  <c r="S1520" i="248"/>
  <c r="R812" i="248"/>
  <c r="R813" i="248"/>
  <c r="R814" i="1"/>
  <c r="R815" i="1"/>
  <c r="W305" i="248"/>
  <c r="D305" i="248" s="1"/>
  <c r="S305" i="248"/>
  <c r="W683" i="248" s="1"/>
  <c r="C683" i="248" s="1"/>
  <c r="O1504" i="248"/>
  <c r="R1504" i="248" s="1"/>
  <c r="R1535" i="1"/>
  <c r="Z305" i="1"/>
  <c r="S305" i="1"/>
  <c r="M315" i="1" s="1"/>
  <c r="Y305" i="1"/>
  <c r="U374" i="248"/>
  <c r="R1191" i="248"/>
  <c r="R1184" i="248"/>
  <c r="R1192" i="248"/>
  <c r="R1189" i="248"/>
  <c r="R1202" i="248"/>
  <c r="R1186" i="248"/>
  <c r="R1205" i="248"/>
  <c r="R1201" i="248"/>
  <c r="R1185" i="248"/>
  <c r="R1187" i="248"/>
  <c r="R1206" i="248"/>
  <c r="R1190" i="248"/>
  <c r="R1199" i="248"/>
  <c r="R1203" i="248"/>
  <c r="R1183" i="248"/>
  <c r="R1204" i="248"/>
  <c r="R1182" i="248"/>
  <c r="R1193" i="248"/>
  <c r="R1198" i="248"/>
  <c r="R1188" i="248"/>
  <c r="V375" i="1"/>
  <c r="R1208" i="1"/>
  <c r="R1213" i="1"/>
  <c r="R1206" i="1"/>
  <c r="R1222" i="1"/>
  <c r="R1214" i="1"/>
  <c r="R1205" i="1"/>
  <c r="R1227" i="1"/>
  <c r="R1204" i="1"/>
  <c r="R1223" i="1"/>
  <c r="R1225" i="1"/>
  <c r="R1207" i="1"/>
  <c r="R1211" i="1"/>
  <c r="R1212" i="1"/>
  <c r="R1226" i="1"/>
  <c r="R1224" i="1"/>
  <c r="R1210" i="1"/>
  <c r="R1219" i="1"/>
  <c r="R1220" i="1"/>
  <c r="R1209" i="1"/>
  <c r="R1203" i="1"/>
  <c r="S1525" i="1"/>
  <c r="R1525" i="1"/>
  <c r="R1542" i="1" l="1"/>
  <c r="R1553" i="1"/>
  <c r="R1554" i="1" s="1"/>
  <c r="R1550" i="1"/>
  <c r="R1551" i="1" s="1"/>
  <c r="R1552" i="1" s="1"/>
  <c r="R1318" i="1"/>
  <c r="R1316" i="1"/>
  <c r="R1317" i="1"/>
  <c r="R1312" i="1"/>
  <c r="R1342" i="1"/>
  <c r="R1314" i="1"/>
  <c r="R1309" i="1"/>
  <c r="R1315" i="1"/>
  <c r="R1310" i="1"/>
  <c r="R1311" i="1"/>
  <c r="R1313" i="1"/>
  <c r="R1340" i="1"/>
  <c r="R1339" i="1"/>
  <c r="R1319" i="1"/>
  <c r="R1344" i="1"/>
  <c r="R1346" i="1"/>
  <c r="R1345" i="1"/>
  <c r="R1347" i="1"/>
  <c r="R1343" i="1"/>
  <c r="R1290" i="248"/>
  <c r="R1322" i="248"/>
  <c r="R1319" i="248"/>
  <c r="R1323" i="248"/>
  <c r="R1295" i="248"/>
  <c r="R1292" i="248"/>
  <c r="R1288" i="248"/>
  <c r="R1289" i="248"/>
  <c r="R1321" i="248"/>
  <c r="R1326" i="248"/>
  <c r="R1293" i="248"/>
  <c r="R1297" i="248"/>
  <c r="R1318" i="248"/>
  <c r="R1294" i="248"/>
  <c r="R1298" i="248"/>
  <c r="R1324" i="248"/>
  <c r="R1325" i="248"/>
  <c r="R1291" i="248"/>
  <c r="R1296" i="248"/>
  <c r="W684" i="248"/>
  <c r="D684" i="248" s="1"/>
  <c r="O315" i="248"/>
  <c r="R1529" i="248"/>
  <c r="R1530" i="248" s="1"/>
  <c r="R1531" i="248" s="1"/>
  <c r="R1521" i="248"/>
  <c r="R1532" i="248"/>
  <c r="R1533" i="248" s="1"/>
  <c r="R1522" i="248"/>
  <c r="D305" i="1"/>
  <c r="S1504" i="248"/>
  <c r="O1532" i="248" s="1"/>
  <c r="Z685" i="1"/>
  <c r="Y685" i="1"/>
  <c r="Y686" i="1"/>
  <c r="Z686" i="1"/>
  <c r="Z315" i="1"/>
  <c r="R1516" i="248"/>
  <c r="R1517" i="248" s="1"/>
  <c r="R1518" i="248" s="1"/>
  <c r="R1519" i="248" s="1"/>
  <c r="R1505" i="248"/>
  <c r="R1506" i="248" s="1"/>
  <c r="R1515" i="248"/>
  <c r="M1646" i="1"/>
  <c r="M1553" i="1"/>
  <c r="M1588" i="1"/>
  <c r="M1604" i="1"/>
  <c r="M1658" i="1"/>
  <c r="M1539" i="1"/>
  <c r="M1663" i="1"/>
  <c r="Z1663" i="1" s="1"/>
  <c r="Y315" i="1"/>
  <c r="R1536" i="1"/>
  <c r="R1537" i="1"/>
  <c r="R1538" i="1" s="1"/>
  <c r="R1539" i="1" s="1"/>
  <c r="R1540" i="1" s="1"/>
  <c r="R1526" i="1"/>
  <c r="R1527" i="1" s="1"/>
  <c r="W315" i="248" l="1"/>
  <c r="D315" i="248" s="1"/>
  <c r="O1518" i="248"/>
  <c r="W1518" i="248" s="1"/>
  <c r="C1518" i="248" s="1"/>
  <c r="O1642" i="248"/>
  <c r="W1642" i="248" s="1"/>
  <c r="C1642" i="248" s="1"/>
  <c r="D315" i="1"/>
  <c r="C685" i="1"/>
  <c r="D686" i="1"/>
  <c r="O1567" i="248"/>
  <c r="W1567" i="248" s="1"/>
  <c r="C1567" i="248" s="1"/>
  <c r="O1583" i="248"/>
  <c r="W1583" i="248" s="1"/>
  <c r="C1583" i="248" s="1"/>
  <c r="O1637" i="248"/>
  <c r="O1625" i="248"/>
  <c r="W1625" i="248" s="1"/>
  <c r="C1625" i="248" s="1"/>
  <c r="Y1588" i="1"/>
  <c r="Z1588" i="1"/>
  <c r="Y1539" i="1"/>
  <c r="Z1539" i="1"/>
  <c r="Y1646" i="1"/>
  <c r="Z1646" i="1"/>
  <c r="Y1663" i="1"/>
  <c r="C1663" i="1" s="1"/>
  <c r="V305" i="1"/>
  <c r="Z1604" i="1"/>
  <c r="Y1604" i="1"/>
  <c r="V1604" i="1"/>
  <c r="U305" i="248" l="1"/>
  <c r="C1646" i="1"/>
  <c r="C1588" i="1"/>
  <c r="C1604" i="1"/>
  <c r="C1539" i="1"/>
  <c r="U1583" i="248"/>
  <c r="J24" i="26"/>
  <c r="J26" i="26"/>
  <c r="J233" i="5" l="1"/>
  <c r="J175" i="5"/>
  <c r="L175" i="5" s="1"/>
  <c r="J25" i="26"/>
  <c r="L233" i="5" l="1"/>
  <c r="J229" i="5"/>
  <c r="J209" i="5"/>
  <c r="L209" i="5" s="1"/>
  <c r="M317" i="1"/>
  <c r="M321" i="1" s="1"/>
  <c r="O317" i="248"/>
  <c r="O321" i="248" s="1"/>
  <c r="O820" i="248" l="1"/>
  <c r="S820" i="248" s="1"/>
  <c r="O832" i="248"/>
  <c r="R832" i="248" s="1"/>
  <c r="M822" i="1"/>
  <c r="R822" i="1" s="1"/>
  <c r="M834" i="1"/>
  <c r="S834" i="1" s="1"/>
  <c r="O18" i="89"/>
  <c r="O19" i="89" s="1"/>
  <c r="Y18" i="89"/>
  <c r="Y19" i="89" s="1"/>
  <c r="L229" i="5"/>
  <c r="O403" i="248"/>
  <c r="O1338" i="248"/>
  <c r="M1359" i="1"/>
  <c r="M404" i="1"/>
  <c r="G8" i="169"/>
  <c r="G26" i="169" s="1"/>
  <c r="G28" i="169" s="1"/>
  <c r="D403" i="248"/>
  <c r="C1358" i="1"/>
  <c r="D1360" i="248"/>
  <c r="C1337" i="248"/>
  <c r="D404" i="1"/>
  <c r="D1381" i="1"/>
  <c r="W321" i="248"/>
  <c r="D321" i="248" s="1"/>
  <c r="O1657" i="248"/>
  <c r="O1678" i="1"/>
  <c r="Z321" i="1"/>
  <c r="Y321" i="1"/>
  <c r="S822" i="1" l="1"/>
  <c r="S832" i="248"/>
  <c r="R820" i="248"/>
  <c r="N18" i="89"/>
  <c r="N19" i="89" s="1"/>
  <c r="R834" i="1"/>
  <c r="M832" i="1"/>
  <c r="M362" i="1"/>
  <c r="R362" i="1" s="1"/>
  <c r="O818" i="248"/>
  <c r="S818" i="248" s="1"/>
  <c r="O815" i="248" s="1"/>
  <c r="R815" i="248" s="1"/>
  <c r="R817" i="248" s="1"/>
  <c r="M820" i="1"/>
  <c r="S820" i="1" s="1"/>
  <c r="M828" i="1" s="1"/>
  <c r="O361" i="248"/>
  <c r="X18" i="89"/>
  <c r="X19" i="89" s="1"/>
  <c r="O830" i="248"/>
  <c r="D321" i="1"/>
  <c r="R404" i="1"/>
  <c r="M400" i="1"/>
  <c r="M1378" i="1"/>
  <c r="R1378" i="1" s="1"/>
  <c r="R1359" i="1"/>
  <c r="O1357" i="248"/>
  <c r="R1357" i="248" s="1"/>
  <c r="R1338" i="248"/>
  <c r="R403" i="248"/>
  <c r="O399" i="248"/>
  <c r="O1698" i="1"/>
  <c r="D1678" i="1"/>
  <c r="S1678" i="1"/>
  <c r="S1657" i="248"/>
  <c r="O1677" i="248"/>
  <c r="D1657" i="248"/>
  <c r="M359" i="1" l="1"/>
  <c r="S359" i="1" s="1"/>
  <c r="V362" i="1"/>
  <c r="S830" i="248"/>
  <c r="U893" i="248"/>
  <c r="S832" i="1"/>
  <c r="V828" i="1" s="1"/>
  <c r="V895" i="1"/>
  <c r="R816" i="248"/>
  <c r="R821" i="248"/>
  <c r="R822" i="248"/>
  <c r="R818" i="248"/>
  <c r="M817" i="1"/>
  <c r="R817" i="1" s="1"/>
  <c r="R823" i="1" s="1"/>
  <c r="O826" i="248"/>
  <c r="Z18" i="89"/>
  <c r="Z19" i="89" s="1"/>
  <c r="R361" i="248"/>
  <c r="O358" i="248"/>
  <c r="V404" i="1"/>
  <c r="S400" i="1"/>
  <c r="R400" i="1"/>
  <c r="R399" i="248"/>
  <c r="S399" i="248"/>
  <c r="R1355" i="248"/>
  <c r="R1364" i="248"/>
  <c r="R1362" i="248"/>
  <c r="R1333" i="248"/>
  <c r="R1363" i="248"/>
  <c r="R1359" i="248"/>
  <c r="R1331" i="248"/>
  <c r="R1360" i="248"/>
  <c r="R1336" i="248"/>
  <c r="R1328" i="248"/>
  <c r="R1330" i="248"/>
  <c r="R1335" i="248"/>
  <c r="R1327" i="248"/>
  <c r="R1332" i="248"/>
  <c r="R1356" i="248"/>
  <c r="R1361" i="248"/>
  <c r="R1334" i="248"/>
  <c r="R1329" i="248"/>
  <c r="R1358" i="248"/>
  <c r="R1337" i="248"/>
  <c r="U403" i="248"/>
  <c r="R1380" i="1"/>
  <c r="R1377" i="1"/>
  <c r="R1384" i="1"/>
  <c r="R1354" i="1"/>
  <c r="R1383" i="1"/>
  <c r="R1350" i="1"/>
  <c r="R1348" i="1"/>
  <c r="R1376" i="1"/>
  <c r="R1379" i="1"/>
  <c r="R1385" i="1"/>
  <c r="R1355" i="1"/>
  <c r="R1357" i="1"/>
  <c r="R1356" i="1"/>
  <c r="R1353" i="1"/>
  <c r="R1381" i="1"/>
  <c r="R1358" i="1"/>
  <c r="R1382" i="1"/>
  <c r="R1351" i="1"/>
  <c r="R1352" i="1"/>
  <c r="R1349" i="1"/>
  <c r="O1691" i="248"/>
  <c r="O1695" i="248"/>
  <c r="O1716" i="1"/>
  <c r="O1712" i="1"/>
  <c r="R359" i="1" l="1"/>
  <c r="R369" i="1" s="1"/>
  <c r="U826" i="248"/>
  <c r="U361" i="248"/>
  <c r="R820" i="1"/>
  <c r="R819" i="1"/>
  <c r="R824" i="1"/>
  <c r="R818" i="1"/>
  <c r="S358" i="248"/>
  <c r="R358" i="248"/>
  <c r="R404" i="248"/>
  <c r="R400" i="248"/>
  <c r="R401" i="248"/>
  <c r="R405" i="248"/>
  <c r="R406" i="248"/>
  <c r="R406" i="1"/>
  <c r="R401" i="1"/>
  <c r="R407" i="1"/>
  <c r="R405" i="1"/>
  <c r="R402" i="1"/>
  <c r="O1721" i="1"/>
  <c r="D1716" i="1"/>
  <c r="D1695" i="248"/>
  <c r="O1700" i="248"/>
  <c r="O1703" i="248" s="1"/>
  <c r="S1703" i="248" s="1"/>
  <c r="O1712" i="248" s="1"/>
  <c r="D1712" i="248" s="1"/>
  <c r="Q493" i="1"/>
  <c r="Q553" i="1" s="1"/>
  <c r="C688" i="1"/>
  <c r="R370" i="1" l="1"/>
  <c r="R360" i="1"/>
  <c r="R371" i="1"/>
  <c r="R361" i="1"/>
  <c r="R370" i="248"/>
  <c r="R369" i="248"/>
  <c r="R359" i="248"/>
  <c r="R360" i="248"/>
  <c r="R368" i="248"/>
  <c r="F15" i="26"/>
  <c r="O1724" i="1"/>
  <c r="S1724" i="1" s="1"/>
  <c r="O1733" i="1" s="1"/>
  <c r="D1733" i="1" s="1"/>
  <c r="K2106" i="1"/>
  <c r="K1946" i="1"/>
  <c r="K2586" i="1"/>
  <c r="K1646" i="1"/>
  <c r="K2746" i="1"/>
  <c r="K2266" i="1"/>
  <c r="K2426" i="1"/>
  <c r="K2251" i="1"/>
  <c r="K2411" i="1"/>
  <c r="C715" i="1"/>
  <c r="K2091" i="1"/>
  <c r="K1931" i="1"/>
  <c r="K2731" i="1"/>
  <c r="K2571" i="1"/>
  <c r="K1631" i="1"/>
  <c r="F484" i="26" l="1"/>
  <c r="F486" i="26" s="1"/>
  <c r="F9" i="26" s="1"/>
  <c r="J15" i="26"/>
  <c r="J173" i="5" s="1"/>
  <c r="I16" i="26"/>
  <c r="K2190" i="1"/>
  <c r="K2030" i="1"/>
  <c r="K1569" i="1"/>
  <c r="K2510" i="1"/>
  <c r="K2670" i="1"/>
  <c r="K1870" i="1"/>
  <c r="K2350" i="1"/>
  <c r="C747" i="1"/>
  <c r="J16" i="26" l="1"/>
  <c r="J385" i="5" s="1"/>
  <c r="L385" i="5" s="1"/>
  <c r="I484" i="26"/>
  <c r="F8" i="26" s="1"/>
  <c r="D8" i="26" s="1"/>
  <c r="L173" i="5"/>
  <c r="K2022" i="1"/>
  <c r="K1617" i="1"/>
  <c r="K2557" i="1"/>
  <c r="K2717" i="1"/>
  <c r="K2662" i="1"/>
  <c r="K1561" i="1"/>
  <c r="K1862" i="1"/>
  <c r="K2237" i="1"/>
  <c r="K2342" i="1"/>
  <c r="K2502" i="1"/>
  <c r="K2182" i="1"/>
  <c r="K2397" i="1"/>
  <c r="K1917" i="1"/>
  <c r="K2077" i="1"/>
  <c r="O1475" i="248" l="1"/>
  <c r="M1496" i="1"/>
  <c r="J400" i="5"/>
  <c r="J2" i="5" s="1"/>
  <c r="D785" i="248"/>
  <c r="R785" i="248" s="1"/>
  <c r="O395" i="248"/>
  <c r="O775" i="248"/>
  <c r="O772" i="248" s="1"/>
  <c r="S772" i="248" s="1"/>
  <c r="O780" i="248" s="1"/>
  <c r="D786" i="1"/>
  <c r="R786" i="1" s="1"/>
  <c r="P3" i="5"/>
  <c r="M777" i="1"/>
  <c r="M774" i="1" s="1"/>
  <c r="S774" i="1" s="1"/>
  <c r="M782" i="1" s="1"/>
  <c r="D784" i="248"/>
  <c r="R784" i="248" s="1"/>
  <c r="D787" i="1"/>
  <c r="R787" i="1" s="1"/>
  <c r="L400" i="5"/>
  <c r="L2" i="5" s="1"/>
  <c r="O323" i="248"/>
  <c r="M323" i="1"/>
  <c r="M396" i="1"/>
  <c r="O415" i="248"/>
  <c r="M378" i="1"/>
  <c r="V378" i="1" s="1"/>
  <c r="M416" i="1"/>
  <c r="O377" i="248"/>
  <c r="U377" i="248" s="1"/>
  <c r="K2280" i="1"/>
  <c r="K2120" i="1"/>
  <c r="K1660" i="1"/>
  <c r="K2600" i="1"/>
  <c r="K2760" i="1"/>
  <c r="K1960" i="1"/>
  <c r="K2440" i="1"/>
  <c r="V1496" i="1" l="1"/>
  <c r="R1496" i="1"/>
  <c r="M1504" i="1"/>
  <c r="V416" i="1" s="1"/>
  <c r="R1475" i="248"/>
  <c r="U1475" i="248"/>
  <c r="O1483" i="248"/>
  <c r="U415" i="248" s="1"/>
  <c r="Z396" i="1"/>
  <c r="M390" i="1"/>
  <c r="S390" i="1" s="1"/>
  <c r="Y396" i="1"/>
  <c r="R416" i="1"/>
  <c r="M408" i="1"/>
  <c r="M326" i="1"/>
  <c r="V323" i="1"/>
  <c r="R377" i="248"/>
  <c r="O371" i="248"/>
  <c r="M372" i="1"/>
  <c r="R378" i="1"/>
  <c r="O326" i="248"/>
  <c r="U323" i="248"/>
  <c r="O389" i="248"/>
  <c r="S389" i="248" s="1"/>
  <c r="W395" i="248"/>
  <c r="D395" i="248" s="1"/>
  <c r="R415" i="248"/>
  <c r="O407" i="248"/>
  <c r="K364" i="1"/>
  <c r="K363" i="1"/>
  <c r="K362" i="1"/>
  <c r="C773" i="1"/>
  <c r="K323" i="1"/>
  <c r="Y1494" i="1" l="1"/>
  <c r="Z1494" i="1"/>
  <c r="Z1504" i="1"/>
  <c r="R1504" i="1"/>
  <c r="Y1504" i="1"/>
  <c r="W1483" i="248"/>
  <c r="R1483" i="248"/>
  <c r="D396" i="1"/>
  <c r="R407" i="248"/>
  <c r="S407" i="248"/>
  <c r="O421" i="248" s="1"/>
  <c r="S372" i="1"/>
  <c r="M384" i="1" s="1"/>
  <c r="R372" i="1"/>
  <c r="Z326" i="1"/>
  <c r="V326" i="1"/>
  <c r="Y326" i="1"/>
  <c r="M333" i="1"/>
  <c r="R371" i="248"/>
  <c r="S371" i="248"/>
  <c r="O383" i="248" s="1"/>
  <c r="S408" i="1"/>
  <c r="M422" i="1" s="1"/>
  <c r="R408" i="1"/>
  <c r="W326" i="248"/>
  <c r="D326" i="248" s="1"/>
  <c r="U326" i="248"/>
  <c r="O333" i="248"/>
  <c r="K365" i="1"/>
  <c r="C1494" i="1" l="1"/>
  <c r="R1494" i="1"/>
  <c r="R1506" i="1"/>
  <c r="R1505" i="1"/>
  <c r="R1489" i="1"/>
  <c r="R1493" i="1"/>
  <c r="R1503" i="1"/>
  <c r="R1508" i="1"/>
  <c r="R1490" i="1"/>
  <c r="R1491" i="1"/>
  <c r="R1502" i="1"/>
  <c r="R1484" i="1"/>
  <c r="R1492" i="1"/>
  <c r="R1510" i="1"/>
  <c r="R1488" i="1"/>
  <c r="R1509" i="1"/>
  <c r="R1487" i="1"/>
  <c r="R1486" i="1"/>
  <c r="R1507" i="1"/>
  <c r="R1485" i="1"/>
  <c r="D1504" i="1"/>
  <c r="R1465" i="248"/>
  <c r="R1472" i="248"/>
  <c r="R1469" i="248"/>
  <c r="R1471" i="248"/>
  <c r="R1488" i="248"/>
  <c r="R1484" i="248"/>
  <c r="R1489" i="248"/>
  <c r="R1463" i="248"/>
  <c r="R1464" i="248"/>
  <c r="R1487" i="248"/>
  <c r="R1473" i="248"/>
  <c r="R1470" i="248"/>
  <c r="R1468" i="248"/>
  <c r="R1467" i="248"/>
  <c r="R1485" i="248"/>
  <c r="R1482" i="248"/>
  <c r="R1486" i="248"/>
  <c r="R1466" i="248"/>
  <c r="R1481" i="248"/>
  <c r="D1483" i="248"/>
  <c r="C1473" i="248"/>
  <c r="V384" i="1"/>
  <c r="D326" i="1"/>
  <c r="R379" i="248"/>
  <c r="R372" i="248"/>
  <c r="R378" i="248"/>
  <c r="R373" i="248"/>
  <c r="R380" i="248"/>
  <c r="Z333" i="1"/>
  <c r="Y333" i="1"/>
  <c r="V396" i="1"/>
  <c r="V2" i="1" s="1"/>
  <c r="U383" i="248"/>
  <c r="U2" i="248" s="1"/>
  <c r="W333" i="248"/>
  <c r="D332" i="248" s="1"/>
  <c r="U395" i="248"/>
  <c r="R419" i="1"/>
  <c r="R409" i="1"/>
  <c r="R410" i="1"/>
  <c r="R418" i="1"/>
  <c r="R417" i="1"/>
  <c r="R373" i="1"/>
  <c r="R379" i="1"/>
  <c r="R374" i="1"/>
  <c r="R380" i="1"/>
  <c r="R381" i="1"/>
  <c r="R418" i="248"/>
  <c r="R417" i="248"/>
  <c r="R409" i="248"/>
  <c r="R416" i="248"/>
  <c r="R408" i="248"/>
  <c r="K367" i="1"/>
  <c r="D332" i="1" l="1"/>
  <c r="K375" i="1"/>
  <c r="K366" i="1"/>
  <c r="K376" i="1" l="1"/>
  <c r="K368" i="1"/>
  <c r="K377" i="1" l="1"/>
  <c r="K414" i="1" l="1"/>
  <c r="K404" i="1"/>
  <c r="K403" i="1"/>
  <c r="K411" i="1" l="1"/>
  <c r="K412" i="1" l="1"/>
  <c r="K413" i="1" l="1"/>
  <c r="Q593" i="1"/>
  <c r="Q676" i="1" l="1"/>
  <c r="K415" i="1"/>
  <c r="Q706" i="1" l="1"/>
  <c r="Q738" i="1" l="1"/>
  <c r="Q763" i="1" s="1"/>
  <c r="Q793" i="1" l="1"/>
  <c r="Q844" i="1" s="1"/>
  <c r="Q902" i="1" l="1"/>
  <c r="Q967" i="1" s="1"/>
  <c r="Q1006" i="1" s="1"/>
  <c r="Q1049" i="1" l="1"/>
  <c r="Q1075" i="1" s="1"/>
  <c r="Q1135" i="1" s="1"/>
  <c r="Q1158" i="1" l="1"/>
  <c r="Q1204" i="1" s="1"/>
  <c r="Q1229" i="1" s="1"/>
  <c r="Q1260" i="1" s="1"/>
  <c r="Q1287" i="1" s="1"/>
  <c r="Q1310" i="1" l="1"/>
  <c r="Q1349" i="1" s="1"/>
  <c r="Q1387" i="1" s="1"/>
  <c r="Q1413" i="1" s="1"/>
  <c r="Q1439" i="1" s="1"/>
  <c r="Q1462" i="1" s="1"/>
  <c r="Q1485" i="1" l="1"/>
  <c r="D240" i="1" s="1"/>
  <c r="K295" i="248"/>
  <c r="Q1512" i="1" l="1"/>
  <c r="Q1595" i="1" s="1"/>
  <c r="O83" i="1" s="1"/>
  <c r="O81" i="1"/>
  <c r="K296" i="248"/>
  <c r="K300" i="248"/>
  <c r="Q1670" i="1" l="1"/>
  <c r="O85" i="1" s="1"/>
  <c r="Q1743" i="1" l="1"/>
  <c r="O87" i="1" s="1"/>
  <c r="K1939" i="248"/>
  <c r="K2259" i="248"/>
  <c r="K2099" i="248"/>
  <c r="K1639" i="248"/>
  <c r="Q491" i="248" l="1"/>
  <c r="Q551" i="248" l="1"/>
  <c r="K1625" i="248"/>
  <c r="C686" i="248"/>
  <c r="K2245" i="248"/>
  <c r="K2085" i="248"/>
  <c r="K1925" i="248"/>
  <c r="K1610" i="248" l="1"/>
  <c r="K1910" i="248"/>
  <c r="K2070" i="248"/>
  <c r="K2230" i="248"/>
  <c r="C713" i="248"/>
  <c r="C745" i="248" s="1"/>
  <c r="K2001" i="248" l="1"/>
  <c r="K1841" i="248"/>
  <c r="K2056" i="248"/>
  <c r="K1540" i="248"/>
  <c r="K1896" i="248"/>
  <c r="K2161" i="248"/>
  <c r="K2216" i="248"/>
  <c r="K1596" i="248"/>
  <c r="K1548" i="248"/>
  <c r="K2169" i="248"/>
  <c r="K1849" i="248"/>
  <c r="K2009" i="248"/>
  <c r="Q591" i="248"/>
  <c r="K323" i="248" l="1"/>
  <c r="C771" i="248"/>
  <c r="Q674" i="248"/>
  <c r="K363" i="248" l="1"/>
  <c r="K364" i="248"/>
  <c r="K361" i="248"/>
  <c r="Q704" i="248"/>
  <c r="Q736" i="248" l="1"/>
  <c r="K366" i="248" l="1"/>
  <c r="K367" i="248"/>
  <c r="K365" i="248"/>
  <c r="K374" i="248" l="1"/>
  <c r="K375" i="248" l="1"/>
  <c r="K376" i="248" l="1"/>
  <c r="K402" i="248" l="1"/>
  <c r="K413" i="248"/>
  <c r="K403" i="248"/>
  <c r="Q761" i="248"/>
  <c r="Q791" i="248" l="1"/>
  <c r="Q842" i="248" s="1"/>
  <c r="K410" i="248"/>
  <c r="Q900" i="248" l="1"/>
  <c r="Q946" i="248" s="1"/>
  <c r="Q985" i="248" s="1"/>
  <c r="K412" i="248"/>
  <c r="Q1028" i="248" l="1"/>
  <c r="Q1054" i="248" s="1"/>
  <c r="K414" i="248"/>
  <c r="K411" i="248"/>
  <c r="Q1114" i="248" l="1"/>
  <c r="Q1137" i="248" s="1"/>
  <c r="Q1183" i="248" s="1"/>
  <c r="Q1208" i="248" l="1"/>
  <c r="Q1239" i="248" s="1"/>
  <c r="Q1266" i="248" s="1"/>
  <c r="Q1289" i="248" l="1"/>
  <c r="Q1328" i="248" l="1"/>
  <c r="Q1366" i="248" s="1"/>
  <c r="Q1392" i="248" l="1"/>
  <c r="Q1418" i="248" s="1"/>
  <c r="Q1441" i="248" l="1"/>
  <c r="Q1464" i="248" s="1"/>
  <c r="O81" i="248" l="1"/>
  <c r="D240" i="248"/>
  <c r="Q1491" i="248"/>
  <c r="Q1574" i="248" l="1"/>
  <c r="Q1649" i="248" s="1"/>
  <c r="O85" i="248" s="1"/>
  <c r="Q1722" i="248" l="1"/>
  <c r="O87" i="248" s="1"/>
  <c r="O83" i="248"/>
</calcChain>
</file>

<file path=xl/sharedStrings.xml><?xml version="1.0" encoding="utf-8"?>
<sst xmlns="http://schemas.openxmlformats.org/spreadsheetml/2006/main" count="4852" uniqueCount="1205">
  <si>
    <t>6200/020</t>
  </si>
  <si>
    <t>MOTOR VEHICLES - ACC DEPR</t>
  </si>
  <si>
    <t>6200/021</t>
  </si>
  <si>
    <t>6200/022</t>
  </si>
  <si>
    <t>6200/023</t>
  </si>
  <si>
    <t>6250/000</t>
  </si>
  <si>
    <t>6250/001</t>
  </si>
  <si>
    <t>6250/002</t>
  </si>
  <si>
    <t>6250/003</t>
  </si>
  <si>
    <t>6250/020</t>
  </si>
  <si>
    <t>6250/021</t>
  </si>
  <si>
    <t>6250/022</t>
  </si>
  <si>
    <t>6250/023</t>
  </si>
  <si>
    <t>NON - CURRENT ASSETS</t>
  </si>
  <si>
    <t>CURRENT ASSETS</t>
  </si>
  <si>
    <t>6350/000</t>
  </si>
  <si>
    <t>6350/001</t>
  </si>
  <si>
    <t>Odd</t>
  </si>
  <si>
    <t>Even</t>
  </si>
  <si>
    <t>6150/020</t>
  </si>
  <si>
    <t>6150/021</t>
  </si>
  <si>
    <t>2500/000</t>
  </si>
  <si>
    <t>7500/002</t>
  </si>
  <si>
    <t>Work in progress</t>
  </si>
  <si>
    <t>7500/003</t>
  </si>
  <si>
    <t>Finished goods</t>
  </si>
  <si>
    <t>A</t>
  </si>
  <si>
    <t>Date</t>
  </si>
  <si>
    <t>7500/004</t>
  </si>
  <si>
    <t>Trading stock</t>
  </si>
  <si>
    <t>----------------------------------------</t>
  </si>
  <si>
    <t>8000/000</t>
  </si>
  <si>
    <t>DEBTORS</t>
  </si>
  <si>
    <t>8010/000</t>
  </si>
  <si>
    <t>Trade debtors</t>
  </si>
  <si>
    <t>8020/000</t>
  </si>
  <si>
    <t>6150/022</t>
  </si>
  <si>
    <t>6150/023</t>
  </si>
  <si>
    <t>6200/000</t>
  </si>
  <si>
    <t>MOTOR VEHICLES - COST</t>
  </si>
  <si>
    <t>6200/001</t>
  </si>
  <si>
    <t>6200/002</t>
  </si>
  <si>
    <t>6150/001</t>
  </si>
  <si>
    <t>6150/002</t>
  </si>
  <si>
    <t>6150/003</t>
  </si>
  <si>
    <t>Postal Address</t>
  </si>
  <si>
    <t>INPUT RECONCILIATION</t>
  </si>
  <si>
    <t>Operating expenses</t>
  </si>
  <si>
    <t>Admin expenses</t>
  </si>
  <si>
    <t>Plant &amp; Equipment additions</t>
  </si>
  <si>
    <t>Motor vehicle additions(Claimable)</t>
  </si>
  <si>
    <t>Electronic equipment additions</t>
  </si>
  <si>
    <t>F &amp; F Additions</t>
  </si>
  <si>
    <t>Less: Non Vatable Expenses</t>
  </si>
  <si>
    <t>VAT per returns</t>
  </si>
  <si>
    <t>INVENTORY</t>
  </si>
  <si>
    <t>Depreciation rates</t>
  </si>
  <si>
    <t xml:space="preserve">   Cost</t>
  </si>
  <si>
    <t>2100/033</t>
  </si>
  <si>
    <t>Depr - Motor vehicles</t>
  </si>
  <si>
    <t>Depr - Electronic equipment</t>
  </si>
  <si>
    <t>2100/040</t>
  </si>
  <si>
    <t>Discounts allowed</t>
  </si>
  <si>
    <t>2100/050</t>
  </si>
  <si>
    <t>2100/055</t>
  </si>
  <si>
    <t>SALES(Zero)</t>
  </si>
  <si>
    <t>Sales per VAT returns</t>
  </si>
  <si>
    <t>Sales per Trial Balance</t>
  </si>
  <si>
    <t>Equipment lease</t>
  </si>
  <si>
    <t>2100/060</t>
  </si>
  <si>
    <t>3000/095</t>
  </si>
  <si>
    <t>Tax payable</t>
  </si>
  <si>
    <t>Provisional tax paid</t>
  </si>
  <si>
    <t>First</t>
  </si>
  <si>
    <t>Second</t>
  </si>
  <si>
    <t>Third</t>
  </si>
  <si>
    <t>Repairs and maintenance</t>
  </si>
  <si>
    <t>2100/120</t>
  </si>
  <si>
    <t>Salaries</t>
  </si>
  <si>
    <t>2100/121</t>
  </si>
  <si>
    <t>UIF - Employer</t>
  </si>
  <si>
    <t>2100/122</t>
  </si>
  <si>
    <t>Casual wages</t>
  </si>
  <si>
    <t>2100/130</t>
  </si>
  <si>
    <t>Telephone</t>
  </si>
  <si>
    <t>2100/135</t>
  </si>
  <si>
    <t>2100/140</t>
  </si>
  <si>
    <t>2100/150</t>
  </si>
  <si>
    <t>Tax penalties and interest</t>
  </si>
  <si>
    <t>YEAREND:</t>
  </si>
  <si>
    <t>Prepared:</t>
  </si>
  <si>
    <t>Checked:</t>
  </si>
  <si>
    <t>Balance b/fwd</t>
  </si>
  <si>
    <t>WP REF.</t>
  </si>
  <si>
    <t>Less:</t>
  </si>
  <si>
    <t>Yes</t>
  </si>
  <si>
    <t>No</t>
  </si>
  <si>
    <t>If "Yes":</t>
  </si>
  <si>
    <t>Balance</t>
  </si>
  <si>
    <t>FIRST SET OF ACCOUNTS</t>
  </si>
  <si>
    <t>DETAILED INCOME STATEMENT FOR THE YEAR ENDED</t>
  </si>
  <si>
    <t>BALANCE SHEET</t>
  </si>
  <si>
    <t>NOTES TO THE FINANCIAL STATEMENTS</t>
  </si>
  <si>
    <t>STATEMENT OF TAXABLE INCOME</t>
  </si>
  <si>
    <t xml:space="preserve"> </t>
  </si>
  <si>
    <t xml:space="preserve">Page </t>
  </si>
  <si>
    <t>Nature of business</t>
  </si>
  <si>
    <t>Registered office</t>
  </si>
  <si>
    <t>Postal address</t>
  </si>
  <si>
    <t>Signature</t>
  </si>
  <si>
    <t>Date:</t>
  </si>
  <si>
    <t xml:space="preserve"> (Continued)</t>
  </si>
  <si>
    <t>FIXED ASSETS</t>
  </si>
  <si>
    <t>NOTES</t>
  </si>
  <si>
    <t>ASSETS</t>
  </si>
  <si>
    <t>TOTAL ASSETS</t>
  </si>
  <si>
    <t>EQUITY AND LIABILITIES</t>
  </si>
  <si>
    <t>CAPITAL AND RESERVES</t>
  </si>
  <si>
    <t>NON - CURRENT LIABILITIES</t>
  </si>
  <si>
    <t>CURRENT LIABILITIES</t>
  </si>
  <si>
    <t>TOTAL EQUITY AND LIABILITIES</t>
  </si>
  <si>
    <t>COST OF SALES</t>
  </si>
  <si>
    <t>OTHER INCOME</t>
  </si>
  <si>
    <t>FINANCE COSTS</t>
  </si>
  <si>
    <t>TAXATION</t>
  </si>
  <si>
    <t>CAPITAL</t>
  </si>
  <si>
    <t>INTEREST</t>
  </si>
  <si>
    <t>Penalties &amp; Interest - SARS</t>
  </si>
  <si>
    <t>ELECTRONIC EQUIPMENT - COST</t>
  </si>
  <si>
    <t>ELECTRONIC EQUIPMENT - ACC DEPR</t>
  </si>
  <si>
    <t>Tax provision this year</t>
  </si>
  <si>
    <t>3rd Provisional paid</t>
  </si>
  <si>
    <t>BANK ACCOUNTS</t>
  </si>
  <si>
    <t>8460/000</t>
  </si>
  <si>
    <t>…………………………………………</t>
  </si>
  <si>
    <t>…………………………………</t>
  </si>
  <si>
    <t>5500/000</t>
  </si>
  <si>
    <t>LONG TERM  INTEREST LIABILITIES</t>
  </si>
  <si>
    <t>5500/001</t>
  </si>
  <si>
    <t>5500/002</t>
  </si>
  <si>
    <t>5500/003</t>
  </si>
  <si>
    <t>5500/004</t>
  </si>
  <si>
    <t>5500/005</t>
  </si>
  <si>
    <t>5520/000</t>
  </si>
  <si>
    <t xml:space="preserve">B/FWD </t>
  </si>
  <si>
    <t>5550/000</t>
  </si>
  <si>
    <t>LONG TERM INTEREST FREE LOANS</t>
  </si>
  <si>
    <t>5550/001</t>
  </si>
  <si>
    <t>5550/002</t>
  </si>
  <si>
    <t>5550/003</t>
  </si>
  <si>
    <t>5550/004</t>
  </si>
  <si>
    <t>5550/005</t>
  </si>
  <si>
    <t>6100/000</t>
  </si>
  <si>
    <t>6100/001</t>
  </si>
  <si>
    <t>6100/002</t>
  </si>
  <si>
    <t>6100/003</t>
  </si>
  <si>
    <t>. . . . . . . . . . . . . . . . . . . . . . .</t>
  </si>
  <si>
    <t>6350/021</t>
  </si>
  <si>
    <t>6350/022</t>
  </si>
  <si>
    <t>7100/205</t>
  </si>
  <si>
    <t>7450/000</t>
  </si>
  <si>
    <t>7450/001</t>
  </si>
  <si>
    <t>7450/002</t>
  </si>
  <si>
    <t>7450/003</t>
  </si>
  <si>
    <t>Sales</t>
  </si>
  <si>
    <t xml:space="preserve">LESS: </t>
  </si>
  <si>
    <t>Assessed loss brought forward from previous year</t>
  </si>
  <si>
    <t>ANNEXURE TO STATEMENT OF TAXABLE INCOME FOR THE YEAR ENDED</t>
  </si>
  <si>
    <t>YEAR END</t>
  </si>
  <si>
    <t>THIS YEAR</t>
  </si>
  <si>
    <t>Less: Disposals</t>
  </si>
  <si>
    <t>FINANCIAL STATEMENTS AS AT</t>
  </si>
  <si>
    <t xml:space="preserve">FINANCIAL STATEMENTS FOR THE YEAR ENDED </t>
  </si>
  <si>
    <t>CONTENTS</t>
  </si>
  <si>
    <t>PAGE</t>
  </si>
  <si>
    <t>SECRETARIAL INFORMATION</t>
  </si>
  <si>
    <t>JOURNALS</t>
  </si>
  <si>
    <t>NR</t>
  </si>
  <si>
    <t>JOURNALS - YEAR END</t>
  </si>
  <si>
    <t>CASH AND CASH EQUIVALENTS</t>
  </si>
  <si>
    <t>At the beginning of the year</t>
  </si>
  <si>
    <t>At the end of the year</t>
  </si>
  <si>
    <t>PLANT AND EQUIPMENT</t>
  </si>
  <si>
    <t>INVESTMENTS</t>
  </si>
  <si>
    <t>Levies - SDL</t>
  </si>
  <si>
    <t>2100/072</t>
  </si>
  <si>
    <t>Levies - other</t>
  </si>
  <si>
    <t>2100/080</t>
  </si>
  <si>
    <t>2100/090</t>
  </si>
  <si>
    <t>Motor vehicle expenses------------------</t>
  </si>
  <si>
    <t>2100/091</t>
  </si>
  <si>
    <t>Motor vehicle expenses - Petrol and oil</t>
  </si>
  <si>
    <t>2100/092</t>
  </si>
  <si>
    <t>Motor vehicle expenses - R&amp;M</t>
  </si>
  <si>
    <t>2100/093</t>
  </si>
  <si>
    <t>Motor vehicle expenses - Insurance</t>
  </si>
  <si>
    <t>2100/094</t>
  </si>
  <si>
    <t>2100/095</t>
  </si>
  <si>
    <t>2100/100</t>
  </si>
  <si>
    <t>Rent paid-------------------------------</t>
  </si>
  <si>
    <t>2100/101</t>
  </si>
  <si>
    <t>2100/102</t>
  </si>
  <si>
    <t>2100/103</t>
  </si>
  <si>
    <t>2100/110</t>
  </si>
  <si>
    <t>4860/000</t>
  </si>
  <si>
    <t>Carrying value</t>
  </si>
  <si>
    <t>2810/000</t>
  </si>
  <si>
    <t>2820/000</t>
  </si>
  <si>
    <t>Bad debts recovered</t>
  </si>
  <si>
    <t>2830/000</t>
  </si>
  <si>
    <t>Other income</t>
  </si>
  <si>
    <t>3000/000</t>
  </si>
  <si>
    <t>3000/011</t>
  </si>
  <si>
    <t>Audit fees for current year</t>
  </si>
  <si>
    <t>3000/012</t>
  </si>
  <si>
    <t>3000/013</t>
  </si>
  <si>
    <t>Overprovision previous year</t>
  </si>
  <si>
    <t>3000/014</t>
  </si>
  <si>
    <t>Accounting fees</t>
  </si>
  <si>
    <t>3000/020</t>
  </si>
  <si>
    <t>Bank charges</t>
  </si>
  <si>
    <t>3000/030</t>
  </si>
  <si>
    <t>Bad debts</t>
  </si>
  <si>
    <t>3000/040</t>
  </si>
  <si>
    <t>3000/050</t>
  </si>
  <si>
    <t>Computer expenses</t>
  </si>
  <si>
    <t>3000/060</t>
  </si>
  <si>
    <t>3000/061</t>
  </si>
  <si>
    <t>Tax thereon at:</t>
  </si>
  <si>
    <t>Diff</t>
  </si>
  <si>
    <t>Legal expenses - Non deductible</t>
  </si>
  <si>
    <t>Description</t>
  </si>
  <si>
    <t>Account</t>
  </si>
  <si>
    <t/>
  </si>
  <si>
    <t>DR</t>
  </si>
  <si>
    <t>CR</t>
  </si>
  <si>
    <t>1000/000</t>
  </si>
  <si>
    <t>SALES</t>
  </si>
  <si>
    <t>1000/001</t>
  </si>
  <si>
    <t>1000/002</t>
  </si>
  <si>
    <t>Sales 2</t>
  </si>
  <si>
    <t>1000/003</t>
  </si>
  <si>
    <t>2000/000</t>
  </si>
  <si>
    <t>2000/001</t>
  </si>
  <si>
    <t>8200/020</t>
  </si>
  <si>
    <t>8400/000</t>
  </si>
  <si>
    <t>8410/000</t>
  </si>
  <si>
    <t>8420/000</t>
  </si>
  <si>
    <t>8430/000</t>
  </si>
  <si>
    <t>8440/000</t>
  </si>
  <si>
    <t>8450/000</t>
  </si>
  <si>
    <t>6350/023</t>
  </si>
  <si>
    <t>Income Statement</t>
  </si>
  <si>
    <t>(Continued)</t>
  </si>
  <si>
    <t xml:space="preserve">Salaries </t>
  </si>
  <si>
    <t>Training</t>
  </si>
  <si>
    <t>Short term portion of long term loans</t>
  </si>
  <si>
    <t>Carried forward</t>
  </si>
  <si>
    <t>Brought forward</t>
  </si>
  <si>
    <t>Cleaning</t>
  </si>
  <si>
    <t>Donations</t>
  </si>
  <si>
    <t>Refreshments</t>
  </si>
  <si>
    <t>Security</t>
  </si>
  <si>
    <t>LESS:  FINANCE COSTS</t>
  </si>
  <si>
    <t>STATEMENT OF TAXABLE INCOME FOR THE YEAR ENDED</t>
  </si>
  <si>
    <t xml:space="preserve">ADD: </t>
  </si>
  <si>
    <t>RENT PAID</t>
  </si>
  <si>
    <t>DEPRECIATION</t>
  </si>
  <si>
    <t>DIVIDENDS RECEIVED</t>
  </si>
  <si>
    <t>South African sources</t>
  </si>
  <si>
    <t>INTEREST RECEIVED</t>
  </si>
  <si>
    <t xml:space="preserve">ERROR </t>
  </si>
  <si>
    <t>Keep open</t>
  </si>
  <si>
    <t>Straight Line</t>
  </si>
  <si>
    <t>6350/020</t>
  </si>
  <si>
    <t>LESS: COST OF SALES</t>
  </si>
  <si>
    <t>Purchases</t>
  </si>
  <si>
    <t>Advertising</t>
  </si>
  <si>
    <t>Consumables</t>
  </si>
  <si>
    <t>Depreciation</t>
  </si>
  <si>
    <t>Insurance</t>
  </si>
  <si>
    <t>3000/180</t>
  </si>
  <si>
    <t>3000/190</t>
  </si>
  <si>
    <t>3000/200</t>
  </si>
  <si>
    <t>3000/210</t>
  </si>
  <si>
    <t>3000/220</t>
  </si>
  <si>
    <t>6100/020</t>
  </si>
  <si>
    <t>6100/021</t>
  </si>
  <si>
    <t>6100/022</t>
  </si>
  <si>
    <t>SHORT TERM LOANS</t>
  </si>
  <si>
    <t xml:space="preserve">TAXATION PROVIDED </t>
  </si>
  <si>
    <t>6100/023</t>
  </si>
  <si>
    <t>6150/000</t>
  </si>
  <si>
    <t>ANNEXURE TO STATEMENT OF TAXABLE INCOME</t>
  </si>
  <si>
    <t>7450/005</t>
  </si>
  <si>
    <t>7460/000</t>
  </si>
  <si>
    <t>Change in profit</t>
  </si>
  <si>
    <t>7460/001</t>
  </si>
  <si>
    <t>7460/002</t>
  </si>
  <si>
    <t>7460/003</t>
  </si>
  <si>
    <t>7460/006</t>
  </si>
  <si>
    <t>7460/007</t>
  </si>
  <si>
    <t>Sundry debtors</t>
  </si>
  <si>
    <t>Dividends received----------------------</t>
  </si>
  <si>
    <t>3000/110</t>
  </si>
  <si>
    <t>3000/120</t>
  </si>
  <si>
    <t>Printing and stationary</t>
  </si>
  <si>
    <t>3000/130</t>
  </si>
  <si>
    <t>3000/140</t>
  </si>
  <si>
    <t>3000/141</t>
  </si>
  <si>
    <t>3000/150</t>
  </si>
  <si>
    <t>3000/160</t>
  </si>
  <si>
    <t>Interest paid---------------------------</t>
  </si>
  <si>
    <t>4800/000</t>
  </si>
  <si>
    <t>NORMAL TAXATION</t>
  </si>
  <si>
    <t>4800/001</t>
  </si>
  <si>
    <t>Tax provided this year</t>
  </si>
  <si>
    <t>4800/002</t>
  </si>
  <si>
    <t>Tax adjustment previous year</t>
  </si>
  <si>
    <t>OTHER OPERATING INCOME</t>
  </si>
  <si>
    <t>2050/000</t>
  </si>
  <si>
    <t>2050/001</t>
  </si>
  <si>
    <t>2050/002</t>
  </si>
  <si>
    <t>2050/003</t>
  </si>
  <si>
    <t>2050/004</t>
  </si>
  <si>
    <t>2050/005</t>
  </si>
  <si>
    <t>Fines</t>
  </si>
  <si>
    <t>Service deposits</t>
  </si>
  <si>
    <t>Profit</t>
  </si>
  <si>
    <t>Loss</t>
  </si>
  <si>
    <t>3000/170</t>
  </si>
  <si>
    <t>Appointed in year</t>
  </si>
  <si>
    <t>Ongoing</t>
  </si>
  <si>
    <t>Resign at annual meeting</t>
  </si>
  <si>
    <t>Difference</t>
  </si>
  <si>
    <t>TOTAL</t>
  </si>
  <si>
    <t>9300/000</t>
  </si>
  <si>
    <t>9400/000</t>
  </si>
  <si>
    <t>9400/010</t>
  </si>
  <si>
    <t>9400/020</t>
  </si>
  <si>
    <t>9500/000</t>
  </si>
  <si>
    <t>VALUE ADDED TAX</t>
  </si>
  <si>
    <t>9501/000</t>
  </si>
  <si>
    <t>VAT account</t>
  </si>
  <si>
    <t>9510/000</t>
  </si>
  <si>
    <t>9990/000</t>
  </si>
  <si>
    <t>FURNITURE AND FITTINGS</t>
  </si>
  <si>
    <t>(Profit)/Loss</t>
  </si>
  <si>
    <t>OTHER</t>
  </si>
  <si>
    <t>PROFIT/LOSS</t>
  </si>
  <si>
    <t>Balance - end of year</t>
  </si>
  <si>
    <t>MOTOR VEHICLES</t>
  </si>
  <si>
    <t>ELECTRONIC EQUIPMENT</t>
  </si>
  <si>
    <t>Under provision previous year</t>
  </si>
  <si>
    <t>Trade licenses</t>
  </si>
  <si>
    <t>Motor vehicle expenses - licenses</t>
  </si>
  <si>
    <t>VAT CONTROL</t>
  </si>
  <si>
    <t>VAT Returns</t>
  </si>
  <si>
    <t>SALES(Incl)</t>
  </si>
  <si>
    <t>SALES(Capital)</t>
  </si>
  <si>
    <t>OUTPUT</t>
  </si>
  <si>
    <t>INPUT</t>
  </si>
  <si>
    <t>INPUT(Capital)</t>
  </si>
  <si>
    <t>NET</t>
  </si>
  <si>
    <t>2710/000</t>
  </si>
  <si>
    <t>Rent received</t>
  </si>
  <si>
    <t>3000/063</t>
  </si>
  <si>
    <t>3000/070</t>
  </si>
  <si>
    <t>3000/071</t>
  </si>
  <si>
    <t>3000/072</t>
  </si>
  <si>
    <t>3000/073</t>
  </si>
  <si>
    <t>3000/074</t>
  </si>
  <si>
    <t>3000/075</t>
  </si>
  <si>
    <t>3000/080</t>
  </si>
  <si>
    <t>3000/090</t>
  </si>
  <si>
    <t>Entertainment expenses</t>
  </si>
  <si>
    <t>3000/100</t>
  </si>
  <si>
    <t>General expenses</t>
  </si>
  <si>
    <t xml:space="preserve">  Depreciation</t>
  </si>
  <si>
    <t>OTHER INVESTMENTS</t>
  </si>
  <si>
    <t>Secured loan bearing interest at xx% p.a. with no fixed</t>
  </si>
  <si>
    <t>repayment terms</t>
  </si>
  <si>
    <t>Prepayments</t>
  </si>
  <si>
    <t>NOTES TO THE FINANCIAL STATEMENTS FOR THE YEAR ENDED</t>
  </si>
  <si>
    <t>Cost</t>
  </si>
  <si>
    <t>Additions</t>
  </si>
  <si>
    <t>Plant and</t>
  </si>
  <si>
    <t>Furniture and</t>
  </si>
  <si>
    <t>Total</t>
  </si>
  <si>
    <t xml:space="preserve">  Cost</t>
  </si>
  <si>
    <t>Add: Additions</t>
  </si>
  <si>
    <t>5200/000</t>
  </si>
  <si>
    <t>Travelling and accommodation</t>
  </si>
  <si>
    <t>2000/002</t>
  </si>
  <si>
    <t>Opening stock - WIP</t>
  </si>
  <si>
    <t>2000/003</t>
  </si>
  <si>
    <t>Opening stock - Finished goods</t>
  </si>
  <si>
    <t>2000/004</t>
  </si>
  <si>
    <t>Opening stock - Trading stock</t>
  </si>
  <si>
    <t>2000/010</t>
  </si>
  <si>
    <t>2000/011</t>
  </si>
  <si>
    <t>2000/012</t>
  </si>
  <si>
    <t>2000/013</t>
  </si>
  <si>
    <t>2000/014</t>
  </si>
  <si>
    <t>2000/015</t>
  </si>
  <si>
    <t>2000/050</t>
  </si>
  <si>
    <t>Closing stock - Raw materials</t>
  </si>
  <si>
    <t>2000/051</t>
  </si>
  <si>
    <t>Closing stock - WIP</t>
  </si>
  <si>
    <t>2000/052</t>
  </si>
  <si>
    <t>Closing stock - Finished goods</t>
  </si>
  <si>
    <t>2000/053</t>
  </si>
  <si>
    <t>Closing stock - Trading stock</t>
  </si>
  <si>
    <t>2100/000</t>
  </si>
  <si>
    <t>2100/001</t>
  </si>
  <si>
    <t>2100/010</t>
  </si>
  <si>
    <t>2100/020</t>
  </si>
  <si>
    <t>2100/030</t>
  </si>
  <si>
    <t>Depreciation----------------------------</t>
  </si>
  <si>
    <t>2100/031</t>
  </si>
  <si>
    <t>2100/032</t>
  </si>
  <si>
    <t>Balance Sheet</t>
  </si>
  <si>
    <t>Months</t>
  </si>
  <si>
    <t>7500/000</t>
  </si>
  <si>
    <t>7500/001</t>
  </si>
  <si>
    <t>Raw materials</t>
  </si>
  <si>
    <t>TRADE AND OTHER PAYABLES</t>
  </si>
  <si>
    <t>Trade payables</t>
  </si>
  <si>
    <t>7450/004</t>
  </si>
  <si>
    <t>6350/002</t>
  </si>
  <si>
    <t>8500/000</t>
  </si>
  <si>
    <t>Cash on hand</t>
  </si>
  <si>
    <t>8900/000</t>
  </si>
  <si>
    <t>8900/001</t>
  </si>
  <si>
    <t>8900/002</t>
  </si>
  <si>
    <t>8900/003</t>
  </si>
  <si>
    <t>8900/004</t>
  </si>
  <si>
    <t>9000/000</t>
  </si>
  <si>
    <t>CREDITORS</t>
  </si>
  <si>
    <t>9010/000</t>
  </si>
  <si>
    <t>Trade creditors</t>
  </si>
  <si>
    <t>9200/000</t>
  </si>
  <si>
    <t>9200/010</t>
  </si>
  <si>
    <t>9200/020</t>
  </si>
  <si>
    <t>9250/000</t>
  </si>
  <si>
    <t>6350/003</t>
  </si>
  <si>
    <t>Amount to finance</t>
  </si>
  <si>
    <t>Instalment</t>
  </si>
  <si>
    <t>Interest Rate</t>
  </si>
  <si>
    <t>INSTALMENT</t>
  </si>
  <si>
    <t>BALANCE</t>
  </si>
  <si>
    <t>2100/071</t>
  </si>
  <si>
    <t>3000/111</t>
  </si>
  <si>
    <t>9300/010</t>
  </si>
  <si>
    <t>9300/020</t>
  </si>
  <si>
    <t>9300/030</t>
  </si>
  <si>
    <t>9300/040</t>
  </si>
  <si>
    <t>9300/050</t>
  </si>
  <si>
    <t>9300/060</t>
  </si>
  <si>
    <t>9300/070</t>
  </si>
  <si>
    <t>7000/000</t>
  </si>
  <si>
    <t>7000/010</t>
  </si>
  <si>
    <t>7000/025</t>
  </si>
  <si>
    <t>7100/000</t>
  </si>
  <si>
    <t>7100/100</t>
  </si>
  <si>
    <t>LISTED INVESTMENTS</t>
  </si>
  <si>
    <t>7100/101</t>
  </si>
  <si>
    <t>7100/102</t>
  </si>
  <si>
    <t>7100/103</t>
  </si>
  <si>
    <t>7100/104</t>
  </si>
  <si>
    <t>7100/105</t>
  </si>
  <si>
    <t>7100/200</t>
  </si>
  <si>
    <t>7100/201</t>
  </si>
  <si>
    <t>7100/202</t>
  </si>
  <si>
    <t>7100/203</t>
  </si>
  <si>
    <t>7100/204</t>
  </si>
  <si>
    <t>8200/000</t>
  </si>
  <si>
    <t>8200/010</t>
  </si>
  <si>
    <t>6200/003</t>
  </si>
  <si>
    <t>Postage and courier</t>
  </si>
  <si>
    <t>5100/000</t>
  </si>
  <si>
    <t>5100/001</t>
  </si>
  <si>
    <t>5100/002</t>
  </si>
  <si>
    <t>Rent paid</t>
  </si>
  <si>
    <t>Investment in immovable property</t>
  </si>
  <si>
    <t>7460/008</t>
  </si>
  <si>
    <t>ANNEXURES</t>
  </si>
  <si>
    <t>Portion</t>
  </si>
  <si>
    <t>Reg Date</t>
  </si>
  <si>
    <t>COMMERCIAL</t>
  </si>
  <si>
    <t>RESIDENTIAL AND VACANT STANDS</t>
  </si>
  <si>
    <t>SERVICE DEPOSITS</t>
  </si>
  <si>
    <t>Input</t>
  </si>
  <si>
    <t>Output</t>
  </si>
  <si>
    <t>Net</t>
  </si>
  <si>
    <t>PREPAYMENTS</t>
  </si>
  <si>
    <t>Legal expenses</t>
  </si>
  <si>
    <t>RENT RECEIVED</t>
  </si>
  <si>
    <t>ANNEXURE A</t>
  </si>
  <si>
    <t>Opening stock</t>
  </si>
  <si>
    <t>Closing stock</t>
  </si>
  <si>
    <t>Discount allowed</t>
  </si>
  <si>
    <t>Motor vehicle expenses</t>
  </si>
  <si>
    <t>Dividends received</t>
  </si>
  <si>
    <t>STAFF LOANS</t>
  </si>
  <si>
    <t>BANK BALANCES</t>
  </si>
  <si>
    <t>3000/230</t>
  </si>
  <si>
    <t>3000/240</t>
  </si>
  <si>
    <t>3000/250</t>
  </si>
  <si>
    <t>3000/260</t>
  </si>
  <si>
    <t>3000/270</t>
  </si>
  <si>
    <t>CASH ON HAND</t>
  </si>
  <si>
    <t>SALES(Exempt)</t>
  </si>
  <si>
    <t>VAT return</t>
  </si>
  <si>
    <t>TB</t>
  </si>
  <si>
    <t>DIFF</t>
  </si>
  <si>
    <t>Licenses</t>
  </si>
  <si>
    <t>Taxable (80%)</t>
  </si>
  <si>
    <t>Levies - Skills development</t>
  </si>
  <si>
    <t>Loss on sale of fixed assets</t>
  </si>
  <si>
    <t>Profit on sale of fixed assets</t>
  </si>
  <si>
    <t>Capital gains profit</t>
  </si>
  <si>
    <t>Dividends received - South African sources</t>
  </si>
  <si>
    <t>Current tax liability</t>
  </si>
  <si>
    <t>equipment</t>
  </si>
  <si>
    <t>vehicles</t>
  </si>
  <si>
    <t xml:space="preserve">  Less: Accumulated depr</t>
  </si>
  <si>
    <t xml:space="preserve">   Less: Accumulated depr</t>
  </si>
  <si>
    <t xml:space="preserve">     Raw materials</t>
  </si>
  <si>
    <t xml:space="preserve">     Work in progress</t>
  </si>
  <si>
    <t xml:space="preserve">     Finished goods</t>
  </si>
  <si>
    <t xml:space="preserve">     Trading stock</t>
  </si>
  <si>
    <t>Trade receivables</t>
  </si>
  <si>
    <t>Revenue Service - VAT recoverable</t>
  </si>
  <si>
    <t>Staff loans</t>
  </si>
  <si>
    <t>Revenue Service - VAT payable</t>
  </si>
  <si>
    <t>Provision for future expenses</t>
  </si>
  <si>
    <t>Provision for insurance</t>
  </si>
  <si>
    <t>Provision for salary bonus</t>
  </si>
  <si>
    <t xml:space="preserve">   Current period</t>
  </si>
  <si>
    <t xml:space="preserve">   Previous periods</t>
  </si>
  <si>
    <t>Motor vehicles</t>
  </si>
  <si>
    <t>Electronic equipment</t>
  </si>
  <si>
    <t>Foreign dividends</t>
  </si>
  <si>
    <t>2060/001</t>
  </si>
  <si>
    <t>2060/002</t>
  </si>
  <si>
    <t>2060/003</t>
  </si>
  <si>
    <t>2060/004</t>
  </si>
  <si>
    <t>Sundry suppliers</t>
  </si>
  <si>
    <t>Other accruals</t>
  </si>
  <si>
    <t>SUNDRY SUPPLIERS</t>
  </si>
  <si>
    <t>OTHER ACCRUALS</t>
  </si>
  <si>
    <t>SALARY AND WAGES CONTROL</t>
  </si>
  <si>
    <t>DIFFERENCE</t>
  </si>
  <si>
    <t>Depr adjust</t>
  </si>
  <si>
    <t>TO GO FURTHER, FINISH TRIAL BALANCE FIRST</t>
  </si>
  <si>
    <t>SALES DR</t>
  </si>
  <si>
    <t>SALES CR</t>
  </si>
  <si>
    <t>Balance before interest</t>
  </si>
  <si>
    <t>Average</t>
  </si>
  <si>
    <t>WP</t>
  </si>
  <si>
    <t>Less: Provision for doubtful debts</t>
  </si>
  <si>
    <t>TRADE DEBTORS</t>
  </si>
  <si>
    <t>8030/000</t>
  </si>
  <si>
    <t>1.</t>
  </si>
  <si>
    <t>2.</t>
  </si>
  <si>
    <t>Trial balance difference</t>
  </si>
  <si>
    <t>3.</t>
  </si>
  <si>
    <t>SUNDRY CUSTOMERS</t>
  </si>
  <si>
    <t>4.</t>
  </si>
  <si>
    <t>5.</t>
  </si>
  <si>
    <t>BANK AND CASH</t>
  </si>
  <si>
    <t>TRADE CREDITORS</t>
  </si>
  <si>
    <t>Depr</t>
  </si>
  <si>
    <t>Net Value</t>
  </si>
  <si>
    <t>Acc Depr</t>
  </si>
  <si>
    <t>Sales Cost</t>
  </si>
  <si>
    <t>Sales acc depr</t>
  </si>
  <si>
    <t>Profit/(Loss)</t>
  </si>
  <si>
    <t>Transfer deed</t>
  </si>
  <si>
    <t>5500/006</t>
  </si>
  <si>
    <t>5500/007</t>
  </si>
  <si>
    <t>5500/008</t>
  </si>
  <si>
    <t>5500/009</t>
  </si>
  <si>
    <t>5500/010</t>
  </si>
  <si>
    <t>5500/011</t>
  </si>
  <si>
    <t>5500/012</t>
  </si>
  <si>
    <t>5500/013</t>
  </si>
  <si>
    <t>A - T/A</t>
  </si>
  <si>
    <t>B - T/A</t>
  </si>
  <si>
    <t>C - T/A</t>
  </si>
  <si>
    <t>Depreciation---------------------------------</t>
  </si>
  <si>
    <t>Rent paid-------------------------------------</t>
  </si>
  <si>
    <t>Dividends received------------------------</t>
  </si>
  <si>
    <t>Interest paid--------------------------------</t>
  </si>
  <si>
    <t>--------------------------------------------------</t>
  </si>
  <si>
    <t>DR/(CR)</t>
  </si>
  <si>
    <t>2150/001</t>
  </si>
  <si>
    <t>2150/002</t>
  </si>
  <si>
    <t>2150/003</t>
  </si>
  <si>
    <t>2150/004</t>
  </si>
  <si>
    <t>2150/005</t>
  </si>
  <si>
    <t>2150/006</t>
  </si>
  <si>
    <t>2150/007</t>
  </si>
  <si>
    <t>2150/008</t>
  </si>
  <si>
    <t>2150/009</t>
  </si>
  <si>
    <t>2150/010</t>
  </si>
  <si>
    <t>5550/006</t>
  </si>
  <si>
    <t>5550/007</t>
  </si>
  <si>
    <t>5550/008</t>
  </si>
  <si>
    <t>5550/009</t>
  </si>
  <si>
    <t>7460/004</t>
  </si>
  <si>
    <t>7460/005</t>
  </si>
  <si>
    <t>Depreciation--------------------------------------------------</t>
  </si>
  <si>
    <t>ANNEXURE B</t>
  </si>
  <si>
    <t>B</t>
  </si>
  <si>
    <t>GL</t>
  </si>
  <si>
    <t>C</t>
  </si>
  <si>
    <t>South Africa</t>
  </si>
  <si>
    <t>ANNEXURE C</t>
  </si>
  <si>
    <t>Income Tax</t>
  </si>
  <si>
    <t>7000/011</t>
  </si>
  <si>
    <t>Scheme nr</t>
  </si>
  <si>
    <t>5550/010</t>
  </si>
  <si>
    <t>Provision for doubtful debts</t>
  </si>
  <si>
    <t>Current tax asset</t>
  </si>
  <si>
    <t>5500/014</t>
  </si>
  <si>
    <t>5500/015</t>
  </si>
  <si>
    <t>Column</t>
  </si>
  <si>
    <t>Opening stock - Raw materials</t>
  </si>
  <si>
    <t>NET (PROFIT)/LOSS OTHER</t>
  </si>
  <si>
    <t>2060/000</t>
  </si>
  <si>
    <t>(Profit)/Loss on sale of fixed assets</t>
  </si>
  <si>
    <t>5550/011</t>
  </si>
  <si>
    <t>5550/012</t>
  </si>
  <si>
    <t>5550/013</t>
  </si>
  <si>
    <t>5550/014</t>
  </si>
  <si>
    <t>5550/015</t>
  </si>
  <si>
    <t>5550/016</t>
  </si>
  <si>
    <t>5550/017</t>
  </si>
  <si>
    <t>Audit fees</t>
  </si>
  <si>
    <t>Motor vehicle expenses----------------------------------</t>
  </si>
  <si>
    <t>TRIAL BALANCE</t>
  </si>
  <si>
    <t>Interest free</t>
  </si>
  <si>
    <t>Interest bearing</t>
  </si>
  <si>
    <t>STATEMENT OF FINANCIAL POSITION</t>
  </si>
  <si>
    <t>STATEMENT OF COMPREHENSIVE INCOME</t>
  </si>
  <si>
    <t>STATEMENT OF COMPREHENSIVE INCOME FOR THE YEAR ENDED</t>
  </si>
  <si>
    <t>NON CURRENT RECEIVABLES</t>
  </si>
  <si>
    <t>VAT at 15%</t>
  </si>
  <si>
    <t>VAT INPUT ESTIMATE</t>
  </si>
  <si>
    <t>VAT or Transfer duty on purchase</t>
  </si>
  <si>
    <t>of property</t>
  </si>
  <si>
    <t>FIXED ASSET SUMMARY</t>
  </si>
  <si>
    <t>VAT Input</t>
  </si>
  <si>
    <t>VAT Output</t>
  </si>
  <si>
    <t>PLACE OF SIGNING</t>
  </si>
  <si>
    <t>Cash and cash equivalents</t>
  </si>
  <si>
    <t>Interest received</t>
  </si>
  <si>
    <t>3000/055</t>
  </si>
  <si>
    <t>INSTRUCTIONS SUMMARY</t>
  </si>
  <si>
    <t>*</t>
  </si>
  <si>
    <t>ALL ROWS TRUE</t>
  </si>
  <si>
    <t>Trial Balance</t>
  </si>
  <si>
    <t>Journals</t>
  </si>
  <si>
    <t>If you've written a journal for an item for which a description is filled in on the green sections</t>
  </si>
  <si>
    <t>of the Trial Balance and afterwards change the description, you'll have to do the selection</t>
  </si>
  <si>
    <t>There can be a rounding difference for column L. Go to an expense for example bank charges</t>
  </si>
  <si>
    <t>Fixed Asset Register</t>
  </si>
  <si>
    <t>figures of column L of the previous year file, copy and Paste special - Values, to the current</t>
  </si>
  <si>
    <t>Do not write any journals for depreciation, the Trial Balance is updated with the depreciation</t>
  </si>
  <si>
    <t>from the Fixed Asset Register (column I on the Trial Balance) - unless you use your own</t>
  </si>
  <si>
    <t>EXPENSES</t>
  </si>
  <si>
    <t>ADVERTISING</t>
  </si>
  <si>
    <t>INSURANCE</t>
  </si>
  <si>
    <t>Reduction</t>
  </si>
  <si>
    <t>6100/030</t>
  </si>
  <si>
    <t>6100/031</t>
  </si>
  <si>
    <t>6100/032</t>
  </si>
  <si>
    <t>6100/033</t>
  </si>
  <si>
    <t>Fill in (or copy from your own previous year Asset register) the details in columns B to J.</t>
  </si>
  <si>
    <t>Sales Price</t>
  </si>
  <si>
    <t>Sales price</t>
  </si>
  <si>
    <t>Recoupment</t>
  </si>
  <si>
    <t>Capital</t>
  </si>
  <si>
    <t>of allowances</t>
  </si>
  <si>
    <t>Gain/(Loss)</t>
  </si>
  <si>
    <t>TAX ASSET REGISTER</t>
  </si>
  <si>
    <t>Acc Allowance</t>
  </si>
  <si>
    <t>Allowance</t>
  </si>
  <si>
    <t>Tax loss</t>
  </si>
  <si>
    <t>allowance</t>
  </si>
  <si>
    <t>TAX</t>
  </si>
  <si>
    <t>Acc allowance</t>
  </si>
  <si>
    <t>acc allowance</t>
  </si>
  <si>
    <t>Balance with FA register</t>
  </si>
  <si>
    <t>Per Fixed Asset register</t>
  </si>
  <si>
    <t>NO</t>
  </si>
  <si>
    <t>ADD:</t>
  </si>
  <si>
    <t>LESS:</t>
  </si>
  <si>
    <t>section 8(4)(a) Recoupment of allowances</t>
  </si>
  <si>
    <t>section 11 (e) Wear-and-tear allowance</t>
  </si>
  <si>
    <t>Assets less than R7,000</t>
  </si>
  <si>
    <t>Assets less than R7 000</t>
  </si>
  <si>
    <t>section 11(o) Scrapping allowance</t>
  </si>
  <si>
    <t>APPROVAL OF ANNUAL FINANCIAL STATEMENTS</t>
  </si>
  <si>
    <t>Johannesburg</t>
  </si>
  <si>
    <t>Levies - Other</t>
  </si>
  <si>
    <t>UIF Employer</t>
  </si>
  <si>
    <t>Salaries - admin</t>
  </si>
  <si>
    <t>Casual wages - admin</t>
  </si>
  <si>
    <t>A PRODUCT BY</t>
  </si>
  <si>
    <t>www.fseasy.co.za</t>
  </si>
  <si>
    <t>DETAIL INSTRUCTIONS</t>
  </si>
  <si>
    <t>If you have more than one trading activity, complete sheets TrialBalanceA, TrialBalanceB and</t>
  </si>
  <si>
    <t>Type the current year figures into columns D and E, or link to the TBClient or GLClient</t>
  </si>
  <si>
    <t>In the second year of using FSEasy statements, each section's detail can be copied from the</t>
  </si>
  <si>
    <t>If you have a Tax Asset register, fill in the details on the "TARegister" sheet.</t>
  </si>
  <si>
    <t>Less: Loss brought forward from previous year</t>
  </si>
  <si>
    <t>CAPITAL GAINS' TAX</t>
  </si>
  <si>
    <t>In the second year of using the FSEasy file, the figures can be copied by highlighting the</t>
  </si>
  <si>
    <t>Profit realized during the period under review</t>
  </si>
  <si>
    <t>Div.'s received - SA sources</t>
  </si>
  <si>
    <t>Div.'s received - Foreign div.'s</t>
  </si>
  <si>
    <t>Nationality</t>
  </si>
  <si>
    <t>RSA</t>
  </si>
  <si>
    <t>Bankers</t>
  </si>
  <si>
    <t>Currency</t>
  </si>
  <si>
    <t>South African Rand</t>
  </si>
  <si>
    <t>OTHER NON - CURRENT RECEIVABLES</t>
  </si>
  <si>
    <t>TRADE AND OTHER RECEIVABLES</t>
  </si>
  <si>
    <t>Trade and other receivables</t>
  </si>
  <si>
    <t>a13 quin Commercial buildings allowance</t>
  </si>
  <si>
    <t>Electricity and water</t>
  </si>
  <si>
    <t>Telephone, postage and courier</t>
  </si>
  <si>
    <t>Consulting and professional fees</t>
  </si>
  <si>
    <t>Printing and stationery</t>
  </si>
  <si>
    <t>Subscriptions and membership fees</t>
  </si>
  <si>
    <t>Less: Loss realized during the period under review</t>
  </si>
  <si>
    <t>Plant and equipment</t>
  </si>
  <si>
    <t>Trade and other payables</t>
  </si>
  <si>
    <t>Additions/</t>
  </si>
  <si>
    <t>fittings</t>
  </si>
  <si>
    <t>Furniture and fittings</t>
  </si>
  <si>
    <t>CONNECTED ENTITIES LOANS</t>
  </si>
  <si>
    <t>Less: Portions payable within 1 year transferred to current liabilities</t>
  </si>
  <si>
    <t>South African normal taxation</t>
  </si>
  <si>
    <t>Applicable taxation on net income before taxation</t>
  </si>
  <si>
    <t>Registration number</t>
  </si>
  <si>
    <t>Straight line</t>
  </si>
  <si>
    <t>Non - current receivables</t>
  </si>
  <si>
    <t>Are trade debtors ceded to the bank for the overdraft facility?</t>
  </si>
  <si>
    <t>Trade debtors are ceded to…</t>
  </si>
  <si>
    <t>Salary and wages control</t>
  </si>
  <si>
    <t>Interest bearing borrowings</t>
  </si>
  <si>
    <t>Assessed loss brought forward</t>
  </si>
  <si>
    <t>Capital gains tax loss brought forward</t>
  </si>
  <si>
    <t>Capital gains profit/loss (gross before 20% deduction)</t>
  </si>
  <si>
    <t>Audit and accounting fee accrual</t>
  </si>
  <si>
    <t>Audit and accounting fees</t>
  </si>
  <si>
    <t>7450/006</t>
  </si>
  <si>
    <t>Main - T/A</t>
  </si>
  <si>
    <t>Depr - Plant and machinery</t>
  </si>
  <si>
    <t>Motor vehicle expenses - Licenses</t>
  </si>
  <si>
    <t>Motor vehicle expenses - General</t>
  </si>
  <si>
    <t>Rent received (not main income)</t>
  </si>
  <si>
    <t>Interest received--------------------------</t>
  </si>
  <si>
    <t>Legal expenses - tax deductible</t>
  </si>
  <si>
    <t>Legal expenses - non deductible</t>
  </si>
  <si>
    <t>Penalties and interest - SARS</t>
  </si>
  <si>
    <t>Depr - Furniture and fittings</t>
  </si>
  <si>
    <t>Interest received-----------------------</t>
  </si>
  <si>
    <t>(Retained income) / Accumulated loss</t>
  </si>
  <si>
    <t>PLANT AND MACHINERY - COST</t>
  </si>
  <si>
    <t>Plant and machinery - cost b/fwd</t>
  </si>
  <si>
    <t>Plant and machinery - additions</t>
  </si>
  <si>
    <t>Plant and machinery - cost of sales</t>
  </si>
  <si>
    <t>PLANT AND MACHINERY - ACC DEPR</t>
  </si>
  <si>
    <t>Plant and machinery - acc depr b/fwd</t>
  </si>
  <si>
    <t>Plant and machinery - depr this year</t>
  </si>
  <si>
    <t>Plant and machinery - acc depr on sales</t>
  </si>
  <si>
    <t>Motor vehicles - cost b/fwd</t>
  </si>
  <si>
    <t>Motor vehicles - additions</t>
  </si>
  <si>
    <t>Motor vehicles - cost of sales</t>
  </si>
  <si>
    <t>Motor vehicles - acc depr b/fwd</t>
  </si>
  <si>
    <t>Motor vehicles - depr this year</t>
  </si>
  <si>
    <t>Motor vehicles - acc depr on sales</t>
  </si>
  <si>
    <t>Electronic equipment - cost b/fwd</t>
  </si>
  <si>
    <t>Electronic equipment - additions</t>
  </si>
  <si>
    <t>Electronic equipment - cost of sales</t>
  </si>
  <si>
    <t>Electronic equipment - acc depr b/fwd</t>
  </si>
  <si>
    <t>Electronic equipment - depr this year</t>
  </si>
  <si>
    <t>Electronic equipment - acc depr on sales</t>
  </si>
  <si>
    <t>FURNITURE AND FITTINGS - COST</t>
  </si>
  <si>
    <t>Furniture and fittings - cost b/fwd</t>
  </si>
  <si>
    <t>Furniture and fittings - additions</t>
  </si>
  <si>
    <t>Furniture and fittings - cost of sales</t>
  </si>
  <si>
    <t>FURNITURE AND FITTINGS - ACC DEPR</t>
  </si>
  <si>
    <t>Furniture and fittings - acc depr b/fwd</t>
  </si>
  <si>
    <t>Furniture and fittings - depr this year</t>
  </si>
  <si>
    <t>Furniture and fittings - acc depr on sales</t>
  </si>
  <si>
    <t>Sundry customers</t>
  </si>
  <si>
    <t>1st Provisional paid</t>
  </si>
  <si>
    <t>2nd Provisional paid</t>
  </si>
  <si>
    <t>Suspense account</t>
  </si>
  <si>
    <t>Traveling and accommodation</t>
  </si>
  <si>
    <t>Motor</t>
  </si>
  <si>
    <t>Electronic</t>
  </si>
  <si>
    <t>….................................</t>
  </si>
  <si>
    <t>Government grants received</t>
  </si>
  <si>
    <t>Complete the Trial Balance with the current year entries (Column D and E).</t>
  </si>
  <si>
    <t>or Balance Sheet items for automatic update to Trial Balance).</t>
  </si>
  <si>
    <t>TrialBalanceC.</t>
  </si>
  <si>
    <t>Previous year figures are typed into column A.</t>
  </si>
  <si>
    <t>year A column.</t>
  </si>
  <si>
    <t>sheet to go back to the main TB.</t>
  </si>
  <si>
    <t>to the main Trial Balance.</t>
  </si>
  <si>
    <t>Go to the FARegister sheet and complete the Fixed Asset Register (see instructions below).</t>
  </si>
  <si>
    <t>Fixed Assets program.</t>
  </si>
  <si>
    <t>Go to the Journals sheet to write your journals.</t>
  </si>
  <si>
    <t>Choose the item from the drop down boxes for I/S and B/S.</t>
  </si>
  <si>
    <t>Choose the next item of the journal on the next row.</t>
  </si>
  <si>
    <t>on the Journals sheet again. A red "ERROR" message will appear next to the item.</t>
  </si>
  <si>
    <t>Delete the second row of each section you are filling in Tax Asset details.</t>
  </si>
  <si>
    <t>INSTRUCTIONS ON HOW TO PRINT YOUR FINAL FINANCIAL STATEMENTS</t>
  </si>
  <si>
    <t>Make a copy of the FS sheet and name it "FSFinal" (Format, Move or Copy sheet, Create a</t>
  </si>
  <si>
    <t>copy)</t>
  </si>
  <si>
    <t>Highlight column "R" on the FSFinal sheet.</t>
  </si>
  <si>
    <t>Press Control and C to copy</t>
  </si>
  <si>
    <t>Click on the Paste drop down arrow. Choose option "Values (V)"</t>
  </si>
  <si>
    <t>Press Escape</t>
  </si>
  <si>
    <t>6.</t>
  </si>
  <si>
    <t>Click on Find &amp; Select icon</t>
  </si>
  <si>
    <t>7.</t>
  </si>
  <si>
    <t>Choose "Find"</t>
  </si>
  <si>
    <t>8.</t>
  </si>
  <si>
    <t>Type in DELETE</t>
  </si>
  <si>
    <t>9.</t>
  </si>
  <si>
    <t>click Find All</t>
  </si>
  <si>
    <t>10.</t>
  </si>
  <si>
    <t>Press Ctrl and A to highlight all rows</t>
  </si>
  <si>
    <t>11.</t>
  </si>
  <si>
    <t>Click on your delete row icon</t>
  </si>
  <si>
    <t>12.</t>
  </si>
  <si>
    <t>Close</t>
  </si>
  <si>
    <t>All you have to do now is to fit the pages by deleting or adding rows and delete headings</t>
  </si>
  <si>
    <t>For example, at the Notes section, click one row below the note and highlight through the heading</t>
  </si>
  <si>
    <t>till before the next note (or date heading) and delete rows.</t>
  </si>
  <si>
    <t>Always keep the the first heading to the Notes to the Financial Statements (for example if you do not</t>
  </si>
  <si>
    <t>If your detail Income Statement can be fitted on one page, go to carried forward cell, highlight till</t>
  </si>
  <si>
    <t>balance brought forward and delete rows.</t>
  </si>
  <si>
    <t>Tips</t>
  </si>
  <si>
    <t>Next to Digit grouping symbol, delete the comma and space bar once. Click apply, OK, Apply</t>
  </si>
  <si>
    <t>and OK.</t>
  </si>
  <si>
    <t>Statements, add rows and link to the Criteria sheet.</t>
  </si>
  <si>
    <t>When you have further operating and administration expenses filled in on the green</t>
  </si>
  <si>
    <t>Do the alphabetical sort only on the FSFinal sheet and not on the FS sheet.</t>
  </si>
  <si>
    <t>next to the print preview icon on the top left corner. Go to More Commands.</t>
  </si>
  <si>
    <t>Add the icons for insert and delete rows and columns.</t>
  </si>
  <si>
    <t>For example: If you want to move the depreciation from the Main Trial Balance to the first</t>
  </si>
  <si>
    <t>other activity Trial Balance (TrialBalanceA) - write the journal for depreciation on the other</t>
  </si>
  <si>
    <t>activity (JournalsA sheet) and contra the journal on the main journals sheet - DR Acc depr,</t>
  </si>
  <si>
    <t>CR depreciation.</t>
  </si>
  <si>
    <t>provided for on any of the trading activities.</t>
  </si>
  <si>
    <t>For other income or expenses, write the journal on the Trial Balance you want it to show</t>
  </si>
  <si>
    <t>with the other leg of the journal the Suspense Account right at the bottom. Write the</t>
  </si>
  <si>
    <t>journal as a contra on the Trial Balance you want it to be removed, with the other leg of the</t>
  </si>
  <si>
    <t>journal also the Suspense Account.</t>
  </si>
  <si>
    <t>click on Custom Header. Click on Center Section, Enter once, type in DRAFT.</t>
  </si>
  <si>
    <t>Highlight DRAFT and click on A, choose font style as Bold and size as 24.</t>
  </si>
  <si>
    <t>the previous year file (column L) and Paste special, Values to the current year Trial Balance</t>
  </si>
  <si>
    <t>(column A)</t>
  </si>
  <si>
    <t>The fixed assets detail on the previous year file can also be copied to the following year file.</t>
  </si>
  <si>
    <t>Highlight the detail on the FARegister and copy to the following year file for each section.</t>
  </si>
  <si>
    <t>I and J of the current year.</t>
  </si>
  <si>
    <t>support@fseasy.co.za</t>
  </si>
  <si>
    <t>BALANCES WITH FA REGISTER</t>
  </si>
  <si>
    <r>
      <t xml:space="preserve">Fill in the previous year's figures on the </t>
    </r>
    <r>
      <rPr>
        <b/>
        <sz val="11"/>
        <rFont val="Calibri"/>
        <family val="2"/>
      </rPr>
      <t>Trial Balance</t>
    </r>
    <r>
      <rPr>
        <sz val="11"/>
        <rFont val="Calibri"/>
        <family val="2"/>
      </rPr>
      <t xml:space="preserve"> (Column A).</t>
    </r>
  </si>
  <si>
    <r>
      <t xml:space="preserve">Complete the </t>
    </r>
    <r>
      <rPr>
        <b/>
        <sz val="11"/>
        <rFont val="Calibri"/>
        <family val="2"/>
      </rPr>
      <t>Fixed Asset Register</t>
    </r>
    <r>
      <rPr>
        <sz val="11"/>
        <rFont val="Calibri"/>
        <family val="2"/>
      </rPr>
      <t>.</t>
    </r>
  </si>
  <si>
    <r>
      <t xml:space="preserve">Write the </t>
    </r>
    <r>
      <rPr>
        <b/>
        <sz val="11"/>
        <rFont val="Calibri"/>
        <family val="2"/>
      </rPr>
      <t>journals</t>
    </r>
    <r>
      <rPr>
        <sz val="11"/>
        <rFont val="Calibri"/>
        <family val="2"/>
      </rPr>
      <t xml:space="preserve"> on the Journals sheet (drop down boxes to choose Income Statement</t>
    </r>
  </si>
  <si>
    <r>
      <t xml:space="preserve">Complete your </t>
    </r>
    <r>
      <rPr>
        <b/>
        <sz val="11"/>
        <rFont val="Calibri"/>
        <family val="2"/>
      </rPr>
      <t>Working Papers</t>
    </r>
    <r>
      <rPr>
        <sz val="11"/>
        <rFont val="Calibri"/>
        <family val="2"/>
      </rPr>
      <t>.</t>
    </r>
  </si>
  <si>
    <r>
      <t xml:space="preserve">Complete the rest of the </t>
    </r>
    <r>
      <rPr>
        <b/>
        <sz val="11"/>
        <rFont val="Calibri"/>
        <family val="2"/>
      </rPr>
      <t>Criteria</t>
    </r>
    <r>
      <rPr>
        <sz val="11"/>
        <rFont val="Calibri"/>
        <family val="2"/>
      </rPr>
      <t xml:space="preserve"> sheet.</t>
    </r>
  </si>
  <si>
    <r>
      <t xml:space="preserve">Your Financial Statements are </t>
    </r>
    <r>
      <rPr>
        <b/>
        <sz val="11"/>
        <rFont val="Calibri"/>
        <family val="2"/>
      </rPr>
      <t>ready</t>
    </r>
    <r>
      <rPr>
        <sz val="11"/>
        <rFont val="Calibri"/>
        <family val="2"/>
      </rPr>
      <t xml:space="preserve"> </t>
    </r>
    <r>
      <rPr>
        <b/>
        <sz val="11"/>
        <rFont val="Calibri"/>
        <family val="2"/>
      </rPr>
      <t>to be printed</t>
    </r>
    <r>
      <rPr>
        <sz val="11"/>
        <rFont val="Calibri"/>
        <family val="2"/>
      </rPr>
      <t xml:space="preserve"> under 10 minutes.</t>
    </r>
  </si>
  <si>
    <r>
      <t xml:space="preserve">If there is a </t>
    </r>
    <r>
      <rPr>
        <b/>
        <sz val="11"/>
        <rFont val="Calibri"/>
        <family val="2"/>
      </rPr>
      <t>comma as your thousands separator</t>
    </r>
    <r>
      <rPr>
        <sz val="11"/>
        <rFont val="Calibri"/>
        <family val="2"/>
      </rPr>
      <t>, do the following:</t>
    </r>
  </si>
  <si>
    <r>
      <t xml:space="preserve">sections of the Trial Balance - to </t>
    </r>
    <r>
      <rPr>
        <b/>
        <sz val="11"/>
        <rFont val="Calibri"/>
        <family val="2"/>
      </rPr>
      <t>sort the Detailed Income Statement on your FSFinal sheet</t>
    </r>
  </si>
  <si>
    <r>
      <rPr>
        <b/>
        <sz val="11"/>
        <rFont val="Calibri"/>
        <family val="2"/>
      </rPr>
      <t>alphabetically</t>
    </r>
    <r>
      <rPr>
        <sz val="11"/>
        <rFont val="Calibri"/>
        <family val="2"/>
      </rPr>
      <t>, highlight the expenses from column D to O - click Sort &amp; Filter icon, sort A to Z</t>
    </r>
  </si>
  <si>
    <r>
      <t xml:space="preserve">If you do not have </t>
    </r>
    <r>
      <rPr>
        <b/>
        <sz val="11"/>
        <rFont val="Calibri"/>
        <family val="2"/>
      </rPr>
      <t>icons for insert and delete rows or columns</t>
    </r>
    <r>
      <rPr>
        <sz val="11"/>
        <rFont val="Calibri"/>
        <family val="2"/>
      </rPr>
      <t>, click on the drop down box</t>
    </r>
  </si>
  <si>
    <r>
      <t xml:space="preserve">Income and expenses can be </t>
    </r>
    <r>
      <rPr>
        <b/>
        <sz val="11"/>
        <rFont val="Calibri"/>
        <family val="2"/>
      </rPr>
      <t>moved between the different detailed Income Statements</t>
    </r>
    <r>
      <rPr>
        <sz val="11"/>
        <rFont val="Calibri"/>
        <family val="2"/>
      </rPr>
      <t>.</t>
    </r>
  </si>
  <si>
    <r>
      <rPr>
        <b/>
        <sz val="11"/>
        <rFont val="Calibri"/>
        <family val="2"/>
      </rPr>
      <t>Draft statements</t>
    </r>
    <r>
      <rPr>
        <sz val="11"/>
        <rFont val="Calibri"/>
        <family val="2"/>
      </rPr>
      <t xml:space="preserve"> - click on Page Layout, click on Print Titles, click on Header/Footer,</t>
    </r>
  </si>
  <si>
    <r>
      <t xml:space="preserve">In the second year of using the FSEasy file, the </t>
    </r>
    <r>
      <rPr>
        <b/>
        <sz val="11"/>
        <rFont val="Calibri"/>
        <family val="2"/>
      </rPr>
      <t>previous year figures can be copied</t>
    </r>
    <r>
      <rPr>
        <sz val="11"/>
        <rFont val="Calibri"/>
        <family val="2"/>
      </rPr>
      <t xml:space="preserve"> from</t>
    </r>
  </si>
  <si>
    <t>AUDIT AND ACCOUNTING FEE ACCRUAL</t>
  </si>
  <si>
    <t>Over-/(Under) provision previous year</t>
  </si>
  <si>
    <t>Tax paid/(refund) for previous year provisions</t>
  </si>
  <si>
    <r>
      <t xml:space="preserve">Modify the </t>
    </r>
    <r>
      <rPr>
        <b/>
        <sz val="11"/>
        <rFont val="Calibri"/>
        <family val="2"/>
      </rPr>
      <t>reports</t>
    </r>
    <r>
      <rPr>
        <sz val="11"/>
        <rFont val="Calibri"/>
        <family val="2"/>
      </rPr>
      <t xml:space="preserve"> to include your header and footer to the Master file (FS and FS2 spreadsheet).</t>
    </r>
  </si>
  <si>
    <t>The FS2 sheet is for first year financials, with no comparative figures.</t>
  </si>
  <si>
    <t>The page break must be one row before the heading or page number.</t>
  </si>
  <si>
    <t>in the Notes section to fit the info on one page.</t>
  </si>
  <si>
    <t>TRUSTEES' CONTRIBUTIONS</t>
  </si>
  <si>
    <t>5100/003</t>
  </si>
  <si>
    <t>5100/004</t>
  </si>
  <si>
    <t>5100/005</t>
  </si>
  <si>
    <t>Trustees' contributions</t>
  </si>
  <si>
    <t>Donations received</t>
  </si>
  <si>
    <t>DISTRIBUTIONS TO BENEFICIARIES</t>
  </si>
  <si>
    <t>7100/206</t>
  </si>
  <si>
    <t>7100/207</t>
  </si>
  <si>
    <t>7100/208</t>
  </si>
  <si>
    <t>7100/209</t>
  </si>
  <si>
    <t>7100/210</t>
  </si>
  <si>
    <t>7100/211</t>
  </si>
  <si>
    <t>7100/212</t>
  </si>
  <si>
    <t>7100/213</t>
  </si>
  <si>
    <t>7100/214</t>
  </si>
  <si>
    <t>7100/215</t>
  </si>
  <si>
    <t>7100/300</t>
  </si>
  <si>
    <t>7100/301</t>
  </si>
  <si>
    <t>7100/302</t>
  </si>
  <si>
    <t>7100/303</t>
  </si>
  <si>
    <t>7100/304</t>
  </si>
  <si>
    <t>7100/305</t>
  </si>
  <si>
    <t>SHARES IN PRIVATE COMPANIES</t>
  </si>
  <si>
    <t>7100/250</t>
  </si>
  <si>
    <t>MEMBER'S INTEREST IN CLOSE CORPORATIONS</t>
  </si>
  <si>
    <t>7100/251</t>
  </si>
  <si>
    <t>7100/252</t>
  </si>
  <si>
    <t>7100/253</t>
  </si>
  <si>
    <t>7100/254</t>
  </si>
  <si>
    <t>7100/255</t>
  </si>
  <si>
    <t>A Trustee</t>
  </si>
  <si>
    <t>7480/000</t>
  </si>
  <si>
    <t>NET CAPITAL OF BUSINESS</t>
  </si>
  <si>
    <t>7480/001</t>
  </si>
  <si>
    <t>7480/002</t>
  </si>
  <si>
    <t>7480/003</t>
  </si>
  <si>
    <t>NET CAPITAL OF BUSINESS, TRADE, PROFESSION OR FARMING</t>
  </si>
  <si>
    <t>CARAVANS</t>
  </si>
  <si>
    <t>BOATS</t>
  </si>
  <si>
    <t>PERSONAL EFFECTS</t>
  </si>
  <si>
    <t>Motor vehicles,</t>
  </si>
  <si>
    <t>Furniture, fittings</t>
  </si>
  <si>
    <t>and personal</t>
  </si>
  <si>
    <t>effects</t>
  </si>
  <si>
    <t>Trustees' remuneration-----------------</t>
  </si>
  <si>
    <t>Trustees</t>
  </si>
  <si>
    <t>C Trustee</t>
  </si>
  <si>
    <t>TRADING ACTIVITY 1</t>
  </si>
  <si>
    <t>TRADING ACTIVITY 2</t>
  </si>
  <si>
    <t>TRADING ACTIVITY 3</t>
  </si>
  <si>
    <t>TRADING ACTIVITY 4</t>
  </si>
  <si>
    <t>OTHER INCOME (TRADING ACTIVITY)</t>
  </si>
  <si>
    <t>4000/000</t>
  </si>
  <si>
    <t>INCOME (OTHER THAN TRADING)</t>
  </si>
  <si>
    <t>4100/000</t>
  </si>
  <si>
    <t>4100/001</t>
  </si>
  <si>
    <t>4100/002</t>
  </si>
  <si>
    <t>4100/003</t>
  </si>
  <si>
    <t>4100/004</t>
  </si>
  <si>
    <t>4200/000</t>
  </si>
  <si>
    <t>4200/001</t>
  </si>
  <si>
    <t>4200/002</t>
  </si>
  <si>
    <t>Other income----------------------------------</t>
  </si>
  <si>
    <t>4300/000</t>
  </si>
  <si>
    <t>4300/001</t>
  </si>
  <si>
    <t>4300/002</t>
  </si>
  <si>
    <t>4300/003</t>
  </si>
  <si>
    <t>4300/004</t>
  </si>
  <si>
    <t>4300/005</t>
  </si>
  <si>
    <t>3500/000</t>
  </si>
  <si>
    <t>3500/010</t>
  </si>
  <si>
    <t>3500/011</t>
  </si>
  <si>
    <t>3500/012</t>
  </si>
  <si>
    <t>3500/013</t>
  </si>
  <si>
    <t>3500/014</t>
  </si>
  <si>
    <t>3500/015</t>
  </si>
  <si>
    <t>3500/016</t>
  </si>
  <si>
    <t>3500/017</t>
  </si>
  <si>
    <t>3500/018</t>
  </si>
  <si>
    <t>3500/019</t>
  </si>
  <si>
    <t>3500/020</t>
  </si>
  <si>
    <t>3500/021</t>
  </si>
  <si>
    <t>3550/000</t>
  </si>
  <si>
    <t>3550/010</t>
  </si>
  <si>
    <t>4300/006</t>
  </si>
  <si>
    <t>4300/007</t>
  </si>
  <si>
    <t>4300/008</t>
  </si>
  <si>
    <t>4300/009</t>
  </si>
  <si>
    <t>4300/010</t>
  </si>
  <si>
    <t>4500/000</t>
  </si>
  <si>
    <t>Expenses applicable to other income</t>
  </si>
  <si>
    <t>4500/001</t>
  </si>
  <si>
    <t>4500/002</t>
  </si>
  <si>
    <t>4500/003</t>
  </si>
  <si>
    <t>4500/004</t>
  </si>
  <si>
    <t>4500/005</t>
  </si>
  <si>
    <t>DISTRIBUTION TO BENEFICIARIES</t>
  </si>
  <si>
    <t>INCOME</t>
  </si>
  <si>
    <t>LESS: APPLICABLE EXPENSES</t>
  </si>
  <si>
    <t>4100/005</t>
  </si>
  <si>
    <t>4100/006</t>
  </si>
  <si>
    <t>4100/007</t>
  </si>
  <si>
    <t>4100/008</t>
  </si>
  <si>
    <t>TRUST INFORMATION</t>
  </si>
  <si>
    <t>TRUST NAME</t>
  </si>
  <si>
    <t>REG. NO.</t>
  </si>
  <si>
    <t>APPLICABLE EXPENSES</t>
  </si>
  <si>
    <t>Normal tax</t>
  </si>
  <si>
    <t>ACCOUNTANT'S COMPILATION REPORT</t>
  </si>
  <si>
    <t>Accountant</t>
  </si>
  <si>
    <t>Tax rate</t>
  </si>
  <si>
    <t>The journals for provision of expenses and income (for example trustees' remuneration), can be</t>
  </si>
  <si>
    <t>Trustees' remuneration</t>
  </si>
  <si>
    <r>
      <t xml:space="preserve">Click on cell </t>
    </r>
    <r>
      <rPr>
        <sz val="11"/>
        <color rgb="FFFF0000"/>
        <rFont val="Calibri"/>
        <family val="2"/>
      </rPr>
      <t>F1</t>
    </r>
    <r>
      <rPr>
        <sz val="11"/>
        <rFont val="Calibri"/>
        <family val="2"/>
      </rPr>
      <t xml:space="preserve"> to go to the first other activity Trial Balance . Click on </t>
    </r>
    <r>
      <rPr>
        <sz val="11"/>
        <color rgb="FFFF0000"/>
        <rFont val="Calibri"/>
        <family val="2"/>
      </rPr>
      <t>C1</t>
    </r>
    <r>
      <rPr>
        <sz val="11"/>
        <rFont val="Calibri"/>
        <family val="2"/>
      </rPr>
      <t xml:space="preserve"> on the TrialBalanceA</t>
    </r>
  </si>
  <si>
    <r>
      <t xml:space="preserve">you are taken to the Debtors working paper. Click on cell </t>
    </r>
    <r>
      <rPr>
        <sz val="11"/>
        <color rgb="FFFF0000"/>
        <rFont val="Calibri"/>
        <family val="2"/>
      </rPr>
      <t>C4</t>
    </r>
    <r>
      <rPr>
        <sz val="11"/>
        <rFont val="Calibri"/>
        <family val="2"/>
      </rPr>
      <t xml:space="preserve"> on the Debtors sheet to go back</t>
    </r>
  </si>
  <si>
    <r>
      <t xml:space="preserve">Make sure that cell </t>
    </r>
    <r>
      <rPr>
        <sz val="11"/>
        <color rgb="FFFF0000"/>
        <rFont val="Calibri"/>
        <family val="2"/>
      </rPr>
      <t>V2</t>
    </r>
    <r>
      <rPr>
        <sz val="11"/>
        <rFont val="Calibri"/>
        <family val="2"/>
      </rPr>
      <t xml:space="preserve"> and </t>
    </r>
    <r>
      <rPr>
        <sz val="11"/>
        <color rgb="FFFF0000"/>
        <rFont val="Calibri"/>
        <family val="2"/>
      </rPr>
      <t>X2</t>
    </r>
    <r>
      <rPr>
        <sz val="11"/>
        <rFont val="Calibri"/>
        <family val="2"/>
      </rPr>
      <t xml:space="preserve"> on the FS sheet are YES (cell </t>
    </r>
    <r>
      <rPr>
        <sz val="11"/>
        <color rgb="FFFF0000"/>
        <rFont val="Calibri"/>
        <family val="2"/>
      </rPr>
      <t>U2</t>
    </r>
    <r>
      <rPr>
        <sz val="11"/>
        <rFont val="Calibri"/>
        <family val="2"/>
      </rPr>
      <t xml:space="preserve"> on the FS2 sheet).</t>
    </r>
  </si>
  <si>
    <t>If your Financial Statements are for less than a year period, do the following:</t>
  </si>
  <si>
    <t>Highlight the whole Financial Statements sheet by clicking on the arrow at the top left corner of the</t>
  </si>
  <si>
    <t>sheet.</t>
  </si>
  <si>
    <t>Click on the Find &amp; Select icon and choose the replace option. Type in YEAR and replace by PERIOD,</t>
  </si>
  <si>
    <t>section.</t>
  </si>
  <si>
    <t>Do the same with Year and year. Make sure the "Match case" option is clicked under the options</t>
  </si>
  <si>
    <r>
      <t xml:space="preserve">Fill in the </t>
    </r>
    <r>
      <rPr>
        <b/>
        <sz val="11"/>
        <rFont val="Calibri"/>
        <family val="2"/>
      </rPr>
      <t>Criteria</t>
    </r>
    <r>
      <rPr>
        <sz val="11"/>
        <rFont val="Calibri"/>
        <family val="2"/>
      </rPr>
      <t xml:space="preserve"> from row </t>
    </r>
    <r>
      <rPr>
        <sz val="11"/>
        <color rgb="FFFF0000"/>
        <rFont val="Calibri"/>
        <family val="2"/>
      </rPr>
      <t>1 to 61</t>
    </r>
  </si>
  <si>
    <t>The reports and statements set out below comprise the annual Financial Statements</t>
  </si>
  <si>
    <t>Country of incorporation and</t>
  </si>
  <si>
    <t>domicile</t>
  </si>
  <si>
    <t>ended and the notes to the Financial Statements, which include other explanatory notes.</t>
  </si>
  <si>
    <t xml:space="preserve">enable the preparation of the Financial Statements that are free from material misstatements, </t>
  </si>
  <si>
    <t>system of risk management.</t>
  </si>
  <si>
    <t>whether due to fraud or error and for maintaining adequate accounting records and an effective</t>
  </si>
  <si>
    <t>Services 4410 (revised), Compilation Engagements.</t>
  </si>
  <si>
    <t>We performed this compilation engagement in accordance with International Standard on Related</t>
  </si>
  <si>
    <t>We have applied our expertise in accounting and financial reporting to assist you in the</t>
  </si>
  <si>
    <t xml:space="preserve">preparation and presentation of these Financial Statements. We have complied with relevant </t>
  </si>
  <si>
    <t>due care.</t>
  </si>
  <si>
    <t>ethical requirements, including principles of integrity, objectivity, professional competence and</t>
  </si>
  <si>
    <t>them are your responsibility.</t>
  </si>
  <si>
    <t>These financial statements and the accuracy and completeness of the information used to compile</t>
  </si>
  <si>
    <t>Since a compilation engagement is not an assurance engagement, we are not required to verify the</t>
  </si>
  <si>
    <t>accuracy or completeness of the information you provided to us to compile these Financial</t>
  </si>
  <si>
    <t>Net capital of business, trade or profession</t>
  </si>
  <si>
    <t>NET CAPITAL OF BUSINESS, TRADE OR PROFESSION</t>
  </si>
  <si>
    <t>and boats</t>
  </si>
  <si>
    <t>caravans</t>
  </si>
  <si>
    <t>Statements.</t>
  </si>
  <si>
    <t>ADMINISTRATIVE EXPENSES</t>
  </si>
  <si>
    <t>REVENUE</t>
  </si>
  <si>
    <t>LESS: ADMINISTRATIVE EXPENSES</t>
  </si>
  <si>
    <t>Inventories</t>
  </si>
  <si>
    <t>INVENTORIES</t>
  </si>
  <si>
    <t xml:space="preserve">Inventories consists of the following: </t>
  </si>
  <si>
    <t>INTANGIBLE ASSETS</t>
  </si>
  <si>
    <t>OPERATING EXPENSES</t>
  </si>
  <si>
    <t>LESS: OPERATING EXPENSES</t>
  </si>
  <si>
    <t>Property</t>
  </si>
  <si>
    <t>PROPERTY</t>
  </si>
  <si>
    <t>PREVIOUS YEAR</t>
  </si>
  <si>
    <t>Previous Year</t>
  </si>
  <si>
    <t>Amortisation of prepaid lease agreement</t>
  </si>
  <si>
    <t>have interest of dividend income).</t>
  </si>
  <si>
    <t>29 FEBRUARY 2024</t>
  </si>
  <si>
    <t>5110/001</t>
  </si>
  <si>
    <t>5120/000</t>
  </si>
  <si>
    <t>REVALUATION RESERVE</t>
  </si>
  <si>
    <t>5120/001</t>
  </si>
  <si>
    <t>Revaluation reserve - balance b/fwd</t>
  </si>
  <si>
    <t>5120/002</t>
  </si>
  <si>
    <t>Revaluation reserve - additions</t>
  </si>
  <si>
    <t>5120/003</t>
  </si>
  <si>
    <t>Revaluation reserve - transfer</t>
  </si>
  <si>
    <t>Revaluation reserve</t>
  </si>
  <si>
    <t>Revaluation</t>
  </si>
  <si>
    <t>Balance at the beginning of the year</t>
  </si>
  <si>
    <t>Revaluation reserve increase for year</t>
  </si>
  <si>
    <t>Revaluation reserve decrease for year</t>
  </si>
  <si>
    <t>Balance at the end of the year</t>
  </si>
  <si>
    <t>Carrying value at beginning of year</t>
  </si>
  <si>
    <t xml:space="preserve">  Revaluation</t>
  </si>
  <si>
    <t xml:space="preserve">  Less: Accumulated depreciation</t>
  </si>
  <si>
    <t>Add: Revaluation</t>
  </si>
  <si>
    <t>Carrying value at the end of year</t>
  </si>
  <si>
    <t>Is there a bond over Property?</t>
  </si>
  <si>
    <t xml:space="preserve">Property, plant and equipment </t>
  </si>
  <si>
    <t>Impairment losses</t>
  </si>
  <si>
    <t>3000/280</t>
  </si>
  <si>
    <t>Amortisation of goodwill</t>
  </si>
  <si>
    <t>7000/001</t>
  </si>
  <si>
    <t>GOODWILL - COST</t>
  </si>
  <si>
    <t>7000/002</t>
  </si>
  <si>
    <t>Goodwill - cost b/fwd</t>
  </si>
  <si>
    <t>7000/003</t>
  </si>
  <si>
    <t>Goodwill - additions</t>
  </si>
  <si>
    <t>7000/005</t>
  </si>
  <si>
    <t>GOODWILL - ACC AMORTISATION</t>
  </si>
  <si>
    <t>7000/006</t>
  </si>
  <si>
    <t>Goodwill - acc amortisation b/fwd</t>
  </si>
  <si>
    <t>7000/007</t>
  </si>
  <si>
    <t>Goodwill - amortisation this year</t>
  </si>
  <si>
    <t>GOODWILL - IMPAIRMENT</t>
  </si>
  <si>
    <t>Goodwill - impairment loss b/fwd</t>
  </si>
  <si>
    <t>7000/012</t>
  </si>
  <si>
    <t>Goodwill - impairment loss this year</t>
  </si>
  <si>
    <t>7000/021</t>
  </si>
  <si>
    <t>PREPAID LEASE AGREEMENT - COST</t>
  </si>
  <si>
    <t>7000/022</t>
  </si>
  <si>
    <t>Prepaid lease agreement - cost b/fwd</t>
  </si>
  <si>
    <t>7000/023</t>
  </si>
  <si>
    <t>Prepaid lease agreement - additions</t>
  </si>
  <si>
    <t>PREPAID LEASE AGREEMENT - ACC AMORTISATION</t>
  </si>
  <si>
    <t>7000/026</t>
  </si>
  <si>
    <t>Prepaid lease agreement - acc amortisation b/fwd</t>
  </si>
  <si>
    <t>7000/027</t>
  </si>
  <si>
    <t>Prepaid lease agreement - amortisation this year</t>
  </si>
  <si>
    <t>7000/030</t>
  </si>
  <si>
    <t>PREPAID LEASE AGREEMENT - IMPAIRMENT</t>
  </si>
  <si>
    <t>7000/031</t>
  </si>
  <si>
    <t>Prepaid lease agreement - impairment loss b/fwd</t>
  </si>
  <si>
    <t>7000/032</t>
  </si>
  <si>
    <t>Prepaid lease agreement - impairment loss this year</t>
  </si>
  <si>
    <t>Intangible assets</t>
  </si>
  <si>
    <t>GOODWILL</t>
  </si>
  <si>
    <t xml:space="preserve">  Less: Accumulated amortisation</t>
  </si>
  <si>
    <t xml:space="preserve">  Less: Accumulated impairment loss</t>
  </si>
  <si>
    <t>Annual amortisation</t>
  </si>
  <si>
    <t>Impairment loss</t>
  </si>
  <si>
    <t>PREPAID LEASE AGREEMENT</t>
  </si>
  <si>
    <t>REVALUATION</t>
  </si>
  <si>
    <t>FIXED ASSETS SUMMARY</t>
  </si>
  <si>
    <t>Cost/</t>
  </si>
  <si>
    <t>Revalution</t>
  </si>
  <si>
    <t>Depr - Property</t>
  </si>
  <si>
    <t>PROPERTY - COST</t>
  </si>
  <si>
    <t>Property - cost b/fwd</t>
  </si>
  <si>
    <t>Property - additions</t>
  </si>
  <si>
    <t>Property - cost of sales</t>
  </si>
  <si>
    <t>PROPERTY - ACC DEPR</t>
  </si>
  <si>
    <t>Property - acc depr b/fwd</t>
  </si>
  <si>
    <t>Property - depr this year</t>
  </si>
  <si>
    <t>Property - acc depr on sales</t>
  </si>
  <si>
    <t>PROPERTY - REVALUATION</t>
  </si>
  <si>
    <t>Property - revaluation b/fwd</t>
  </si>
  <si>
    <t>Property - revaluation additions</t>
  </si>
  <si>
    <t>Property - revaluation reduction</t>
  </si>
  <si>
    <t>Secured by a finance lease/bond agreement over a motor vehicle/property with a book</t>
  </si>
  <si>
    <t>value of R      and which bears interest at x% p.a.</t>
  </si>
  <si>
    <t>inclusive of capital and interest.</t>
  </si>
  <si>
    <t>and is repayable in equal monthly instalments of R     ,</t>
  </si>
  <si>
    <t>Income tax provision</t>
  </si>
  <si>
    <t>4800/001Tax provided this year</t>
  </si>
  <si>
    <t>9300/020Tax provision this year</t>
  </si>
  <si>
    <t>Delete if not applicable</t>
  </si>
  <si>
    <t>On the Fixed Asset register, when you revalue property, keep the cost price in the Property section</t>
  </si>
  <si>
    <t>and the revaluation above the cost price in the Revaluation section.</t>
  </si>
  <si>
    <t>Interest at the SARS official rate</t>
  </si>
  <si>
    <t>The figures for columns F,G and H are transferred from the individual Trial Balances for each other</t>
  </si>
  <si>
    <t>activity.</t>
  </si>
  <si>
    <t>6100/024</t>
  </si>
  <si>
    <t>Property - recoupment of depr</t>
  </si>
  <si>
    <t>2050/006</t>
  </si>
  <si>
    <t>Recoupment of depreciation</t>
  </si>
  <si>
    <t>of depr</t>
  </si>
  <si>
    <r>
      <t xml:space="preserve">When property is revalued and the property is depreciated, use the line items </t>
    </r>
    <r>
      <rPr>
        <sz val="11"/>
        <color rgb="FFFF0000"/>
        <rFont val="Calibri"/>
        <family val="2"/>
      </rPr>
      <t xml:space="preserve">C30 and C234 </t>
    </r>
    <r>
      <rPr>
        <sz val="11"/>
        <rFont val="Calibri"/>
        <family val="2"/>
      </rPr>
      <t>(TB)</t>
    </r>
  </si>
  <si>
    <t>to write back the depreciation before the property is revalued.</t>
  </si>
  <si>
    <t>Revalued property is not depreciated after revaluation.</t>
  </si>
  <si>
    <t>The "Recoupment of depr" column on the Fixed Asset register is also for this purpose.</t>
  </si>
  <si>
    <t>Add: Recoupment of depreciation on revaluations</t>
  </si>
  <si>
    <t>Beneficiaries</t>
  </si>
  <si>
    <t>FS EASY</t>
  </si>
  <si>
    <t>ABC TRUST</t>
  </si>
  <si>
    <t>ABC Trust</t>
  </si>
  <si>
    <t>IT83/2021</t>
  </si>
  <si>
    <t>Less: Residential rental</t>
  </si>
  <si>
    <t>Taxable in Trust</t>
  </si>
  <si>
    <t>Less: Distribution to beneficiaries</t>
  </si>
  <si>
    <t>Transferred to tax calculation</t>
  </si>
  <si>
    <t>RENTAL PROPERTIES</t>
  </si>
  <si>
    <t>SEAFRONT RESTAURANT</t>
  </si>
  <si>
    <t>Rental Properties</t>
  </si>
  <si>
    <t>Seafront Restaurant</t>
  </si>
  <si>
    <t>to the Financial Statements, including other explanatory information.</t>
  </si>
  <si>
    <r>
      <t xml:space="preserve">previous year's file (column </t>
    </r>
    <r>
      <rPr>
        <sz val="11"/>
        <color rgb="FFFF0000"/>
        <rFont val="Calibri"/>
        <family val="2"/>
      </rPr>
      <t>X and Y</t>
    </r>
    <r>
      <rPr>
        <sz val="11"/>
        <rFont val="Calibri"/>
        <family val="2"/>
      </rPr>
      <t>) - "copy, paste special, values".</t>
    </r>
  </si>
  <si>
    <t>Click on the Control panel icon on your screen.</t>
  </si>
  <si>
    <t>Click on Change the date, time or number format under the Clock and region section.</t>
  </si>
  <si>
    <t>Click on Additional Settings. Change the Decimal symbol to a dot.</t>
  </si>
  <si>
    <r>
      <t xml:space="preserve">We've </t>
    </r>
    <r>
      <rPr>
        <b/>
        <sz val="11"/>
        <rFont val="Calibri"/>
        <family val="2"/>
      </rPr>
      <t>loaded the Income tax journal</t>
    </r>
    <r>
      <rPr>
        <sz val="11"/>
        <rFont val="Calibri"/>
        <family val="2"/>
      </rPr>
      <t xml:space="preserve"> for automatic update when further</t>
    </r>
  </si>
  <si>
    <t>adjustment are made to the Trial Balances and Income tax calculations.</t>
  </si>
  <si>
    <r>
      <t xml:space="preserve">Highlight columns </t>
    </r>
    <r>
      <rPr>
        <sz val="11"/>
        <color rgb="FFFF0000"/>
        <rFont val="Calibri"/>
        <family val="2"/>
      </rPr>
      <t>X and Y</t>
    </r>
    <r>
      <rPr>
        <sz val="11"/>
        <rFont val="Calibri"/>
        <family val="2"/>
      </rPr>
      <t xml:space="preserve"> and copy, paste special, values for each section to column</t>
    </r>
  </si>
  <si>
    <t>Income tax provision for current year</t>
  </si>
  <si>
    <t>Under-/(Over) provisions for previous years</t>
  </si>
  <si>
    <t>Tax (paid)/refund for previous years' assessments</t>
  </si>
  <si>
    <t>1st Provisional tax paid</t>
  </si>
  <si>
    <t>2nd Provisional tax paid</t>
  </si>
  <si>
    <t>3rd Provisional tax paid</t>
  </si>
  <si>
    <t>Details of property at Cost or Fair value - at 0 decimal rounding</t>
  </si>
  <si>
    <t>The details of property at cost or fair value are as follows:</t>
  </si>
  <si>
    <r>
      <t xml:space="preserve">Complete the </t>
    </r>
    <r>
      <rPr>
        <b/>
        <sz val="11"/>
        <rFont val="Calibri"/>
        <family val="2"/>
      </rPr>
      <t>Tax Asset Register</t>
    </r>
    <r>
      <rPr>
        <sz val="11"/>
        <rFont val="Calibri"/>
        <family val="2"/>
      </rPr>
      <t xml:space="preserve"> if different than the Fixed Asset Register.</t>
    </r>
  </si>
  <si>
    <t>Do this for operating and administration expenses separately.</t>
  </si>
  <si>
    <r>
      <t xml:space="preserve">Make sure, on the FS sheet (or FS2 sheet), that cell </t>
    </r>
    <r>
      <rPr>
        <sz val="11"/>
        <color rgb="FFFF0000"/>
        <rFont val="Calibri"/>
        <family val="2"/>
      </rPr>
      <t>V2</t>
    </r>
    <r>
      <rPr>
        <sz val="11"/>
        <rFont val="Calibri"/>
        <family val="2"/>
      </rPr>
      <t xml:space="preserve"> and cell </t>
    </r>
    <r>
      <rPr>
        <sz val="11"/>
        <color rgb="FFFF0000"/>
        <rFont val="Calibri"/>
        <family val="2"/>
      </rPr>
      <t>X2</t>
    </r>
    <r>
      <rPr>
        <sz val="11"/>
        <rFont val="Calibri"/>
        <family val="2"/>
      </rPr>
      <t xml:space="preserve"> (or cell </t>
    </r>
    <r>
      <rPr>
        <sz val="11"/>
        <color rgb="FFFF0000"/>
        <rFont val="Calibri"/>
        <family val="2"/>
      </rPr>
      <t>U2</t>
    </r>
    <r>
      <rPr>
        <sz val="11"/>
        <rFont val="Calibri"/>
        <family val="2"/>
      </rPr>
      <t xml:space="preserve"> on FS2) are </t>
    </r>
    <r>
      <rPr>
        <b/>
        <sz val="11"/>
        <rFont val="Calibri"/>
        <family val="2"/>
      </rPr>
      <t>"YES"</t>
    </r>
    <r>
      <rPr>
        <sz val="11"/>
        <rFont val="Calibri"/>
        <family val="2"/>
      </rPr>
      <t>.</t>
    </r>
  </si>
  <si>
    <t>sheets if your client provides in Excel format.</t>
  </si>
  <si>
    <r>
      <t xml:space="preserve">Make sure that the Fixed Asset register balances with the Trial Balance - row </t>
    </r>
    <r>
      <rPr>
        <sz val="11"/>
        <color rgb="FFFF0000"/>
        <rFont val="Calibri"/>
        <family val="2"/>
      </rPr>
      <t>19</t>
    </r>
    <r>
      <rPr>
        <sz val="11"/>
        <rFont val="Calibri"/>
        <family val="2"/>
      </rPr>
      <t>.</t>
    </r>
  </si>
  <si>
    <r>
      <t xml:space="preserve">Fill in your </t>
    </r>
    <r>
      <rPr>
        <b/>
        <sz val="11"/>
        <rFont val="Calibri"/>
        <family val="2"/>
      </rPr>
      <t>practice details</t>
    </r>
    <r>
      <rPr>
        <sz val="11"/>
        <rFont val="Calibri"/>
        <family val="2"/>
      </rPr>
      <t xml:space="preserve"> on the FS sheet - cell </t>
    </r>
    <r>
      <rPr>
        <sz val="11"/>
        <color rgb="FFFF0000"/>
        <rFont val="Calibri"/>
        <family val="2"/>
      </rPr>
      <t>D153</t>
    </r>
  </si>
  <si>
    <r>
      <rPr>
        <sz val="11"/>
        <color rgb="FFFF0000"/>
        <rFont val="Calibri"/>
        <family val="2"/>
      </rPr>
      <t>L89</t>
    </r>
    <r>
      <rPr>
        <sz val="11"/>
        <rFont val="Calibri"/>
        <family val="2"/>
      </rPr>
      <t>, press F2 and add or subtract the rounding difference - usually R1 or R2.</t>
    </r>
  </si>
  <si>
    <r>
      <t xml:space="preserve">Column K provides you with links to the Working Papers. For example if you click on cell </t>
    </r>
    <r>
      <rPr>
        <sz val="11"/>
        <color rgb="FFFF0000"/>
        <rFont val="Calibri"/>
        <family val="2"/>
      </rPr>
      <t>K357</t>
    </r>
    <r>
      <rPr>
        <sz val="11"/>
        <rFont val="Calibri"/>
        <family val="2"/>
      </rPr>
      <t>,</t>
    </r>
  </si>
  <si>
    <r>
      <t xml:space="preserve">If you want the notes (cell </t>
    </r>
    <r>
      <rPr>
        <sz val="11"/>
        <color rgb="FFFF0000"/>
        <rFont val="Calibri"/>
        <family val="2"/>
      </rPr>
      <t>G121</t>
    </r>
    <r>
      <rPr>
        <sz val="11"/>
        <rFont val="Calibri"/>
        <family val="2"/>
      </rPr>
      <t xml:space="preserve"> and </t>
    </r>
    <r>
      <rPr>
        <sz val="11"/>
        <color rgb="FFFF0000"/>
        <rFont val="Calibri"/>
        <family val="2"/>
      </rPr>
      <t>F154</t>
    </r>
    <r>
      <rPr>
        <sz val="11"/>
        <rFont val="Calibri"/>
        <family val="2"/>
      </rPr>
      <t xml:space="preserve"> on the Criteria sheet) to show on the Financial</t>
    </r>
  </si>
  <si>
    <t>T/A RENTAL PROPERTIES, SEAFRONT RESTAURANT AND SURF SHOP</t>
  </si>
  <si>
    <t>SURF SHOP</t>
  </si>
  <si>
    <t>Surf Shop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</si>
</sst>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* #,##0.00_);_(* \(#,##0.00\);_(* &quot;-&quot;??_);_(@_)"/>
    <numFmt numFmtId="165" formatCode="_ * #,##0.00_ ;_ * \-#,##0.00_ ;_ * &quot;-&quot;??_ ;_ @_ "/>
    <numFmt numFmtId="166" formatCode="&quot;R&quot;\ #,##0.00_);[Red]\(&quot;R&quot;\ #,##0.00\)"/>
    <numFmt numFmtId="167" formatCode="_(* #,##0_);_(* \(#,##0\);_(* &quot;-&quot;??_);_(@_)"/>
    <numFmt numFmtId="168" formatCode="0.000%"/>
    <numFmt numFmtId="169" formatCode="[$-1C09]dd\ mmmm\ yyyy;@"/>
    <numFmt numFmtId="170" formatCode="_(* #,##0.00_);_(* \(#,##0.00\);_(* \-??_);_(@_)"/>
    <numFmt numFmtId="171" formatCode="_ * #,##0.00_ ;_ * \-#,##0.00_ ;_ * \-??_ ;_ @_ "/>
    <numFmt numFmtId="172" formatCode="[$-409]d\-mmm\-yy;@"/>
    <numFmt numFmtId="173" formatCode="_(* #,##0.0000_);_(* \(#,##0.0000\);_(* &quot;-&quot;??_);_(@_)"/>
  </numFmts>
  <fonts count="82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sz val="12"/>
      <color indexed="10"/>
      <name val="Times New Roman"/>
      <family val="1"/>
    </font>
    <font>
      <b/>
      <sz val="18"/>
      <name val="Times New Roman"/>
      <family val="1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u/>
      <sz val="12"/>
      <name val="Times New Roman"/>
      <family val="1"/>
    </font>
    <font>
      <sz val="10"/>
      <color indexed="10"/>
      <name val="Arial"/>
      <family val="2"/>
    </font>
    <font>
      <b/>
      <u/>
      <sz val="10"/>
      <name val="Times New Roman"/>
      <family val="1"/>
    </font>
    <font>
      <u/>
      <sz val="10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8"/>
      <name val="Times New Roman"/>
      <family val="1"/>
    </font>
    <font>
      <sz val="18"/>
      <name val="Arial"/>
      <family val="2"/>
    </font>
    <font>
      <b/>
      <sz val="20"/>
      <name val="Times New Roman"/>
      <family val="1"/>
    </font>
    <font>
      <sz val="16"/>
      <name val="Times New Roman"/>
      <family val="1"/>
    </font>
    <font>
      <sz val="24"/>
      <name val="Arial"/>
      <family val="2"/>
    </font>
    <font>
      <b/>
      <u/>
      <sz val="18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8"/>
      <name val="Arial"/>
      <family val="2"/>
    </font>
    <font>
      <sz val="2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 val="singleAccounting"/>
      <sz val="10"/>
      <name val="Times New Roman"/>
      <family val="1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u val="singleAccounting"/>
      <sz val="18"/>
      <name val="Times New Roman"/>
      <family val="1"/>
    </font>
    <font>
      <b/>
      <u val="singleAccounting"/>
      <sz val="10"/>
      <color theme="3"/>
      <name val="Times New Roman"/>
      <family val="1"/>
    </font>
    <font>
      <b/>
      <sz val="18"/>
      <name val="Arial"/>
      <family val="2"/>
    </font>
    <font>
      <sz val="18"/>
      <color rgb="FFFF0000"/>
      <name val="Arial"/>
      <family val="2"/>
    </font>
    <font>
      <sz val="12"/>
      <name val="Arial"/>
      <family val="2"/>
    </font>
    <font>
      <b/>
      <u/>
      <sz val="11"/>
      <name val="Times New Roman"/>
      <family val="1"/>
    </font>
    <font>
      <b/>
      <u/>
      <sz val="12"/>
      <name val="Tempus Sans ITC"/>
      <family val="5"/>
    </font>
    <font>
      <b/>
      <u/>
      <sz val="14"/>
      <name val="Tempus Sans ITC"/>
      <family val="5"/>
    </font>
    <font>
      <sz val="10"/>
      <name val="MS Sans Serif"/>
      <family val="2"/>
    </font>
    <font>
      <u val="singleAccounting"/>
      <sz val="10"/>
      <name val="Times New Roman"/>
      <family val="1"/>
    </font>
    <font>
      <u/>
      <sz val="18"/>
      <color indexed="12"/>
      <name val="Times New Roman"/>
      <family val="1"/>
    </font>
    <font>
      <sz val="10"/>
      <color theme="0"/>
      <name val="Arial"/>
      <family val="2"/>
    </font>
    <font>
      <sz val="11"/>
      <color theme="1"/>
      <name val="Times New Roman"/>
      <family val="1"/>
    </font>
    <font>
      <sz val="11"/>
      <name val="Times New Roman"/>
      <family val="1"/>
    </font>
    <font>
      <b/>
      <sz val="11"/>
      <color theme="1"/>
      <name val="Times New Roman"/>
      <family val="1"/>
    </font>
    <font>
      <sz val="10"/>
      <color rgb="FFFF0000"/>
      <name val="Times New Roman"/>
      <family val="1"/>
    </font>
    <font>
      <b/>
      <u/>
      <sz val="11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0"/>
      <color theme="3"/>
      <name val="Times New Roman"/>
      <family val="1"/>
    </font>
    <font>
      <sz val="12"/>
      <name val="Calibri"/>
      <family val="2"/>
    </font>
    <font>
      <sz val="24"/>
      <name val="Bodoni MT"/>
      <family val="1"/>
    </font>
    <font>
      <sz val="20"/>
      <name val="Times New Roman"/>
      <family val="1"/>
    </font>
    <font>
      <sz val="21"/>
      <name val="Times New Roman"/>
      <family val="1"/>
    </font>
    <font>
      <b/>
      <sz val="21"/>
      <name val="Times New Roman"/>
      <family val="1"/>
    </font>
    <font>
      <b/>
      <sz val="10"/>
      <color rgb="FFFF0000"/>
      <name val="Times New Roman"/>
      <family val="1"/>
    </font>
    <font>
      <b/>
      <u/>
      <sz val="11"/>
      <name val="Tempus Sans ITC"/>
      <family val="5"/>
    </font>
    <font>
      <b/>
      <u/>
      <sz val="11"/>
      <color theme="1"/>
      <name val="Times New Roman"/>
      <family val="1"/>
    </font>
    <font>
      <sz val="19"/>
      <name val="Times New Roman"/>
      <family val="1"/>
    </font>
    <font>
      <u/>
      <sz val="12"/>
      <name val="Calibri"/>
      <family val="2"/>
    </font>
    <font>
      <sz val="11"/>
      <color rgb="FFFF0000"/>
      <name val="Calibri"/>
      <family val="2"/>
    </font>
    <font>
      <u/>
      <sz val="14"/>
      <color indexed="12"/>
      <name val="Times New Roman"/>
      <family val="1"/>
    </font>
    <font>
      <sz val="25"/>
      <name val="Times New Roman"/>
      <family val="1"/>
    </font>
    <font>
      <b/>
      <sz val="25"/>
      <name val="Times New Roman"/>
      <family val="1"/>
    </font>
    <font>
      <sz val="25"/>
      <name val="Arial"/>
      <family val="2"/>
    </font>
    <font>
      <b/>
      <sz val="16"/>
      <name val="Times New Roman"/>
      <family val="1"/>
    </font>
    <font>
      <sz val="16"/>
      <name val="Arial"/>
      <family val="2"/>
    </font>
    <font>
      <b/>
      <sz val="16"/>
      <color theme="3"/>
      <name val="Times New Roman"/>
      <family val="1"/>
    </font>
    <font>
      <sz val="16"/>
      <color indexed="10"/>
      <name val="Times New Roman"/>
      <family val="1"/>
    </font>
    <font>
      <b/>
      <sz val="21"/>
      <color theme="3"/>
      <name val="Times New Roman"/>
      <family val="1"/>
    </font>
    <font>
      <sz val="24"/>
      <name val="Times New Roman"/>
      <family val="1"/>
    </font>
    <font>
      <b/>
      <sz val="24"/>
      <name val="Times New Roman"/>
      <family val="1"/>
    </font>
    <font>
      <sz val="27"/>
      <name val="Times New Roman"/>
      <family val="1"/>
    </font>
    <font>
      <sz val="23"/>
      <name val="Times New Roman"/>
      <family val="1"/>
    </font>
  </fonts>
  <fills count="20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7EC579"/>
        <bgColor indexed="64"/>
      </patternFill>
    </fill>
    <fill>
      <patternFill patternType="solid">
        <fgColor rgb="FFFFFF00"/>
        <bgColor indexed="64"/>
      </patternFill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-0.249977111117893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29">
    <xf numFmtId="0" fontId="0" fillId="0" borderId="0"/>
    <xf numFmtId="164" fontId="2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ill="0" applyBorder="0" applyAlignment="0" applyProtection="0"/>
    <xf numFmtId="165" fontId="25" fillId="0" borderId="0" applyFont="0" applyFill="0" applyBorder="0" applyAlignment="0" applyProtection="0"/>
    <xf numFmtId="171" fontId="17" fillId="0" borderId="0" applyFill="0" applyBorder="0" applyAlignment="0" applyProtection="0"/>
    <xf numFmtId="164" fontId="26" fillId="0" borderId="0" applyFont="0" applyFill="0" applyBorder="0" applyAlignment="0" applyProtection="0"/>
    <xf numFmtId="170" fontId="17" fillId="0" borderId="0" applyFill="0" applyBorder="0" applyAlignment="0" applyProtection="0"/>
    <xf numFmtId="164" fontId="27" fillId="0" borderId="0" applyFont="0" applyFill="0" applyBorder="0" applyAlignment="0" applyProtection="0"/>
    <xf numFmtId="170" fontId="17" fillId="0" borderId="0" applyFill="0" applyBorder="0" applyAlignment="0" applyProtection="0"/>
    <xf numFmtId="170" fontId="17" fillId="0" borderId="0" applyFill="0" applyBorder="0" applyAlignment="0" applyProtection="0"/>
    <xf numFmtId="164" fontId="35" fillId="0" borderId="0" applyFont="0" applyFill="0" applyBorder="0" applyAlignment="0" applyProtection="0"/>
    <xf numFmtId="0" fontId="34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36" fillId="0" borderId="0"/>
    <xf numFmtId="0" fontId="17" fillId="0" borderId="0"/>
    <xf numFmtId="9" fontId="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ill="0" applyBorder="0" applyAlignment="0" applyProtection="0"/>
    <xf numFmtId="9" fontId="26" fillId="0" borderId="0" applyFont="0" applyFill="0" applyBorder="0" applyAlignment="0" applyProtection="0"/>
    <xf numFmtId="9" fontId="17" fillId="0" borderId="0" applyFill="0" applyBorder="0" applyAlignment="0" applyProtection="0"/>
    <xf numFmtId="9" fontId="35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46" fillId="0" borderId="0"/>
    <xf numFmtId="0" fontId="1" fillId="0" borderId="0"/>
    <xf numFmtId="0" fontId="2" fillId="0" borderId="0"/>
    <xf numFmtId="9" fontId="2" fillId="0" borderId="0" applyFont="0" applyFill="0" applyBorder="0" applyAlignment="0" applyProtection="0"/>
  </cellStyleXfs>
  <cellXfs count="51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/>
    <xf numFmtId="164" fontId="5" fillId="0" borderId="0" xfId="1" applyFont="1"/>
    <xf numFmtId="0" fontId="5" fillId="0" borderId="0" xfId="0" applyFont="1" applyAlignment="1">
      <alignment horizontal="center"/>
    </xf>
    <xf numFmtId="0" fontId="5" fillId="0" borderId="1" xfId="0" applyFont="1" applyBorder="1"/>
    <xf numFmtId="164" fontId="3" fillId="0" borderId="0" xfId="1" applyFont="1" applyAlignment="1">
      <alignment horizontal="center"/>
    </xf>
    <xf numFmtId="0" fontId="8" fillId="0" borderId="0" xfId="0" applyFont="1"/>
    <xf numFmtId="0" fontId="9" fillId="0" borderId="0" xfId="0" applyFont="1"/>
    <xf numFmtId="0" fontId="0" fillId="0" borderId="0" xfId="0" quotePrefix="1"/>
    <xf numFmtId="164" fontId="0" fillId="0" borderId="0" xfId="1" quotePrefix="1" applyFont="1"/>
    <xf numFmtId="164" fontId="0" fillId="0" borderId="0" xfId="1" applyFont="1"/>
    <xf numFmtId="0" fontId="10" fillId="0" borderId="0" xfId="0" applyFont="1"/>
    <xf numFmtId="164" fontId="0" fillId="0" borderId="0" xfId="1" applyFont="1" applyAlignment="1">
      <alignment horizontal="center"/>
    </xf>
    <xf numFmtId="164" fontId="5" fillId="0" borderId="0" xfId="0" applyNumberFormat="1" applyFont="1"/>
    <xf numFmtId="164" fontId="3" fillId="0" borderId="0" xfId="0" applyNumberFormat="1" applyFont="1"/>
    <xf numFmtId="164" fontId="5" fillId="0" borderId="10" xfId="1" applyFont="1" applyBorder="1"/>
    <xf numFmtId="0" fontId="12" fillId="0" borderId="0" xfId="0" applyFont="1"/>
    <xf numFmtId="164" fontId="4" fillId="0" borderId="0" xfId="1" applyFont="1" applyAlignment="1">
      <alignment horizontal="center"/>
    </xf>
    <xf numFmtId="0" fontId="4" fillId="0" borderId="0" xfId="0" applyFont="1" applyAlignment="1">
      <alignment horizontal="center"/>
    </xf>
    <xf numFmtId="164" fontId="4" fillId="0" borderId="1" xfId="1" applyFont="1" applyBorder="1" applyAlignment="1">
      <alignment horizontal="center"/>
    </xf>
    <xf numFmtId="164" fontId="6" fillId="0" borderId="1" xfId="1" applyFont="1" applyBorder="1" applyAlignment="1">
      <alignment horizontal="center"/>
    </xf>
    <xf numFmtId="0" fontId="13" fillId="0" borderId="0" xfId="0" applyFont="1"/>
    <xf numFmtId="0" fontId="12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14" fillId="0" borderId="0" xfId="0" applyFont="1"/>
    <xf numFmtId="0" fontId="5" fillId="0" borderId="0" xfId="0" quotePrefix="1" applyFont="1"/>
    <xf numFmtId="39" fontId="5" fillId="0" borderId="0" xfId="0" applyNumberFormat="1" applyFont="1"/>
    <xf numFmtId="164" fontId="5" fillId="0" borderId="10" xfId="0" applyNumberFormat="1" applyFont="1" applyBorder="1"/>
    <xf numFmtId="164" fontId="0" fillId="0" borderId="0" xfId="0" applyNumberFormat="1"/>
    <xf numFmtId="0" fontId="6" fillId="0" borderId="1" xfId="0" applyFont="1" applyBorder="1" applyAlignment="1">
      <alignment horizontal="center"/>
    </xf>
    <xf numFmtId="0" fontId="19" fillId="0" borderId="0" xfId="0" applyFont="1"/>
    <xf numFmtId="164" fontId="19" fillId="0" borderId="0" xfId="1" applyFont="1"/>
    <xf numFmtId="0" fontId="20" fillId="0" borderId="0" xfId="0" applyFont="1"/>
    <xf numFmtId="0" fontId="21" fillId="0" borderId="0" xfId="0" applyFont="1"/>
    <xf numFmtId="0" fontId="23" fillId="0" borderId="0" xfId="0" applyFont="1"/>
    <xf numFmtId="0" fontId="24" fillId="0" borderId="0" xfId="0" applyFont="1"/>
    <xf numFmtId="0" fontId="5" fillId="4" borderId="0" xfId="0" applyFont="1" applyFill="1" applyProtection="1">
      <protection hidden="1"/>
    </xf>
    <xf numFmtId="164" fontId="8" fillId="0" borderId="0" xfId="1" applyFont="1"/>
    <xf numFmtId="164" fontId="6" fillId="0" borderId="0" xfId="1" applyFont="1"/>
    <xf numFmtId="164" fontId="3" fillId="0" borderId="0" xfId="1" applyFont="1"/>
    <xf numFmtId="0" fontId="5" fillId="0" borderId="10" xfId="0" applyFont="1" applyBorder="1"/>
    <xf numFmtId="164" fontId="18" fillId="0" borderId="0" xfId="1" applyFont="1"/>
    <xf numFmtId="164" fontId="18" fillId="0" borderId="0" xfId="1" applyFont="1" applyAlignment="1">
      <alignment horizontal="center"/>
    </xf>
    <xf numFmtId="166" fontId="5" fillId="0" borderId="0" xfId="0" applyNumberFormat="1" applyFont="1"/>
    <xf numFmtId="164" fontId="16" fillId="0" borderId="10" xfId="1" quotePrefix="1" applyFont="1" applyBorder="1"/>
    <xf numFmtId="0" fontId="18" fillId="0" borderId="0" xfId="0" applyFont="1"/>
    <xf numFmtId="0" fontId="2" fillId="0" borderId="0" xfId="0" applyFont="1"/>
    <xf numFmtId="164" fontId="3" fillId="0" borderId="10" xfId="1" applyFont="1" applyBorder="1"/>
    <xf numFmtId="0" fontId="16" fillId="0" borderId="0" xfId="0" applyFont="1"/>
    <xf numFmtId="164" fontId="18" fillId="0" borderId="0" xfId="1" quotePrefix="1" applyFont="1"/>
    <xf numFmtId="164" fontId="18" fillId="6" borderId="0" xfId="1" applyFont="1" applyFill="1"/>
    <xf numFmtId="164" fontId="18" fillId="5" borderId="0" xfId="1" applyFont="1" applyFill="1"/>
    <xf numFmtId="169" fontId="3" fillId="0" borderId="0" xfId="0" quotePrefix="1" applyNumberFormat="1" applyFont="1"/>
    <xf numFmtId="0" fontId="11" fillId="0" borderId="0" xfId="13" applyAlignment="1" applyProtection="1"/>
    <xf numFmtId="164" fontId="2" fillId="0" borderId="0" xfId="1"/>
    <xf numFmtId="9" fontId="5" fillId="0" borderId="0" xfId="0" applyNumberFormat="1" applyFont="1"/>
    <xf numFmtId="164" fontId="5" fillId="4" borderId="0" xfId="1" applyFont="1" applyFill="1" applyProtection="1">
      <protection hidden="1"/>
    </xf>
    <xf numFmtId="0" fontId="17" fillId="0" borderId="0" xfId="0" quotePrefix="1" applyFont="1"/>
    <xf numFmtId="0" fontId="10" fillId="0" borderId="0" xfId="0" quotePrefix="1" applyFont="1"/>
    <xf numFmtId="0" fontId="17" fillId="0" borderId="0" xfId="0" applyFont="1"/>
    <xf numFmtId="164" fontId="4" fillId="0" borderId="0" xfId="1" applyFont="1"/>
    <xf numFmtId="164" fontId="14" fillId="0" borderId="0" xfId="1" applyFont="1"/>
    <xf numFmtId="164" fontId="17" fillId="0" borderId="0" xfId="1" applyFont="1"/>
    <xf numFmtId="164" fontId="3" fillId="0" borderId="1" xfId="1" applyFont="1" applyBorder="1"/>
    <xf numFmtId="164" fontId="4" fillId="0" borderId="1" xfId="1" applyFont="1" applyBorder="1"/>
    <xf numFmtId="9" fontId="17" fillId="0" borderId="0" xfId="17" applyFont="1"/>
    <xf numFmtId="9" fontId="0" fillId="0" borderId="0" xfId="17" applyFont="1"/>
    <xf numFmtId="164" fontId="5" fillId="0" borderId="0" xfId="6" applyFont="1"/>
    <xf numFmtId="164" fontId="3" fillId="0" borderId="0" xfId="6" applyFont="1"/>
    <xf numFmtId="164" fontId="5" fillId="2" borderId="0" xfId="6" applyFont="1" applyFill="1"/>
    <xf numFmtId="168" fontId="5" fillId="2" borderId="0" xfId="20" applyNumberFormat="1" applyFont="1" applyFill="1"/>
    <xf numFmtId="164" fontId="5" fillId="0" borderId="1" xfId="6" applyFont="1" applyBorder="1"/>
    <xf numFmtId="164" fontId="6" fillId="0" borderId="0" xfId="6" applyFont="1"/>
    <xf numFmtId="164" fontId="2" fillId="0" borderId="0" xfId="0" applyNumberFormat="1" applyFont="1"/>
    <xf numFmtId="164" fontId="2" fillId="0" borderId="0" xfId="1" quotePrefix="1"/>
    <xf numFmtId="164" fontId="13" fillId="0" borderId="0" xfId="0" applyNumberFormat="1" applyFont="1"/>
    <xf numFmtId="164" fontId="18" fillId="0" borderId="0" xfId="1" quotePrefix="1" applyFont="1" applyAlignment="1">
      <alignment horizontal="center"/>
    </xf>
    <xf numFmtId="164" fontId="16" fillId="0" borderId="0" xfId="1" quotePrefix="1" applyFont="1"/>
    <xf numFmtId="164" fontId="17" fillId="3" borderId="0" xfId="1" applyFont="1" applyFill="1"/>
    <xf numFmtId="164" fontId="17" fillId="0" borderId="0" xfId="1" applyFont="1" applyAlignment="1">
      <alignment horizontal="center"/>
    </xf>
    <xf numFmtId="164" fontId="10" fillId="0" borderId="0" xfId="1" applyFont="1"/>
    <xf numFmtId="164" fontId="6" fillId="0" borderId="14" xfId="1" applyFont="1" applyBorder="1"/>
    <xf numFmtId="164" fontId="5" fillId="0" borderId="1" xfId="1" applyFont="1" applyBorder="1"/>
    <xf numFmtId="164" fontId="17" fillId="4" borderId="0" xfId="2" applyFill="1"/>
    <xf numFmtId="164" fontId="17" fillId="4" borderId="0" xfId="2" quotePrefix="1" applyFill="1"/>
    <xf numFmtId="164" fontId="18" fillId="4" borderId="0" xfId="1" quotePrefix="1" applyFont="1" applyFill="1" applyAlignment="1">
      <alignment horizontal="center"/>
    </xf>
    <xf numFmtId="164" fontId="0" fillId="4" borderId="0" xfId="1" applyFont="1" applyFill="1" applyAlignment="1">
      <alignment horizontal="center"/>
    </xf>
    <xf numFmtId="164" fontId="10" fillId="0" borderId="0" xfId="1" quotePrefix="1" applyFont="1"/>
    <xf numFmtId="169" fontId="3" fillId="0" borderId="0" xfId="0" applyNumberFormat="1" applyFont="1"/>
    <xf numFmtId="0" fontId="28" fillId="0" borderId="0" xfId="0" applyFont="1"/>
    <xf numFmtId="164" fontId="9" fillId="0" borderId="14" xfId="1" applyFont="1" applyBorder="1"/>
    <xf numFmtId="164" fontId="9" fillId="0" borderId="0" xfId="1" applyFont="1"/>
    <xf numFmtId="164" fontId="9" fillId="0" borderId="14" xfId="1" applyFont="1" applyBorder="1" applyAlignment="1">
      <alignment horizontal="center"/>
    </xf>
    <xf numFmtId="164" fontId="19" fillId="0" borderId="1" xfId="1" applyFont="1" applyBorder="1"/>
    <xf numFmtId="164" fontId="9" fillId="0" borderId="1" xfId="1" applyFont="1" applyBorder="1"/>
    <xf numFmtId="164" fontId="9" fillId="0" borderId="1" xfId="1" applyFont="1" applyBorder="1" applyAlignment="1">
      <alignment horizontal="center"/>
    </xf>
    <xf numFmtId="164" fontId="19" fillId="0" borderId="10" xfId="1" applyFont="1" applyBorder="1"/>
    <xf numFmtId="164" fontId="19" fillId="2" borderId="0" xfId="1" applyFont="1" applyFill="1"/>
    <xf numFmtId="164" fontId="19" fillId="0" borderId="8" xfId="1" applyFont="1" applyBorder="1"/>
    <xf numFmtId="164" fontId="3" fillId="0" borderId="0" xfId="8" applyFont="1"/>
    <xf numFmtId="164" fontId="28" fillId="0" borderId="0" xfId="0" applyNumberFormat="1" applyFont="1"/>
    <xf numFmtId="165" fontId="28" fillId="0" borderId="0" xfId="0" applyNumberFormat="1" applyFont="1"/>
    <xf numFmtId="170" fontId="19" fillId="0" borderId="0" xfId="3" applyFont="1"/>
    <xf numFmtId="0" fontId="29" fillId="0" borderId="0" xfId="16" applyFont="1"/>
    <xf numFmtId="164" fontId="4" fillId="0" borderId="1" xfId="2" applyFont="1" applyBorder="1"/>
    <xf numFmtId="167" fontId="4" fillId="0" borderId="1" xfId="2" applyNumberFormat="1" applyFont="1" applyBorder="1"/>
    <xf numFmtId="0" fontId="6" fillId="0" borderId="0" xfId="0" quotePrefix="1" applyFont="1"/>
    <xf numFmtId="0" fontId="2" fillId="0" borderId="0" xfId="0" quotePrefix="1" applyFont="1"/>
    <xf numFmtId="164" fontId="37" fillId="3" borderId="0" xfId="1" applyFont="1" applyFill="1"/>
    <xf numFmtId="164" fontId="32" fillId="0" borderId="0" xfId="1" applyFont="1"/>
    <xf numFmtId="164" fontId="38" fillId="0" borderId="0" xfId="1" applyFont="1"/>
    <xf numFmtId="164" fontId="38" fillId="0" borderId="0" xfId="1" applyFont="1" applyAlignment="1">
      <alignment horizontal="center"/>
    </xf>
    <xf numFmtId="167" fontId="5" fillId="0" borderId="0" xfId="0" applyNumberFormat="1" applyFont="1"/>
    <xf numFmtId="164" fontId="39" fillId="0" borderId="0" xfId="1" applyFont="1"/>
    <xf numFmtId="0" fontId="2" fillId="0" borderId="0" xfId="14" applyFont="1"/>
    <xf numFmtId="164" fontId="19" fillId="0" borderId="2" xfId="1" applyFont="1" applyBorder="1"/>
    <xf numFmtId="164" fontId="19" fillId="0" borderId="7" xfId="1" applyFont="1" applyBorder="1"/>
    <xf numFmtId="164" fontId="19" fillId="0" borderId="13" xfId="1" applyFont="1" applyBorder="1"/>
    <xf numFmtId="0" fontId="28" fillId="0" borderId="7" xfId="0" applyFont="1" applyBorder="1"/>
    <xf numFmtId="0" fontId="28" fillId="0" borderId="3" xfId="0" applyFont="1" applyBorder="1"/>
    <xf numFmtId="0" fontId="28" fillId="0" borderId="4" xfId="0" applyFont="1" applyBorder="1"/>
    <xf numFmtId="165" fontId="20" fillId="0" borderId="0" xfId="0" applyNumberFormat="1" applyFont="1"/>
    <xf numFmtId="164" fontId="20" fillId="0" borderId="0" xfId="0" applyNumberFormat="1" applyFont="1"/>
    <xf numFmtId="165" fontId="28" fillId="0" borderId="4" xfId="0" applyNumberFormat="1" applyFont="1" applyBorder="1"/>
    <xf numFmtId="165" fontId="40" fillId="0" borderId="0" xfId="0" applyNumberFormat="1" applyFont="1"/>
    <xf numFmtId="170" fontId="9" fillId="0" borderId="1" xfId="10" applyFont="1" applyBorder="1"/>
    <xf numFmtId="165" fontId="40" fillId="0" borderId="1" xfId="0" applyNumberFormat="1" applyFont="1" applyBorder="1"/>
    <xf numFmtId="0" fontId="40" fillId="0" borderId="6" xfId="0" applyFont="1" applyBorder="1"/>
    <xf numFmtId="0" fontId="40" fillId="0" borderId="0" xfId="0" applyFont="1"/>
    <xf numFmtId="164" fontId="40" fillId="0" borderId="0" xfId="0" applyNumberFormat="1" applyFont="1"/>
    <xf numFmtId="165" fontId="41" fillId="0" borderId="4" xfId="0" applyNumberFormat="1" applyFont="1" applyBorder="1"/>
    <xf numFmtId="0" fontId="5" fillId="0" borderId="0" xfId="23" applyFont="1"/>
    <xf numFmtId="164" fontId="5" fillId="0" borderId="0" xfId="24" applyFont="1"/>
    <xf numFmtId="165" fontId="5" fillId="0" borderId="0" xfId="23" applyNumberFormat="1" applyFont="1"/>
    <xf numFmtId="15" fontId="5" fillId="0" borderId="0" xfId="23" applyNumberFormat="1" applyFont="1"/>
    <xf numFmtId="164" fontId="5" fillId="0" borderId="8" xfId="24" applyFont="1" applyBorder="1"/>
    <xf numFmtId="164" fontId="4" fillId="7" borderId="10" xfId="1" applyFont="1" applyFill="1" applyBorder="1"/>
    <xf numFmtId="164" fontId="0" fillId="0" borderId="0" xfId="1" quotePrefix="1" applyFont="1" applyAlignment="1">
      <alignment horizontal="center"/>
    </xf>
    <xf numFmtId="0" fontId="5" fillId="0" borderId="1" xfId="0" applyFont="1" applyBorder="1" applyAlignment="1">
      <alignment horizontal="center"/>
    </xf>
    <xf numFmtId="164" fontId="5" fillId="0" borderId="0" xfId="1" applyFont="1" applyAlignment="1">
      <alignment horizontal="center"/>
    </xf>
    <xf numFmtId="164" fontId="5" fillId="0" borderId="1" xfId="1" applyFont="1" applyBorder="1" applyAlignment="1">
      <alignment horizontal="center"/>
    </xf>
    <xf numFmtId="164" fontId="5" fillId="7" borderId="10" xfId="1" applyFont="1" applyFill="1" applyBorder="1" applyAlignment="1">
      <alignment horizontal="center"/>
    </xf>
    <xf numFmtId="0" fontId="6" fillId="10" borderId="0" xfId="0" applyFont="1" applyFill="1" applyAlignment="1">
      <alignment horizontal="left" vertical="center"/>
    </xf>
    <xf numFmtId="0" fontId="6" fillId="0" borderId="14" xfId="0" applyFont="1" applyBorder="1" applyAlignment="1">
      <alignment horizontal="center" vertical="center"/>
    </xf>
    <xf numFmtId="0" fontId="6" fillId="11" borderId="0" xfId="0" applyFont="1" applyFill="1" applyAlignment="1">
      <alignment vertical="center"/>
    </xf>
    <xf numFmtId="0" fontId="42" fillId="0" borderId="0" xfId="0" applyFont="1"/>
    <xf numFmtId="0" fontId="42" fillId="0" borderId="0" xfId="0" quotePrefix="1" applyFont="1"/>
    <xf numFmtId="164" fontId="4" fillId="0" borderId="14" xfId="1" applyFont="1" applyBorder="1" applyAlignment="1">
      <alignment horizontal="center" vertical="center"/>
    </xf>
    <xf numFmtId="164" fontId="4" fillId="11" borderId="0" xfId="1" applyFont="1" applyFill="1" applyAlignment="1">
      <alignment vertical="center"/>
    </xf>
    <xf numFmtId="0" fontId="5" fillId="12" borderId="3" xfId="0" applyFont="1" applyFill="1" applyBorder="1"/>
    <xf numFmtId="0" fontId="5" fillId="12" borderId="4" xfId="0" applyFont="1" applyFill="1" applyBorder="1"/>
    <xf numFmtId="0" fontId="5" fillId="12" borderId="6" xfId="0" applyFont="1" applyFill="1" applyBorder="1"/>
    <xf numFmtId="9" fontId="5" fillId="0" borderId="0" xfId="18" applyFont="1"/>
    <xf numFmtId="9" fontId="5" fillId="0" borderId="0" xfId="17" applyFont="1"/>
    <xf numFmtId="15" fontId="5" fillId="0" borderId="0" xfId="0" applyNumberFormat="1" applyFont="1" applyAlignment="1">
      <alignment horizontal="center"/>
    </xf>
    <xf numFmtId="0" fontId="44" fillId="0" borderId="0" xfId="0" applyFont="1"/>
    <xf numFmtId="0" fontId="45" fillId="0" borderId="0" xfId="0" applyFont="1"/>
    <xf numFmtId="164" fontId="17" fillId="14" borderId="0" xfId="2" applyFill="1"/>
    <xf numFmtId="164" fontId="10" fillId="0" borderId="0" xfId="1" quotePrefix="1" applyFont="1" applyAlignment="1">
      <alignment horizontal="center"/>
    </xf>
    <xf numFmtId="164" fontId="10" fillId="0" borderId="10" xfId="1" quotePrefix="1" applyFont="1" applyBorder="1"/>
    <xf numFmtId="164" fontId="16" fillId="0" borderId="0" xfId="1" quotePrefix="1" applyFont="1" applyAlignment="1">
      <alignment horizontal="center"/>
    </xf>
    <xf numFmtId="0" fontId="10" fillId="0" borderId="0" xfId="0" quotePrefix="1" applyFont="1" applyAlignment="1">
      <alignment horizontal="center"/>
    </xf>
    <xf numFmtId="0" fontId="5" fillId="16" borderId="0" xfId="0" applyFont="1" applyFill="1"/>
    <xf numFmtId="164" fontId="2" fillId="0" borderId="0" xfId="1" applyAlignment="1">
      <alignment horizontal="center"/>
    </xf>
    <xf numFmtId="164" fontId="3" fillId="0" borderId="0" xfId="24" applyFont="1"/>
    <xf numFmtId="167" fontId="3" fillId="0" borderId="0" xfId="24" applyNumberFormat="1" applyFont="1"/>
    <xf numFmtId="164" fontId="32" fillId="0" borderId="0" xfId="24" applyFont="1"/>
    <xf numFmtId="164" fontId="19" fillId="0" borderId="3" xfId="1" applyFont="1" applyBorder="1"/>
    <xf numFmtId="164" fontId="9" fillId="0" borderId="13" xfId="1" applyFont="1" applyBorder="1"/>
    <xf numFmtId="164" fontId="9" fillId="0" borderId="4" xfId="1" applyFont="1" applyBorder="1"/>
    <xf numFmtId="164" fontId="19" fillId="0" borderId="4" xfId="1" applyFont="1" applyBorder="1"/>
    <xf numFmtId="164" fontId="19" fillId="0" borderId="5" xfId="1" applyFont="1" applyBorder="1"/>
    <xf numFmtId="164" fontId="19" fillId="0" borderId="6" xfId="1" applyFont="1" applyBorder="1"/>
    <xf numFmtId="169" fontId="3" fillId="0" borderId="0" xfId="14" applyNumberFormat="1" applyFont="1"/>
    <xf numFmtId="167" fontId="3" fillId="0" borderId="0" xfId="24" applyNumberFormat="1" applyFont="1" applyAlignment="1">
      <alignment horizontal="center"/>
    </xf>
    <xf numFmtId="0" fontId="3" fillId="0" borderId="0" xfId="14" applyFont="1"/>
    <xf numFmtId="169" fontId="3" fillId="0" borderId="0" xfId="24" applyNumberFormat="1" applyFont="1"/>
    <xf numFmtId="164" fontId="17" fillId="8" borderId="0" xfId="1" applyFont="1" applyFill="1"/>
    <xf numFmtId="164" fontId="17" fillId="8" borderId="0" xfId="1" quotePrefix="1" applyFont="1" applyFill="1"/>
    <xf numFmtId="164" fontId="10" fillId="8" borderId="0" xfId="1" quotePrefix="1" applyFont="1" applyFill="1"/>
    <xf numFmtId="164" fontId="0" fillId="8" borderId="0" xfId="1" applyFont="1" applyFill="1" applyAlignment="1">
      <alignment horizontal="center"/>
    </xf>
    <xf numFmtId="164" fontId="5" fillId="0" borderId="0" xfId="0" applyNumberFormat="1" applyFont="1" applyAlignment="1">
      <alignment horizontal="center"/>
    </xf>
    <xf numFmtId="164" fontId="48" fillId="0" borderId="0" xfId="13" applyNumberFormat="1" applyFont="1" applyAlignment="1" applyProtection="1"/>
    <xf numFmtId="0" fontId="12" fillId="10" borderId="0" xfId="13" applyFont="1" applyFill="1" applyAlignment="1" applyProtection="1">
      <alignment horizontal="left" vertical="center"/>
    </xf>
    <xf numFmtId="164" fontId="14" fillId="10" borderId="0" xfId="13" applyNumberFormat="1" applyFont="1" applyFill="1" applyAlignment="1" applyProtection="1">
      <alignment vertical="center"/>
    </xf>
    <xf numFmtId="0" fontId="12" fillId="10" borderId="0" xfId="13" applyFont="1" applyFill="1" applyAlignment="1" applyProtection="1">
      <alignment vertical="center"/>
    </xf>
    <xf numFmtId="0" fontId="9" fillId="11" borderId="0" xfId="0" applyFont="1" applyFill="1" applyAlignment="1">
      <alignment vertical="center"/>
    </xf>
    <xf numFmtId="0" fontId="24" fillId="10" borderId="0" xfId="13" applyFont="1" applyFill="1" applyAlignment="1" applyProtection="1">
      <alignment horizontal="left" vertical="center"/>
    </xf>
    <xf numFmtId="164" fontId="9" fillId="0" borderId="14" xfId="1" applyFont="1" applyBorder="1" applyAlignment="1">
      <alignment horizontal="center" vertical="center"/>
    </xf>
    <xf numFmtId="0" fontId="49" fillId="0" borderId="0" xfId="0" applyFont="1"/>
    <xf numFmtId="164" fontId="3" fillId="0" borderId="0" xfId="13" applyNumberFormat="1" applyFont="1" applyAlignment="1" applyProtection="1"/>
    <xf numFmtId="165" fontId="3" fillId="0" borderId="0" xfId="8" applyNumberFormat="1" applyFont="1"/>
    <xf numFmtId="0" fontId="50" fillId="0" borderId="0" xfId="15" quotePrefix="1" applyFont="1"/>
    <xf numFmtId="0" fontId="51" fillId="0" borderId="0" xfId="15" quotePrefix="1" applyFont="1"/>
    <xf numFmtId="0" fontId="52" fillId="0" borderId="0" xfId="15" quotePrefix="1" applyFont="1"/>
    <xf numFmtId="169" fontId="3" fillId="0" borderId="0" xfId="1" applyNumberFormat="1" applyFont="1"/>
    <xf numFmtId="169" fontId="14" fillId="0" borderId="0" xfId="1" applyNumberFormat="1" applyFont="1"/>
    <xf numFmtId="169" fontId="15" fillId="0" borderId="0" xfId="1" applyNumberFormat="1" applyFont="1"/>
    <xf numFmtId="169" fontId="4" fillId="0" borderId="1" xfId="1" applyNumberFormat="1" applyFont="1" applyBorder="1"/>
    <xf numFmtId="169" fontId="3" fillId="0" borderId="0" xfId="1" quotePrefix="1" applyNumberFormat="1" applyFont="1"/>
    <xf numFmtId="169" fontId="43" fillId="0" borderId="0" xfId="1" applyNumberFormat="1" applyFont="1"/>
    <xf numFmtId="169" fontId="3" fillId="0" borderId="0" xfId="8" applyNumberFormat="1" applyFont="1"/>
    <xf numFmtId="169" fontId="3" fillId="0" borderId="0" xfId="8" quotePrefix="1" applyNumberFormat="1" applyFont="1"/>
    <xf numFmtId="169" fontId="50" fillId="0" borderId="0" xfId="15" quotePrefix="1" applyNumberFormat="1" applyFont="1"/>
    <xf numFmtId="164" fontId="2" fillId="0" borderId="0" xfId="1" applyFont="1"/>
    <xf numFmtId="164" fontId="2" fillId="0" borderId="0" xfId="1" quotePrefix="1" applyFont="1"/>
    <xf numFmtId="164" fontId="2" fillId="0" borderId="0" xfId="1" applyFont="1" applyAlignment="1">
      <alignment horizontal="center"/>
    </xf>
    <xf numFmtId="164" fontId="19" fillId="0" borderId="0" xfId="1" applyFont="1" applyBorder="1"/>
    <xf numFmtId="0" fontId="19" fillId="0" borderId="0" xfId="0" applyFont="1" applyAlignment="1">
      <alignment horizontal="center"/>
    </xf>
    <xf numFmtId="0" fontId="5" fillId="11" borderId="0" xfId="0" applyFont="1" applyFill="1"/>
    <xf numFmtId="164" fontId="19" fillId="11" borderId="0" xfId="1" applyFont="1" applyFill="1"/>
    <xf numFmtId="164" fontId="9" fillId="0" borderId="0" xfId="1" applyFont="1" applyBorder="1"/>
    <xf numFmtId="164" fontId="19" fillId="0" borderId="0" xfId="1" applyFont="1" applyFill="1"/>
    <xf numFmtId="164" fontId="19" fillId="0" borderId="9" xfId="1" applyFont="1" applyBorder="1"/>
    <xf numFmtId="164" fontId="19" fillId="0" borderId="11" xfId="1" applyFont="1" applyBorder="1"/>
    <xf numFmtId="164" fontId="19" fillId="0" borderId="12" xfId="1" applyFont="1" applyBorder="1"/>
    <xf numFmtId="0" fontId="19" fillId="0" borderId="0" xfId="0" applyFont="1" applyAlignment="1">
      <alignment horizontal="right"/>
    </xf>
    <xf numFmtId="164" fontId="19" fillId="17" borderId="0" xfId="1" applyFont="1" applyFill="1"/>
    <xf numFmtId="164" fontId="4" fillId="0" borderId="0" xfId="1" applyFont="1" applyBorder="1"/>
    <xf numFmtId="164" fontId="9" fillId="0" borderId="5" xfId="1" applyFont="1" applyBorder="1"/>
    <xf numFmtId="164" fontId="9" fillId="0" borderId="6" xfId="1" applyFont="1" applyBorder="1"/>
    <xf numFmtId="164" fontId="4" fillId="0" borderId="0" xfId="24" applyFont="1" applyBorder="1"/>
    <xf numFmtId="167" fontId="3" fillId="0" borderId="0" xfId="24" applyNumberFormat="1" applyFont="1" applyBorder="1" applyAlignment="1">
      <alignment horizontal="center"/>
    </xf>
    <xf numFmtId="172" fontId="3" fillId="0" borderId="0" xfId="0" applyNumberFormat="1" applyFont="1"/>
    <xf numFmtId="164" fontId="3" fillId="0" borderId="0" xfId="24" applyFont="1" applyBorder="1"/>
    <xf numFmtId="164" fontId="3" fillId="0" borderId="0" xfId="1" applyFont="1" applyBorder="1"/>
    <xf numFmtId="172" fontId="3" fillId="0" borderId="0" xfId="14" applyNumberFormat="1" applyFont="1"/>
    <xf numFmtId="164" fontId="47" fillId="0" borderId="0" xfId="24" applyFont="1" applyBorder="1"/>
    <xf numFmtId="172" fontId="3" fillId="0" borderId="0" xfId="24" applyNumberFormat="1" applyFont="1" applyBorder="1" applyAlignment="1">
      <alignment horizontal="center"/>
    </xf>
    <xf numFmtId="164" fontId="3" fillId="0" borderId="0" xfId="24" quotePrefix="1" applyFont="1" applyBorder="1"/>
    <xf numFmtId="167" fontId="3" fillId="0" borderId="0" xfId="24" applyNumberFormat="1" applyFont="1" applyBorder="1"/>
    <xf numFmtId="169" fontId="3" fillId="0" borderId="0" xfId="24" applyNumberFormat="1" applyFont="1" applyBorder="1"/>
    <xf numFmtId="15" fontId="3" fillId="0" borderId="0" xfId="0" applyNumberFormat="1" applyFont="1"/>
    <xf numFmtId="164" fontId="3" fillId="0" borderId="0" xfId="2" applyFont="1" applyBorder="1"/>
    <xf numFmtId="167" fontId="0" fillId="0" borderId="0" xfId="0" applyNumberFormat="1"/>
    <xf numFmtId="164" fontId="3" fillId="0" borderId="0" xfId="1" applyFont="1" applyFill="1"/>
    <xf numFmtId="164" fontId="4" fillId="0" borderId="1" xfId="2" applyFont="1" applyBorder="1" applyAlignment="1">
      <alignment horizontal="center"/>
    </xf>
    <xf numFmtId="167" fontId="4" fillId="0" borderId="1" xfId="2" applyNumberFormat="1" applyFont="1" applyBorder="1" applyAlignment="1">
      <alignment horizontal="center"/>
    </xf>
    <xf numFmtId="164" fontId="4" fillId="0" borderId="13" xfId="1" applyFont="1" applyBorder="1" applyAlignment="1">
      <alignment horizontal="center"/>
    </xf>
    <xf numFmtId="164" fontId="4" fillId="0" borderId="0" xfId="1" applyFont="1" applyBorder="1" applyAlignment="1">
      <alignment horizontal="center"/>
    </xf>
    <xf numFmtId="164" fontId="4" fillId="0" borderId="4" xfId="1" applyFont="1" applyBorder="1" applyAlignment="1">
      <alignment horizontal="center"/>
    </xf>
    <xf numFmtId="164" fontId="4" fillId="0" borderId="5" xfId="1" applyFont="1" applyBorder="1" applyAlignment="1">
      <alignment horizontal="center"/>
    </xf>
    <xf numFmtId="164" fontId="4" fillId="0" borderId="6" xfId="1" applyFont="1" applyBorder="1" applyAlignment="1">
      <alignment horizontal="center"/>
    </xf>
    <xf numFmtId="164" fontId="3" fillId="0" borderId="13" xfId="1" applyFont="1" applyBorder="1"/>
    <xf numFmtId="164" fontId="3" fillId="0" borderId="4" xfId="1" applyFont="1" applyBorder="1"/>
    <xf numFmtId="164" fontId="4" fillId="7" borderId="25" xfId="1" applyFont="1" applyFill="1" applyBorder="1"/>
    <xf numFmtId="164" fontId="4" fillId="7" borderId="26" xfId="1" applyFont="1" applyFill="1" applyBorder="1"/>
    <xf numFmtId="164" fontId="53" fillId="0" borderId="0" xfId="1" applyFont="1"/>
    <xf numFmtId="164" fontId="57" fillId="0" borderId="0" xfId="1" applyFont="1"/>
    <xf numFmtId="164" fontId="57" fillId="0" borderId="0" xfId="8" applyFont="1"/>
    <xf numFmtId="164" fontId="57" fillId="0" borderId="0" xfId="6" applyFont="1"/>
    <xf numFmtId="164" fontId="10" fillId="0" borderId="0" xfId="1" applyFont="1" applyBorder="1" applyAlignment="1">
      <alignment horizontal="center"/>
    </xf>
    <xf numFmtId="164" fontId="0" fillId="0" borderId="0" xfId="1" applyFont="1" applyBorder="1"/>
    <xf numFmtId="164" fontId="19" fillId="0" borderId="15" xfId="1" applyFont="1" applyBorder="1"/>
    <xf numFmtId="164" fontId="4" fillId="0" borderId="2" xfId="1" applyFont="1" applyBorder="1" applyAlignment="1">
      <alignment horizontal="center"/>
    </xf>
    <xf numFmtId="164" fontId="4" fillId="0" borderId="7" xfId="1" applyFont="1" applyBorder="1" applyAlignment="1">
      <alignment horizontal="center"/>
    </xf>
    <xf numFmtId="164" fontId="4" fillId="0" borderId="3" xfId="1" applyFont="1" applyBorder="1" applyAlignment="1">
      <alignment horizontal="center"/>
    </xf>
    <xf numFmtId="0" fontId="5" fillId="8" borderId="0" xfId="0" applyFont="1" applyFill="1"/>
    <xf numFmtId="0" fontId="60" fillId="0" borderId="0" xfId="0" applyFont="1"/>
    <xf numFmtId="0" fontId="60" fillId="0" borderId="0" xfId="0" applyFont="1" applyAlignment="1">
      <alignment horizontal="center"/>
    </xf>
    <xf numFmtId="167" fontId="60" fillId="0" borderId="0" xfId="1" applyNumberFormat="1" applyFont="1" applyAlignment="1">
      <alignment horizontal="center"/>
    </xf>
    <xf numFmtId="167" fontId="60" fillId="0" borderId="7" xfId="1" applyNumberFormat="1" applyFont="1" applyBorder="1" applyAlignment="1">
      <alignment horizontal="center"/>
    </xf>
    <xf numFmtId="167" fontId="60" fillId="0" borderId="8" xfId="1" applyNumberFormat="1" applyFont="1" applyBorder="1" applyAlignment="1">
      <alignment horizontal="center"/>
    </xf>
    <xf numFmtId="0" fontId="60" fillId="0" borderId="1" xfId="0" applyFont="1" applyBorder="1" applyAlignment="1">
      <alignment horizontal="center"/>
    </xf>
    <xf numFmtId="0" fontId="21" fillId="0" borderId="1" xfId="0" applyFont="1" applyBorder="1"/>
    <xf numFmtId="0" fontId="21" fillId="0" borderId="7" xfId="0" applyFont="1" applyBorder="1"/>
    <xf numFmtId="0" fontId="60" fillId="0" borderId="7" xfId="0" applyFont="1" applyBorder="1" applyAlignment="1">
      <alignment horizontal="center"/>
    </xf>
    <xf numFmtId="0" fontId="55" fillId="0" borderId="0" xfId="27" applyFont="1"/>
    <xf numFmtId="0" fontId="54" fillId="0" borderId="0" xfId="27" applyFont="1"/>
    <xf numFmtId="0" fontId="56" fillId="0" borderId="0" xfId="27" applyFont="1" applyAlignment="1">
      <alignment horizontal="center" vertical="center"/>
    </xf>
    <xf numFmtId="0" fontId="55" fillId="0" borderId="0" xfId="27" quotePrefix="1" applyFont="1"/>
    <xf numFmtId="10" fontId="3" fillId="2" borderId="0" xfId="17" applyNumberFormat="1" applyFont="1" applyFill="1"/>
    <xf numFmtId="167" fontId="60" fillId="0" borderId="0" xfId="1" applyNumberFormat="1" applyFont="1" applyBorder="1" applyAlignment="1">
      <alignment horizontal="center"/>
    </xf>
    <xf numFmtId="167" fontId="60" fillId="0" borderId="1" xfId="1" applyNumberFormat="1" applyFont="1" applyBorder="1" applyAlignment="1">
      <alignment horizontal="center"/>
    </xf>
    <xf numFmtId="0" fontId="61" fillId="0" borderId="0" xfId="0" applyFont="1"/>
    <xf numFmtId="0" fontId="61" fillId="0" borderId="0" xfId="0" applyFont="1" applyAlignment="1">
      <alignment horizontal="center"/>
    </xf>
    <xf numFmtId="167" fontId="60" fillId="0" borderId="2" xfId="1" applyNumberFormat="1" applyFont="1" applyBorder="1" applyAlignment="1">
      <alignment horizontal="center"/>
    </xf>
    <xf numFmtId="167" fontId="60" fillId="0" borderId="13" xfId="1" applyNumberFormat="1" applyFont="1" applyBorder="1" applyAlignment="1">
      <alignment horizontal="center"/>
    </xf>
    <xf numFmtId="167" fontId="60" fillId="0" borderId="5" xfId="1" applyNumberFormat="1" applyFont="1" applyBorder="1" applyAlignment="1">
      <alignment horizontal="center"/>
    </xf>
    <xf numFmtId="167" fontId="21" fillId="0" borderId="0" xfId="1" applyNumberFormat="1" applyFont="1" applyAlignment="1">
      <alignment horizontal="center"/>
    </xf>
    <xf numFmtId="167" fontId="60" fillId="0" borderId="3" xfId="1" applyNumberFormat="1" applyFont="1" applyBorder="1" applyAlignment="1">
      <alignment horizontal="center"/>
    </xf>
    <xf numFmtId="167" fontId="60" fillId="0" borderId="4" xfId="1" applyNumberFormat="1" applyFont="1" applyBorder="1" applyAlignment="1">
      <alignment horizontal="center"/>
    </xf>
    <xf numFmtId="167" fontId="60" fillId="0" borderId="6" xfId="1" applyNumberFormat="1" applyFont="1" applyBorder="1" applyAlignment="1">
      <alignment horizontal="center"/>
    </xf>
    <xf numFmtId="164" fontId="63" fillId="0" borderId="0" xfId="1" applyFont="1"/>
    <xf numFmtId="0" fontId="19" fillId="8" borderId="0" xfId="0" applyFont="1" applyFill="1"/>
    <xf numFmtId="0" fontId="64" fillId="0" borderId="0" xfId="27" applyFont="1"/>
    <xf numFmtId="165" fontId="32" fillId="0" borderId="0" xfId="8" applyNumberFormat="1" applyFont="1"/>
    <xf numFmtId="0" fontId="65" fillId="0" borderId="0" xfId="15" quotePrefix="1" applyFont="1"/>
    <xf numFmtId="0" fontId="55" fillId="19" borderId="0" xfId="27" applyFont="1" applyFill="1"/>
    <xf numFmtId="0" fontId="59" fillId="19" borderId="0" xfId="27" applyFont="1" applyFill="1" applyAlignment="1">
      <alignment horizontal="center"/>
    </xf>
    <xf numFmtId="0" fontId="67" fillId="19" borderId="0" xfId="13" applyFont="1" applyFill="1" applyBorder="1" applyAlignment="1" applyProtection="1">
      <alignment horizontal="center"/>
    </xf>
    <xf numFmtId="0" fontId="58" fillId="19" borderId="0" xfId="27" applyFont="1" applyFill="1" applyAlignment="1">
      <alignment horizontal="center" vertical="center"/>
    </xf>
    <xf numFmtId="0" fontId="69" fillId="0" borderId="0" xfId="13" applyFont="1" applyAlignment="1" applyProtection="1"/>
    <xf numFmtId="0" fontId="5" fillId="8" borderId="0" xfId="0" applyFont="1" applyFill="1" applyProtection="1">
      <protection locked="0"/>
    </xf>
    <xf numFmtId="0" fontId="6" fillId="12" borderId="0" xfId="0" applyFont="1" applyFill="1" applyAlignment="1" applyProtection="1">
      <alignment horizontal="center"/>
      <protection locked="0"/>
    </xf>
    <xf numFmtId="0" fontId="6" fillId="12" borderId="0" xfId="0" quotePrefix="1" applyFont="1" applyFill="1" applyAlignment="1" applyProtection="1">
      <alignment horizontal="center"/>
      <protection locked="0"/>
    </xf>
    <xf numFmtId="0" fontId="5" fillId="3" borderId="0" xfId="0" applyFont="1" applyFill="1" applyAlignment="1" applyProtection="1">
      <alignment horizontal="center"/>
      <protection locked="0"/>
    </xf>
    <xf numFmtId="0" fontId="5" fillId="0" borderId="0" xfId="0" applyFont="1" applyAlignment="1" applyProtection="1">
      <alignment horizontal="center"/>
      <protection locked="0"/>
    </xf>
    <xf numFmtId="15" fontId="5" fillId="12" borderId="0" xfId="0" applyNumberFormat="1" applyFont="1" applyFill="1" applyAlignment="1" applyProtection="1">
      <alignment horizontal="center"/>
      <protection locked="0"/>
    </xf>
    <xf numFmtId="0" fontId="5" fillId="12" borderId="0" xfId="0" applyFont="1" applyFill="1" applyProtection="1">
      <protection locked="0"/>
    </xf>
    <xf numFmtId="0" fontId="5" fillId="12" borderId="2" xfId="0" applyFont="1" applyFill="1" applyBorder="1" applyProtection="1">
      <protection locked="0"/>
    </xf>
    <xf numFmtId="0" fontId="5" fillId="12" borderId="13" xfId="0" applyFont="1" applyFill="1" applyBorder="1" applyProtection="1">
      <protection locked="0"/>
    </xf>
    <xf numFmtId="0" fontId="5" fillId="12" borderId="5" xfId="0" applyFont="1" applyFill="1" applyBorder="1" applyProtection="1">
      <protection locked="0"/>
    </xf>
    <xf numFmtId="9" fontId="5" fillId="12" borderId="0" xfId="0" applyNumberFormat="1" applyFont="1" applyFill="1" applyProtection="1">
      <protection locked="0"/>
    </xf>
    <xf numFmtId="0" fontId="5" fillId="12" borderId="0" xfId="0" quotePrefix="1" applyFont="1" applyFill="1" applyAlignment="1" applyProtection="1">
      <alignment horizontal="left"/>
      <protection locked="0"/>
    </xf>
    <xf numFmtId="0" fontId="5" fillId="12" borderId="0" xfId="0" applyFont="1" applyFill="1" applyAlignment="1" applyProtection="1">
      <alignment horizontal="left"/>
      <protection locked="0"/>
    </xf>
    <xf numFmtId="164" fontId="6" fillId="16" borderId="0" xfId="1" applyFont="1" applyFill="1" applyAlignment="1" applyProtection="1">
      <alignment horizontal="center"/>
      <protection locked="0"/>
    </xf>
    <xf numFmtId="164" fontId="6" fillId="16" borderId="1" xfId="1" applyFont="1" applyFill="1" applyBorder="1" applyAlignment="1" applyProtection="1">
      <alignment horizontal="center"/>
      <protection locked="0"/>
    </xf>
    <xf numFmtId="10" fontId="5" fillId="16" borderId="0" xfId="17" applyNumberFormat="1" applyFont="1" applyFill="1" applyAlignment="1" applyProtection="1">
      <alignment horizontal="center"/>
      <protection locked="0"/>
    </xf>
    <xf numFmtId="0" fontId="5" fillId="16" borderId="0" xfId="0" applyFont="1" applyFill="1" applyAlignment="1" applyProtection="1">
      <alignment horizontal="center"/>
      <protection locked="0"/>
    </xf>
    <xf numFmtId="0" fontId="5" fillId="16" borderId="0" xfId="0" applyFont="1" applyFill="1" applyProtection="1">
      <protection locked="0"/>
    </xf>
    <xf numFmtId="167" fontId="5" fillId="16" borderId="0" xfId="1" applyNumberFormat="1" applyFont="1" applyFill="1" applyProtection="1">
      <protection locked="0"/>
    </xf>
    <xf numFmtId="164" fontId="17" fillId="14" borderId="0" xfId="2" applyFill="1" applyProtection="1">
      <protection locked="0"/>
    </xf>
    <xf numFmtId="0" fontId="10" fillId="0" borderId="0" xfId="0" quotePrefix="1" applyFont="1" applyProtection="1">
      <protection locked="0"/>
    </xf>
    <xf numFmtId="0" fontId="17" fillId="0" borderId="0" xfId="0" quotePrefix="1" applyFont="1" applyProtection="1">
      <protection locked="0"/>
    </xf>
    <xf numFmtId="0" fontId="2" fillId="0" borderId="0" xfId="0" applyFont="1" applyProtection="1">
      <protection locked="0"/>
    </xf>
    <xf numFmtId="0" fontId="2" fillId="0" borderId="0" xfId="0" quotePrefix="1" applyFont="1" applyProtection="1">
      <protection locked="0"/>
    </xf>
    <xf numFmtId="0" fontId="2" fillId="15" borderId="0" xfId="0" applyFont="1" applyFill="1" applyProtection="1">
      <protection locked="0"/>
    </xf>
    <xf numFmtId="0" fontId="10" fillId="0" borderId="0" xfId="0" applyFont="1" applyProtection="1">
      <protection locked="0"/>
    </xf>
    <xf numFmtId="0" fontId="11" fillId="0" borderId="0" xfId="13" applyAlignment="1" applyProtection="1">
      <protection locked="0"/>
    </xf>
    <xf numFmtId="0" fontId="17" fillId="0" borderId="0" xfId="0" applyFont="1" applyProtection="1">
      <protection locked="0"/>
    </xf>
    <xf numFmtId="0" fontId="17" fillId="15" borderId="0" xfId="0" applyFont="1" applyFill="1" applyProtection="1">
      <protection locked="0"/>
    </xf>
    <xf numFmtId="0" fontId="2" fillId="15" borderId="0" xfId="0" quotePrefix="1" applyFont="1" applyFill="1" applyProtection="1">
      <protection locked="0"/>
    </xf>
    <xf numFmtId="164" fontId="2" fillId="0" borderId="0" xfId="1" quotePrefix="1" applyFont="1" applyProtection="1">
      <protection locked="0"/>
    </xf>
    <xf numFmtId="164" fontId="2" fillId="0" borderId="0" xfId="1" applyFont="1" applyProtection="1">
      <protection locked="0"/>
    </xf>
    <xf numFmtId="164" fontId="2" fillId="0" borderId="0" xfId="1" applyAlignment="1" applyProtection="1">
      <alignment horizontal="center"/>
      <protection locked="0"/>
    </xf>
    <xf numFmtId="164" fontId="2" fillId="0" borderId="0" xfId="1" applyFont="1" applyAlignment="1" applyProtection="1">
      <alignment horizontal="center"/>
      <protection locked="0"/>
    </xf>
    <xf numFmtId="164" fontId="18" fillId="0" borderId="0" xfId="1" applyFont="1" applyAlignment="1" applyProtection="1">
      <alignment horizontal="center"/>
      <protection locked="0"/>
    </xf>
    <xf numFmtId="164" fontId="11" fillId="0" borderId="0" xfId="13" applyNumberFormat="1" applyAlignment="1" applyProtection="1">
      <alignment horizontal="center"/>
      <protection locked="0"/>
    </xf>
    <xf numFmtId="164" fontId="2" fillId="3" borderId="0" xfId="1" applyFont="1" applyFill="1" applyProtection="1">
      <protection locked="0"/>
    </xf>
    <xf numFmtId="164" fontId="0" fillId="0" borderId="0" xfId="1" quotePrefix="1" applyFont="1" applyProtection="1">
      <protection locked="0"/>
    </xf>
    <xf numFmtId="0" fontId="0" fillId="0" borderId="0" xfId="0" applyProtection="1">
      <protection locked="0"/>
    </xf>
    <xf numFmtId="164" fontId="0" fillId="0" borderId="0" xfId="2" applyFont="1" applyProtection="1">
      <protection locked="0"/>
    </xf>
    <xf numFmtId="164" fontId="10" fillId="0" borderId="0" xfId="2" applyFont="1" applyAlignment="1" applyProtection="1">
      <alignment horizontal="center"/>
      <protection locked="0"/>
    </xf>
    <xf numFmtId="0" fontId="10" fillId="0" borderId="0" xfId="0" applyFont="1" applyAlignment="1" applyProtection="1">
      <alignment horizontal="center"/>
      <protection locked="0"/>
    </xf>
    <xf numFmtId="164" fontId="10" fillId="0" borderId="0" xfId="1" quotePrefix="1" applyFont="1" applyAlignment="1" applyProtection="1">
      <alignment horizontal="center"/>
      <protection locked="0"/>
    </xf>
    <xf numFmtId="164" fontId="0" fillId="0" borderId="0" xfId="1" applyFont="1" applyAlignment="1" applyProtection="1">
      <alignment horizontal="center"/>
      <protection locked="0"/>
    </xf>
    <xf numFmtId="164" fontId="10" fillId="0" borderId="0" xfId="2" applyFont="1" applyProtection="1">
      <protection locked="0"/>
    </xf>
    <xf numFmtId="164" fontId="0" fillId="0" borderId="0" xfId="2" applyFont="1" applyAlignment="1" applyProtection="1">
      <alignment horizontal="center"/>
      <protection locked="0"/>
    </xf>
    <xf numFmtId="164" fontId="2" fillId="0" borderId="0" xfId="2" applyFont="1" applyProtection="1">
      <protection locked="0"/>
    </xf>
    <xf numFmtId="164" fontId="17" fillId="0" borderId="0" xfId="2" applyProtection="1">
      <protection locked="0"/>
    </xf>
    <xf numFmtId="164" fontId="0" fillId="0" borderId="0" xfId="0" applyNumberFormat="1" applyProtection="1">
      <protection locked="0"/>
    </xf>
    <xf numFmtId="0" fontId="0" fillId="0" borderId="0" xfId="0" quotePrefix="1" applyProtection="1">
      <protection locked="0"/>
    </xf>
    <xf numFmtId="164" fontId="10" fillId="0" borderId="0" xfId="1" applyFont="1" applyProtection="1">
      <protection locked="0"/>
    </xf>
    <xf numFmtId="164" fontId="0" fillId="0" borderId="0" xfId="1" quotePrefix="1" applyFont="1" applyAlignment="1" applyProtection="1">
      <alignment horizontal="center"/>
      <protection locked="0"/>
    </xf>
    <xf numFmtId="164" fontId="17" fillId="0" borderId="0" xfId="1" applyFont="1" applyProtection="1">
      <protection locked="0"/>
    </xf>
    <xf numFmtId="0" fontId="11" fillId="0" borderId="0" xfId="13" applyAlignment="1" applyProtection="1">
      <alignment horizontal="center"/>
      <protection locked="0"/>
    </xf>
    <xf numFmtId="164" fontId="0" fillId="0" borderId="0" xfId="1" applyFont="1" applyProtection="1">
      <protection locked="0"/>
    </xf>
    <xf numFmtId="0" fontId="10" fillId="0" borderId="0" xfId="0" quotePrefix="1" applyFont="1" applyAlignment="1" applyProtection="1">
      <alignment horizontal="center"/>
      <protection locked="0"/>
    </xf>
    <xf numFmtId="0" fontId="2" fillId="13" borderId="0" xfId="0" applyFont="1" applyFill="1" applyProtection="1">
      <protection locked="0"/>
    </xf>
    <xf numFmtId="0" fontId="17" fillId="13" borderId="0" xfId="0" applyFont="1" applyFill="1" applyProtection="1">
      <protection locked="0"/>
    </xf>
    <xf numFmtId="0" fontId="0" fillId="13" borderId="0" xfId="0" applyFill="1" applyProtection="1">
      <protection locked="0"/>
    </xf>
    <xf numFmtId="0" fontId="17" fillId="13" borderId="0" xfId="0" quotePrefix="1" applyFont="1" applyFill="1" applyProtection="1">
      <protection locked="0"/>
    </xf>
    <xf numFmtId="164" fontId="2" fillId="0" borderId="0" xfId="1" applyProtection="1">
      <protection locked="0"/>
    </xf>
    <xf numFmtId="164" fontId="17" fillId="0" borderId="0" xfId="1" quotePrefix="1" applyFont="1" applyProtection="1">
      <protection locked="0"/>
    </xf>
    <xf numFmtId="164" fontId="10" fillId="0" borderId="0" xfId="1" quotePrefix="1" applyFont="1" applyProtection="1">
      <protection locked="0"/>
    </xf>
    <xf numFmtId="164" fontId="2" fillId="0" borderId="0" xfId="1" quotePrefix="1" applyProtection="1">
      <protection locked="0"/>
    </xf>
    <xf numFmtId="164" fontId="11" fillId="0" borderId="0" xfId="1" applyFont="1" applyProtection="1">
      <protection locked="0"/>
    </xf>
    <xf numFmtId="164" fontId="30" fillId="0" borderId="0" xfId="1" quotePrefix="1" applyFont="1" applyProtection="1">
      <protection locked="0"/>
    </xf>
    <xf numFmtId="164" fontId="33" fillId="0" borderId="0" xfId="1" applyFont="1" applyProtection="1">
      <protection locked="0"/>
    </xf>
    <xf numFmtId="164" fontId="18" fillId="0" borderId="0" xfId="1" applyFont="1" applyProtection="1">
      <protection locked="0"/>
    </xf>
    <xf numFmtId="164" fontId="31" fillId="0" borderId="0" xfId="1" quotePrefix="1" applyFont="1" applyProtection="1">
      <protection locked="0"/>
    </xf>
    <xf numFmtId="164" fontId="2" fillId="3" borderId="0" xfId="1" applyFill="1" applyProtection="1">
      <protection locked="0"/>
    </xf>
    <xf numFmtId="164" fontId="17" fillId="3" borderId="0" xfId="1" applyFont="1" applyFill="1" applyProtection="1">
      <protection locked="0"/>
    </xf>
    <xf numFmtId="164" fontId="37" fillId="3" borderId="0" xfId="1" applyFont="1" applyFill="1" applyProtection="1">
      <protection locked="0"/>
    </xf>
    <xf numFmtId="0" fontId="70" fillId="0" borderId="0" xfId="0" applyFont="1"/>
    <xf numFmtId="0" fontId="71" fillId="0" borderId="0" xfId="0" applyFont="1"/>
    <xf numFmtId="0" fontId="70" fillId="0" borderId="0" xfId="0" applyFont="1" applyAlignment="1">
      <alignment horizontal="center"/>
    </xf>
    <xf numFmtId="0" fontId="71" fillId="0" borderId="0" xfId="0" applyFont="1" applyAlignment="1">
      <alignment horizontal="center"/>
    </xf>
    <xf numFmtId="0" fontId="72" fillId="0" borderId="0" xfId="0" applyFont="1"/>
    <xf numFmtId="0" fontId="70" fillId="0" borderId="17" xfId="0" applyFont="1" applyBorder="1"/>
    <xf numFmtId="0" fontId="70" fillId="0" borderId="18" xfId="0" applyFont="1" applyBorder="1"/>
    <xf numFmtId="0" fontId="71" fillId="0" borderId="20" xfId="0" applyFont="1" applyBorder="1" applyAlignment="1">
      <alignment horizontal="center"/>
    </xf>
    <xf numFmtId="0" fontId="70" fillId="0" borderId="22" xfId="0" applyFont="1" applyBorder="1"/>
    <xf numFmtId="0" fontId="70" fillId="0" borderId="23" xfId="0" applyFont="1" applyBorder="1"/>
    <xf numFmtId="164" fontId="71" fillId="0" borderId="0" xfId="1" applyFont="1" applyAlignment="1">
      <alignment horizontal="center"/>
    </xf>
    <xf numFmtId="0" fontId="70" fillId="0" borderId="0" xfId="1" applyNumberFormat="1" applyFont="1" applyAlignment="1">
      <alignment horizontal="center"/>
    </xf>
    <xf numFmtId="164" fontId="70" fillId="0" borderId="0" xfId="1" applyFont="1" applyAlignment="1">
      <alignment horizontal="center"/>
    </xf>
    <xf numFmtId="0" fontId="70" fillId="0" borderId="0" xfId="0" applyFont="1" applyAlignment="1">
      <alignment horizontal="left"/>
    </xf>
    <xf numFmtId="0" fontId="70" fillId="0" borderId="0" xfId="0" quotePrefix="1" applyFont="1"/>
    <xf numFmtId="0" fontId="70" fillId="0" borderId="1" xfId="0" applyFont="1" applyBorder="1"/>
    <xf numFmtId="0" fontId="70" fillId="0" borderId="0" xfId="13" applyFont="1" applyAlignment="1" applyProtection="1"/>
    <xf numFmtId="0" fontId="70" fillId="0" borderId="2" xfId="0" applyFont="1" applyBorder="1"/>
    <xf numFmtId="0" fontId="70" fillId="0" borderId="7" xfId="0" applyFont="1" applyBorder="1"/>
    <xf numFmtId="0" fontId="70" fillId="0" borderId="3" xfId="0" applyFont="1" applyBorder="1"/>
    <xf numFmtId="0" fontId="70" fillId="0" borderId="13" xfId="0" applyFont="1" applyBorder="1"/>
    <xf numFmtId="0" fontId="70" fillId="0" borderId="4" xfId="0" applyFont="1" applyBorder="1"/>
    <xf numFmtId="167" fontId="70" fillId="0" borderId="0" xfId="1" applyNumberFormat="1" applyFont="1" applyAlignment="1">
      <alignment horizontal="center"/>
    </xf>
    <xf numFmtId="167" fontId="70" fillId="0" borderId="7" xfId="1" applyNumberFormat="1" applyFont="1" applyBorder="1" applyAlignment="1">
      <alignment horizontal="center"/>
    </xf>
    <xf numFmtId="167" fontId="70" fillId="0" borderId="1" xfId="1" applyNumberFormat="1" applyFont="1" applyBorder="1" applyAlignment="1">
      <alignment horizontal="center"/>
    </xf>
    <xf numFmtId="167" fontId="70" fillId="0" borderId="8" xfId="1" applyNumberFormat="1" applyFont="1" applyBorder="1" applyAlignment="1">
      <alignment horizontal="center"/>
    </xf>
    <xf numFmtId="167" fontId="70" fillId="0" borderId="0" xfId="13" applyNumberFormat="1" applyFont="1" applyAlignment="1" applyProtection="1">
      <alignment horizontal="center"/>
    </xf>
    <xf numFmtId="37" fontId="70" fillId="0" borderId="0" xfId="0" applyNumberFormat="1" applyFont="1"/>
    <xf numFmtId="0" fontId="70" fillId="0" borderId="5" xfId="0" applyFont="1" applyBorder="1"/>
    <xf numFmtId="37" fontId="70" fillId="0" borderId="1" xfId="0" applyNumberFormat="1" applyFont="1" applyBorder="1"/>
    <xf numFmtId="0" fontId="70" fillId="0" borderId="6" xfId="0" applyFont="1" applyBorder="1"/>
    <xf numFmtId="0" fontId="70" fillId="0" borderId="7" xfId="1" applyNumberFormat="1" applyFont="1" applyBorder="1" applyAlignment="1">
      <alignment horizontal="center"/>
    </xf>
    <xf numFmtId="167" fontId="70" fillId="0" borderId="0" xfId="1" applyNumberFormat="1" applyFont="1" applyBorder="1" applyAlignment="1">
      <alignment horizontal="center"/>
    </xf>
    <xf numFmtId="164" fontId="70" fillId="0" borderId="0" xfId="1" applyFont="1" applyBorder="1" applyAlignment="1">
      <alignment horizontal="center"/>
    </xf>
    <xf numFmtId="167" fontId="70" fillId="0" borderId="0" xfId="13" applyNumberFormat="1" applyFont="1" applyBorder="1" applyAlignment="1" applyProtection="1"/>
    <xf numFmtId="0" fontId="70" fillId="0" borderId="1" xfId="0" applyFont="1" applyBorder="1" applyAlignment="1">
      <alignment horizontal="center"/>
    </xf>
    <xf numFmtId="164" fontId="70" fillId="0" borderId="1" xfId="1" applyFont="1" applyBorder="1" applyAlignment="1">
      <alignment horizontal="center"/>
    </xf>
    <xf numFmtId="167" fontId="70" fillId="0" borderId="1" xfId="0" applyNumberFormat="1" applyFont="1" applyBorder="1"/>
    <xf numFmtId="164" fontId="70" fillId="0" borderId="7" xfId="1" applyFont="1" applyBorder="1" applyAlignment="1">
      <alignment horizontal="center"/>
    </xf>
    <xf numFmtId="0" fontId="71" fillId="0" borderId="1" xfId="0" applyFont="1" applyBorder="1"/>
    <xf numFmtId="167" fontId="70" fillId="0" borderId="15" xfId="1" applyNumberFormat="1" applyFont="1" applyBorder="1" applyAlignment="1">
      <alignment horizontal="center"/>
    </xf>
    <xf numFmtId="0" fontId="70" fillId="0" borderId="0" xfId="1" applyNumberFormat="1" applyFont="1" applyBorder="1" applyAlignment="1">
      <alignment horizontal="center"/>
    </xf>
    <xf numFmtId="0" fontId="71" fillId="0" borderId="7" xfId="0" applyFont="1" applyBorder="1"/>
    <xf numFmtId="0" fontId="71" fillId="0" borderId="0" xfId="13" applyFont="1" applyAlignment="1" applyProtection="1"/>
    <xf numFmtId="164" fontId="70" fillId="0" borderId="0" xfId="0" applyNumberFormat="1" applyFont="1"/>
    <xf numFmtId="0" fontId="70" fillId="0" borderId="7" xfId="0" applyFont="1" applyBorder="1" applyAlignment="1">
      <alignment horizontal="center"/>
    </xf>
    <xf numFmtId="167" fontId="70" fillId="0" borderId="0" xfId="13" applyNumberFormat="1" applyFont="1" applyAlignment="1" applyProtection="1"/>
    <xf numFmtId="167" fontId="70" fillId="0" borderId="0" xfId="0" applyNumberFormat="1" applyFont="1"/>
    <xf numFmtId="0" fontId="73" fillId="0" borderId="0" xfId="0" applyFont="1"/>
    <xf numFmtId="0" fontId="22" fillId="0" borderId="0" xfId="0" applyFont="1" applyAlignment="1">
      <alignment horizontal="center"/>
    </xf>
    <xf numFmtId="0" fontId="74" fillId="0" borderId="0" xfId="0" applyFont="1"/>
    <xf numFmtId="0" fontId="75" fillId="0" borderId="0" xfId="0" applyFont="1" applyAlignment="1">
      <alignment horizontal="center"/>
    </xf>
    <xf numFmtId="0" fontId="73" fillId="0" borderId="0" xfId="0" applyFont="1" applyAlignment="1">
      <alignment horizontal="center"/>
    </xf>
    <xf numFmtId="167" fontId="22" fillId="0" borderId="0" xfId="0" applyNumberFormat="1" applyFont="1" applyAlignment="1">
      <alignment horizontal="center"/>
    </xf>
    <xf numFmtId="164" fontId="22" fillId="0" borderId="0" xfId="0" applyNumberFormat="1" applyFont="1" applyAlignment="1">
      <alignment horizontal="center"/>
    </xf>
    <xf numFmtId="0" fontId="76" fillId="0" borderId="0" xfId="0" applyFont="1" applyAlignment="1">
      <alignment horizontal="center"/>
    </xf>
    <xf numFmtId="164" fontId="73" fillId="0" borderId="0" xfId="0" applyNumberFormat="1" applyFont="1"/>
    <xf numFmtId="0" fontId="74" fillId="0" borderId="0" xfId="0" applyFont="1" applyAlignment="1">
      <alignment horizontal="center"/>
    </xf>
    <xf numFmtId="0" fontId="22" fillId="0" borderId="0" xfId="13" applyFont="1" applyAlignment="1" applyProtection="1">
      <alignment horizontal="center"/>
    </xf>
    <xf numFmtId="0" fontId="77" fillId="0" borderId="0" xfId="0" applyFont="1" applyAlignment="1">
      <alignment horizontal="center"/>
    </xf>
    <xf numFmtId="0" fontId="79" fillId="0" borderId="21" xfId="0" applyFont="1" applyBorder="1" applyAlignment="1">
      <alignment horizontal="center"/>
    </xf>
    <xf numFmtId="164" fontId="79" fillId="0" borderId="0" xfId="1" applyFont="1" applyAlignment="1">
      <alignment horizontal="center"/>
    </xf>
    <xf numFmtId="0" fontId="78" fillId="0" borderId="0" xfId="1" applyNumberFormat="1" applyFont="1" applyAlignment="1">
      <alignment horizontal="center"/>
    </xf>
    <xf numFmtId="0" fontId="78" fillId="0" borderId="0" xfId="0" applyFont="1"/>
    <xf numFmtId="0" fontId="78" fillId="0" borderId="0" xfId="13" applyFont="1" applyAlignment="1" applyProtection="1"/>
    <xf numFmtId="164" fontId="78" fillId="0" borderId="0" xfId="1" applyFont="1" applyAlignment="1">
      <alignment horizontal="center"/>
    </xf>
    <xf numFmtId="167" fontId="78" fillId="0" borderId="0" xfId="1" applyNumberFormat="1" applyFont="1" applyAlignment="1">
      <alignment horizontal="center"/>
    </xf>
    <xf numFmtId="167" fontId="78" fillId="0" borderId="2" xfId="1" applyNumberFormat="1" applyFont="1" applyBorder="1" applyAlignment="1">
      <alignment horizontal="center"/>
    </xf>
    <xf numFmtId="167" fontId="78" fillId="0" borderId="13" xfId="1" applyNumberFormat="1" applyFont="1" applyBorder="1" applyAlignment="1">
      <alignment horizontal="center"/>
    </xf>
    <xf numFmtId="167" fontId="78" fillId="0" borderId="5" xfId="1" applyNumberFormat="1" applyFont="1" applyBorder="1" applyAlignment="1">
      <alignment horizontal="center"/>
    </xf>
    <xf numFmtId="167" fontId="78" fillId="0" borderId="1" xfId="1" applyNumberFormat="1" applyFont="1" applyBorder="1" applyAlignment="1">
      <alignment horizontal="center"/>
    </xf>
    <xf numFmtId="167" fontId="78" fillId="0" borderId="8" xfId="1" applyNumberFormat="1" applyFont="1" applyBorder="1" applyAlignment="1">
      <alignment horizontal="center"/>
    </xf>
    <xf numFmtId="167" fontId="78" fillId="0" borderId="13" xfId="13" applyNumberFormat="1" applyFont="1" applyBorder="1" applyAlignment="1" applyProtection="1">
      <alignment horizontal="center"/>
    </xf>
    <xf numFmtId="167" fontId="78" fillId="0" borderId="0" xfId="1" applyNumberFormat="1" applyFont="1" applyBorder="1" applyAlignment="1">
      <alignment horizontal="center"/>
    </xf>
    <xf numFmtId="167" fontId="78" fillId="0" borderId="13" xfId="13" applyNumberFormat="1" applyFont="1" applyBorder="1" applyAlignment="1" applyProtection="1"/>
    <xf numFmtId="167" fontId="78" fillId="0" borderId="0" xfId="13" applyNumberFormat="1" applyFont="1" applyAlignment="1" applyProtection="1">
      <alignment horizontal="center"/>
    </xf>
    <xf numFmtId="164" fontId="78" fillId="0" borderId="1" xfId="1" applyFont="1" applyBorder="1" applyAlignment="1">
      <alignment horizontal="center"/>
    </xf>
    <xf numFmtId="0" fontId="78" fillId="0" borderId="0" xfId="0" applyFont="1" applyAlignment="1">
      <alignment horizontal="center"/>
    </xf>
    <xf numFmtId="167" fontId="78" fillId="0" borderId="7" xfId="1" applyNumberFormat="1" applyFont="1" applyBorder="1" applyAlignment="1">
      <alignment horizontal="center"/>
    </xf>
    <xf numFmtId="167" fontId="78" fillId="0" borderId="15" xfId="1" applyNumberFormat="1" applyFont="1" applyBorder="1" applyAlignment="1">
      <alignment horizontal="center"/>
    </xf>
    <xf numFmtId="0" fontId="78" fillId="0" borderId="0" xfId="1" applyNumberFormat="1" applyFont="1" applyBorder="1" applyAlignment="1">
      <alignment horizontal="center"/>
    </xf>
    <xf numFmtId="9" fontId="78" fillId="0" borderId="0" xfId="17" applyFont="1" applyAlignment="1">
      <alignment horizontal="center"/>
    </xf>
    <xf numFmtId="167" fontId="78" fillId="0" borderId="3" xfId="1" applyNumberFormat="1" applyFont="1" applyBorder="1" applyAlignment="1">
      <alignment horizontal="center"/>
    </xf>
    <xf numFmtId="167" fontId="78" fillId="0" borderId="4" xfId="1" applyNumberFormat="1" applyFont="1" applyBorder="1" applyAlignment="1">
      <alignment horizontal="center"/>
    </xf>
    <xf numFmtId="167" fontId="78" fillId="0" borderId="6" xfId="1" applyNumberFormat="1" applyFont="1" applyBorder="1" applyAlignment="1">
      <alignment horizontal="center"/>
    </xf>
    <xf numFmtId="167" fontId="78" fillId="0" borderId="4" xfId="13" applyNumberFormat="1" applyFont="1" applyBorder="1" applyAlignment="1" applyProtection="1">
      <alignment horizontal="center"/>
    </xf>
    <xf numFmtId="167" fontId="78" fillId="0" borderId="4" xfId="13" applyNumberFormat="1" applyFont="1" applyBorder="1" applyAlignment="1" applyProtection="1"/>
    <xf numFmtId="167" fontId="78" fillId="0" borderId="9" xfId="1" applyNumberFormat="1" applyFont="1" applyBorder="1" applyAlignment="1">
      <alignment horizontal="center"/>
    </xf>
    <xf numFmtId="167" fontId="78" fillId="0" borderId="11" xfId="1" applyNumberFormat="1" applyFont="1" applyBorder="1" applyAlignment="1">
      <alignment horizontal="center"/>
    </xf>
    <xf numFmtId="167" fontId="78" fillId="0" borderId="12" xfId="1" applyNumberFormat="1" applyFont="1" applyBorder="1" applyAlignment="1">
      <alignment horizontal="center"/>
    </xf>
    <xf numFmtId="167" fontId="78" fillId="0" borderId="11" xfId="13" applyNumberFormat="1" applyFont="1" applyBorder="1" applyAlignment="1" applyProtection="1"/>
    <xf numFmtId="167" fontId="78" fillId="0" borderId="11" xfId="13" applyNumberFormat="1" applyFont="1" applyBorder="1" applyAlignment="1" applyProtection="1">
      <alignment horizontal="center"/>
    </xf>
    <xf numFmtId="0" fontId="80" fillId="0" borderId="0" xfId="0" applyFont="1"/>
    <xf numFmtId="0" fontId="78" fillId="0" borderId="13" xfId="0" applyFont="1" applyBorder="1" applyAlignment="1">
      <alignment horizontal="center"/>
    </xf>
    <xf numFmtId="0" fontId="78" fillId="0" borderId="5" xfId="0" applyFont="1" applyBorder="1" applyAlignment="1">
      <alignment horizontal="center"/>
    </xf>
    <xf numFmtId="0" fontId="78" fillId="0" borderId="2" xfId="0" applyFont="1" applyBorder="1"/>
    <xf numFmtId="0" fontId="78" fillId="0" borderId="13" xfId="0" applyFont="1" applyBorder="1"/>
    <xf numFmtId="0" fontId="78" fillId="0" borderId="2" xfId="0" applyFont="1" applyBorder="1" applyAlignment="1">
      <alignment horizontal="center"/>
    </xf>
    <xf numFmtId="15" fontId="70" fillId="0" borderId="0" xfId="0" applyNumberFormat="1" applyFont="1"/>
    <xf numFmtId="164" fontId="78" fillId="0" borderId="0" xfId="1" applyFont="1" applyAlignment="1"/>
    <xf numFmtId="164" fontId="70" fillId="0" borderId="0" xfId="1" applyFont="1" applyAlignment="1"/>
    <xf numFmtId="167" fontId="70" fillId="0" borderId="0" xfId="1" applyNumberFormat="1" applyFont="1" applyAlignment="1"/>
    <xf numFmtId="164" fontId="78" fillId="0" borderId="19" xfId="1" applyFont="1" applyBorder="1" applyAlignment="1"/>
    <xf numFmtId="164" fontId="78" fillId="0" borderId="24" xfId="1" applyFont="1" applyBorder="1" applyAlignment="1"/>
    <xf numFmtId="164" fontId="78" fillId="0" borderId="1" xfId="2" applyFont="1" applyBorder="1" applyAlignment="1"/>
    <xf numFmtId="164" fontId="70" fillId="0" borderId="1" xfId="2" applyFont="1" applyBorder="1" applyAlignment="1"/>
    <xf numFmtId="164" fontId="78" fillId="0" borderId="1" xfId="1" applyFont="1" applyBorder="1" applyAlignment="1"/>
    <xf numFmtId="164" fontId="70" fillId="0" borderId="1" xfId="1" applyFont="1" applyBorder="1" applyAlignment="1"/>
    <xf numFmtId="164" fontId="78" fillId="0" borderId="0" xfId="1" quotePrefix="1" applyFont="1" applyAlignment="1"/>
    <xf numFmtId="164" fontId="78" fillId="0" borderId="0" xfId="1" applyFont="1" applyBorder="1" applyAlignment="1"/>
    <xf numFmtId="164" fontId="70" fillId="0" borderId="0" xfId="1" applyFont="1" applyBorder="1" applyAlignment="1"/>
    <xf numFmtId="167" fontId="78" fillId="0" borderId="0" xfId="1" applyNumberFormat="1" applyFont="1" applyAlignment="1"/>
    <xf numFmtId="164" fontId="78" fillId="0" borderId="7" xfId="1" applyFont="1" applyBorder="1" applyAlignment="1"/>
    <xf numFmtId="164" fontId="70" fillId="0" borderId="7" xfId="1" applyFont="1" applyBorder="1" applyAlignment="1"/>
    <xf numFmtId="167" fontId="78" fillId="0" borderId="1" xfId="1" applyNumberFormat="1" applyFont="1" applyBorder="1" applyAlignment="1"/>
    <xf numFmtId="167" fontId="70" fillId="0" borderId="1" xfId="1" applyNumberFormat="1" applyFont="1" applyBorder="1" applyAlignment="1"/>
    <xf numFmtId="167" fontId="78" fillId="0" borderId="7" xfId="1" applyNumberFormat="1" applyFont="1" applyBorder="1" applyAlignment="1"/>
    <xf numFmtId="167" fontId="70" fillId="0" borderId="7" xfId="1" applyNumberFormat="1" applyFont="1" applyBorder="1" applyAlignment="1"/>
    <xf numFmtId="15" fontId="60" fillId="0" borderId="0" xfId="1" applyNumberFormat="1" applyFont="1" applyAlignment="1"/>
    <xf numFmtId="15" fontId="70" fillId="0" borderId="0" xfId="1" applyNumberFormat="1" applyFont="1" applyAlignment="1"/>
    <xf numFmtId="0" fontId="81" fillId="0" borderId="0" xfId="0" applyFont="1"/>
    <xf numFmtId="167" fontId="78" fillId="0" borderId="8" xfId="1" applyNumberFormat="1" applyFont="1" applyBorder="1" applyAlignment="1"/>
    <xf numFmtId="9" fontId="78" fillId="0" borderId="0" xfId="17" applyFont="1" applyAlignment="1"/>
    <xf numFmtId="9" fontId="70" fillId="0" borderId="0" xfId="17" applyFont="1" applyAlignment="1"/>
    <xf numFmtId="164" fontId="78" fillId="0" borderId="8" xfId="1" applyFont="1" applyBorder="1" applyAlignment="1"/>
    <xf numFmtId="164" fontId="78" fillId="0" borderId="16" xfId="1" applyFont="1" applyBorder="1" applyAlignment="1"/>
    <xf numFmtId="173" fontId="78" fillId="0" borderId="0" xfId="1" applyNumberFormat="1" applyFont="1" applyAlignment="1"/>
    <xf numFmtId="15" fontId="66" fillId="0" borderId="0" xfId="1" applyNumberFormat="1" applyFont="1" applyAlignment="1"/>
    <xf numFmtId="167" fontId="5" fillId="0" borderId="10" xfId="0" applyNumberFormat="1" applyFont="1" applyBorder="1"/>
    <xf numFmtId="167" fontId="5" fillId="0" borderId="0" xfId="1" applyNumberFormat="1" applyFont="1"/>
    <xf numFmtId="0" fontId="70" fillId="0" borderId="0" xfId="0" applyFont="1" applyAlignment="1">
      <alignment horizontal="center"/>
    </xf>
    <xf numFmtId="0" fontId="62" fillId="0" borderId="0" xfId="0" applyFont="1" applyAlignment="1">
      <alignment horizontal="center"/>
    </xf>
    <xf numFmtId="0" fontId="71" fillId="0" borderId="20" xfId="0" applyFont="1" applyBorder="1" applyAlignment="1">
      <alignment horizontal="center"/>
    </xf>
    <xf numFmtId="0" fontId="71" fillId="0" borderId="0" xfId="0" applyFont="1" applyAlignment="1">
      <alignment horizontal="center"/>
    </xf>
    <xf numFmtId="0" fontId="71" fillId="0" borderId="21" xfId="0" applyFont="1" applyBorder="1" applyAlignment="1">
      <alignment horizontal="center"/>
    </xf>
    <xf numFmtId="0" fontId="7" fillId="9" borderId="0" xfId="0" applyFont="1" applyFill="1" applyAlignment="1">
      <alignment horizontal="center"/>
    </xf>
    <xf numFmtId="0" fontId="5" fillId="8" borderId="0" xfId="0" applyFont="1" applyFill="1" applyProtection="1">
      <protection locked="0"/>
    </xf>
    <xf numFmtId="0" fontId="7" fillId="18" borderId="0" xfId="0" applyFont="1" applyFill="1" applyProtection="1">
      <protection locked="0"/>
    </xf>
    <xf numFmtId="0" fontId="7" fillId="12" borderId="0" xfId="0" applyFont="1" applyFill="1" applyProtection="1">
      <protection locked="0"/>
    </xf>
    <xf numFmtId="0" fontId="9" fillId="0" borderId="0" xfId="0" applyFont="1" applyAlignment="1">
      <alignment horizontal="center"/>
    </xf>
    <xf numFmtId="164" fontId="10" fillId="0" borderId="0" xfId="1" applyFont="1" applyAlignment="1" applyProtection="1">
      <alignment horizontal="center"/>
      <protection locked="0"/>
    </xf>
    <xf numFmtId="164" fontId="2" fillId="0" borderId="0" xfId="1" applyAlignment="1" applyProtection="1">
      <alignment horizontal="center"/>
      <protection locked="0"/>
    </xf>
    <xf numFmtId="0" fontId="10" fillId="0" borderId="0" xfId="0" applyFont="1" applyAlignment="1" applyProtection="1">
      <alignment horizontal="center"/>
      <protection locked="0"/>
    </xf>
    <xf numFmtId="164" fontId="6" fillId="0" borderId="0" xfId="1" applyFont="1" applyAlignment="1">
      <alignment horizontal="center"/>
    </xf>
    <xf numFmtId="164" fontId="4" fillId="0" borderId="2" xfId="1" applyFont="1" applyBorder="1" applyAlignment="1">
      <alignment horizontal="center"/>
    </xf>
    <xf numFmtId="164" fontId="4" fillId="0" borderId="7" xfId="1" applyFont="1" applyBorder="1" applyAlignment="1">
      <alignment horizontal="center"/>
    </xf>
    <xf numFmtId="164" fontId="4" fillId="0" borderId="3" xfId="1" applyFont="1" applyBorder="1" applyAlignment="1">
      <alignment horizontal="center"/>
    </xf>
    <xf numFmtId="164" fontId="9" fillId="0" borderId="13" xfId="1" applyFont="1" applyBorder="1" applyAlignment="1">
      <alignment horizontal="center"/>
    </xf>
    <xf numFmtId="164" fontId="9" fillId="0" borderId="0" xfId="1" applyFont="1" applyAlignment="1">
      <alignment horizontal="center"/>
    </xf>
    <xf numFmtId="164" fontId="9" fillId="0" borderId="4" xfId="1" applyFont="1" applyBorder="1" applyAlignment="1">
      <alignment horizontal="center"/>
    </xf>
    <xf numFmtId="164" fontId="0" fillId="0" borderId="0" xfId="1" applyFont="1" applyAlignment="1" applyProtection="1">
      <alignment horizontal="center"/>
      <protection locked="0"/>
    </xf>
  </cellXfs>
  <cellStyles count="29">
    <cellStyle name="Comma" xfId="1" builtinId="3"/>
    <cellStyle name="Comma 2" xfId="2" xr:uid="{00000000-0005-0000-0000-000001000000}"/>
    <cellStyle name="Comma 2 2" xfId="3" xr:uid="{00000000-0005-0000-0000-000002000000}"/>
    <cellStyle name="Comma 2 3" xfId="24" xr:uid="{52453EEF-0D51-4395-958C-7C128978CA96}"/>
    <cellStyle name="Comma 3" xfId="4" xr:uid="{00000000-0005-0000-0000-000003000000}"/>
    <cellStyle name="Comma 3 2" xfId="5" xr:uid="{00000000-0005-0000-0000-000004000000}"/>
    <cellStyle name="Comma 4" xfId="6" xr:uid="{00000000-0005-0000-0000-000005000000}"/>
    <cellStyle name="Comma 4 2" xfId="7" xr:uid="{00000000-0005-0000-0000-000006000000}"/>
    <cellStyle name="Comma 5" xfId="8" xr:uid="{00000000-0005-0000-0000-000007000000}"/>
    <cellStyle name="Comma 5 2" xfId="9" xr:uid="{00000000-0005-0000-0000-000008000000}"/>
    <cellStyle name="Comma 6" xfId="10" xr:uid="{00000000-0005-0000-0000-000009000000}"/>
    <cellStyle name="Comma 7" xfId="11" xr:uid="{00000000-0005-0000-0000-00000A000000}"/>
    <cellStyle name="Excel Built-in Normal" xfId="12" xr:uid="{00000000-0005-0000-0000-00000D000000}"/>
    <cellStyle name="Hyperlink" xfId="13" builtinId="8"/>
    <cellStyle name="Normal" xfId="0" builtinId="0"/>
    <cellStyle name="Normal 2" xfId="14" xr:uid="{00000000-0005-0000-0000-000010000000}"/>
    <cellStyle name="Normal 2 2" xfId="27" xr:uid="{CB3EB91A-3A64-4AFF-8188-AFBAFF9485A8}"/>
    <cellStyle name="Normal 3" xfId="15" xr:uid="{00000000-0005-0000-0000-000011000000}"/>
    <cellStyle name="Normal 4" xfId="23" xr:uid="{ACF0510B-F609-44CF-B7C9-9DF42D839272}"/>
    <cellStyle name="Normal 5" xfId="25" xr:uid="{A7247675-8E61-4763-AD07-039BEAA7DE58}"/>
    <cellStyle name="Normal 6" xfId="26" xr:uid="{00000000-0005-0000-0000-000047000000}"/>
    <cellStyle name="Normal_VAT schedule" xfId="16" xr:uid="{00000000-0005-0000-0000-000016000000}"/>
    <cellStyle name="Percent" xfId="17" builtinId="5"/>
    <cellStyle name="Percent 2" xfId="18" xr:uid="{00000000-0005-0000-0000-000018000000}"/>
    <cellStyle name="Percent 2 2" xfId="19" xr:uid="{00000000-0005-0000-0000-000019000000}"/>
    <cellStyle name="Percent 2 3" xfId="28" xr:uid="{35482C83-D02B-4C4B-9006-C0FEE8602378}"/>
    <cellStyle name="Percent 3" xfId="20" xr:uid="{00000000-0005-0000-0000-00001A000000}"/>
    <cellStyle name="Percent 3 2" xfId="21" xr:uid="{00000000-0005-0000-0000-00001B000000}"/>
    <cellStyle name="Percent 4" xfId="22" xr:uid="{00000000-0005-0000-0000-00001C000000}"/>
  </cellStyles>
  <dxfs count="0"/>
  <tableStyles count="0" defaultTableStyle="TableStyleMedium9" defaultPivotStyle="PivotStyleLight16"/>
  <colors>
    <mruColors>
      <color rgb="FF7EC579"/>
      <color rgb="FF79EE50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5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4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</xdr:row>
      <xdr:rowOff>9525</xdr:rowOff>
    </xdr:from>
    <xdr:to>
      <xdr:col>3</xdr:col>
      <xdr:colOff>9524</xdr:colOff>
      <xdr:row>20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E28DAE-8D37-4A1D-941D-C9F75A054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562100"/>
          <a:ext cx="6076949" cy="2657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279</xdr:row>
      <xdr:rowOff>0</xdr:rowOff>
    </xdr:from>
    <xdr:to>
      <xdr:col>3</xdr:col>
      <xdr:colOff>104775</xdr:colOff>
      <xdr:row>279</xdr:row>
      <xdr:rowOff>0</xdr:rowOff>
    </xdr:to>
    <xdr:pic>
      <xdr:nvPicPr>
        <xdr:cNvPr id="50065" name="Picture 1">
          <a:extLst>
            <a:ext uri="{FF2B5EF4-FFF2-40B4-BE49-F238E27FC236}">
              <a16:creationId xmlns:a16="http://schemas.microsoft.com/office/drawing/2014/main" id="{00000000-0008-0000-0000-000091C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54854475"/>
          <a:ext cx="561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19050</xdr:colOff>
      <xdr:row>279</xdr:row>
      <xdr:rowOff>0</xdr:rowOff>
    </xdr:from>
    <xdr:to>
      <xdr:col>10</xdr:col>
      <xdr:colOff>876300</xdr:colOff>
      <xdr:row>279</xdr:row>
      <xdr:rowOff>0</xdr:rowOff>
    </xdr:to>
    <xdr:pic>
      <xdr:nvPicPr>
        <xdr:cNvPr id="50066" name="Picture 2" descr="fullset">
          <a:extLst>
            <a:ext uri="{FF2B5EF4-FFF2-40B4-BE49-F238E27FC236}">
              <a16:creationId xmlns:a16="http://schemas.microsoft.com/office/drawing/2014/main" id="{00000000-0008-0000-0000-000092C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54854475"/>
          <a:ext cx="3181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279</xdr:row>
      <xdr:rowOff>0</xdr:rowOff>
    </xdr:from>
    <xdr:to>
      <xdr:col>3</xdr:col>
      <xdr:colOff>104775</xdr:colOff>
      <xdr:row>279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DA0720-5A53-4084-AF08-9A7762997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03841550"/>
          <a:ext cx="752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19050</xdr:colOff>
      <xdr:row>279</xdr:row>
      <xdr:rowOff>0</xdr:rowOff>
    </xdr:from>
    <xdr:to>
      <xdr:col>10</xdr:col>
      <xdr:colOff>876300</xdr:colOff>
      <xdr:row>279</xdr:row>
      <xdr:rowOff>0</xdr:rowOff>
    </xdr:to>
    <xdr:pic>
      <xdr:nvPicPr>
        <xdr:cNvPr id="3" name="Picture 2" descr="fullset">
          <a:extLst>
            <a:ext uri="{FF2B5EF4-FFF2-40B4-BE49-F238E27FC236}">
              <a16:creationId xmlns:a16="http://schemas.microsoft.com/office/drawing/2014/main" id="{DB917DE4-32E2-4BA6-B78B-05521C923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50" y="103841550"/>
          <a:ext cx="410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9</xdr:col>
      <xdr:colOff>247650</xdr:colOff>
      <xdr:row>3</xdr:row>
      <xdr:rowOff>251845</xdr:rowOff>
    </xdr:to>
    <xdr:pic>
      <xdr:nvPicPr>
        <xdr:cNvPr id="2" name="Picture 1" descr="SARS Online">
          <a:extLst>
            <a:ext uri="{FF2B5EF4-FFF2-40B4-BE49-F238E27FC236}">
              <a16:creationId xmlns:a16="http://schemas.microsoft.com/office/drawing/2014/main" id="{7AD7711A-8F74-408E-B086-9720541D8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1600" y="609600"/>
          <a:ext cx="4171950" cy="91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lients\GER03\2006\Purple%20Moss%201230%20(2006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erhard/Documents/AFSEasy/MasterPtyLtd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erhard/Documents/Albert/CShell%20172%20(Pty)%20Ltd/2017/CShell%20172%20(Pty)%20Ltd%202013%20Final%20SAR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erhard/Documents/Albert/Scarlet%20Moon%20Investments%20CC/2018/Scarlet%20Moon%20Investments%20CC%20-%202018%20-%20SARS%20Fin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il\gra\GRA\Clients\Sedgefield%20Classic%20Cars%20CC\2007\Sedgefield%20Classic%20Cars%20CC%20(2007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il\gra\GRA%20Clients\Clients\KIT01\2008\Handz%20On%20Car%20Wash%20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TrialBalance"/>
      <sheetName val="Criteria"/>
      <sheetName val="StateENG"/>
      <sheetName val="HPLead"/>
      <sheetName val="HP1 (2)"/>
      <sheetName val="HP1 (3)"/>
      <sheetName val="HP1 (4)"/>
      <sheetName val="FixAssetsRegister"/>
      <sheetName val="TaxFixAssetsRegister"/>
      <sheetName val="Notas1"/>
      <sheetName val="Journals"/>
      <sheetName val="DefTax"/>
      <sheetName val="Bankrecon"/>
      <sheetName val="StateAFR"/>
      <sheetName val="NotulesAFR"/>
      <sheetName val="NotulesENG"/>
      <sheetName val="ExceptionReport"/>
      <sheetName val="Notas2"/>
      <sheetName val="Notas3"/>
      <sheetName val="OBalanse"/>
      <sheetName val="Ouditverskille"/>
      <sheetName val="Analities1"/>
      <sheetName val="Analities2"/>
      <sheetName val="FixAssets"/>
      <sheetName val="Goodwill"/>
      <sheetName val="Investments"/>
      <sheetName val="NonCurR"/>
      <sheetName val="Inventory"/>
      <sheetName val="Receivables"/>
      <sheetName val="CashBank"/>
      <sheetName val="bank2"/>
      <sheetName val="ShareCap"/>
      <sheetName val="Shareprem"/>
      <sheetName val="Reserves"/>
      <sheetName val="InterestBor"/>
      <sheetName val="HP1"/>
      <sheetName val="HP2 (2)"/>
      <sheetName val="HP2"/>
      <sheetName val="InterestFree"/>
      <sheetName val="Creditors"/>
      <sheetName val="ShortLOans"/>
      <sheetName val="VAT"/>
      <sheetName val="Tax"/>
      <sheetName val="Index"/>
      <sheetName val="Sales"/>
      <sheetName val="Salesrecon"/>
      <sheetName val="Rent"/>
      <sheetName val="DirRem"/>
      <sheetName val="HP1_(2)"/>
      <sheetName val="HP1_(3)"/>
      <sheetName val="HP1_(4)"/>
      <sheetName val="HP2_(2)"/>
    </sheetNames>
    <sheetDataSet>
      <sheetData sheetId="0"/>
      <sheetData sheetId="1">
        <row r="5">
          <cell r="K5" t="str">
            <v>1000/001Sales</v>
          </cell>
        </row>
        <row r="6">
          <cell r="K6" t="str">
            <v>1000/002Sales 2</v>
          </cell>
        </row>
        <row r="7">
          <cell r="K7" t="str">
            <v>1000/003Rent Received</v>
          </cell>
        </row>
        <row r="8">
          <cell r="K8" t="str">
            <v>2000/000COST OF SALES</v>
          </cell>
        </row>
        <row r="9">
          <cell r="K9" t="str">
            <v>2000/001Opening stock - Raw material</v>
          </cell>
        </row>
        <row r="10">
          <cell r="K10" t="str">
            <v>2000/002Opening stock - WIP</v>
          </cell>
        </row>
        <row r="11">
          <cell r="K11" t="str">
            <v>2000/003Opening stock - Finished goods</v>
          </cell>
        </row>
        <row r="12">
          <cell r="K12" t="str">
            <v>2000/004Opening stock - Trading stock</v>
          </cell>
        </row>
        <row r="13">
          <cell r="K13" t="str">
            <v>2000/010Purchases</v>
          </cell>
        </row>
        <row r="14">
          <cell r="K14" t="str">
            <v xml:space="preserve">2000/011Transport </v>
          </cell>
        </row>
        <row r="15">
          <cell r="K15" t="str">
            <v>2000/012Spares and tyres</v>
          </cell>
        </row>
        <row r="16">
          <cell r="K16" t="str">
            <v>2000/013Open</v>
          </cell>
        </row>
        <row r="17">
          <cell r="K17" t="str">
            <v>2000/014Open</v>
          </cell>
        </row>
        <row r="18">
          <cell r="K18" t="str">
            <v>2000/015Open</v>
          </cell>
        </row>
        <row r="19">
          <cell r="K19" t="str">
            <v>2000/050Closing stock - Raw materials</v>
          </cell>
        </row>
        <row r="20">
          <cell r="K20" t="str">
            <v>2000/051Closing stock - WIP</v>
          </cell>
        </row>
        <row r="21">
          <cell r="K21" t="str">
            <v>2000/052Closing stock - Finished goods</v>
          </cell>
        </row>
        <row r="22">
          <cell r="K22" t="str">
            <v>2000/053Closing stock - Trading stock</v>
          </cell>
        </row>
        <row r="23">
          <cell r="K23" t="str">
            <v>2050/000OTHER OPERATING INCOME</v>
          </cell>
        </row>
        <row r="24">
          <cell r="K24" t="str">
            <v>2050/001</v>
          </cell>
        </row>
        <row r="25">
          <cell r="K25" t="str">
            <v>2050/002</v>
          </cell>
        </row>
        <row r="26">
          <cell r="K26" t="str">
            <v>2050/003</v>
          </cell>
        </row>
        <row r="27">
          <cell r="K27" t="str">
            <v>2050/004</v>
          </cell>
        </row>
        <row r="28">
          <cell r="K28" t="str">
            <v>2050/005</v>
          </cell>
        </row>
        <row r="29">
          <cell r="K29" t="str">
            <v>2100/000OPERATING EXPENSES</v>
          </cell>
        </row>
        <row r="30">
          <cell r="K30" t="str">
            <v>2100/001Advertising</v>
          </cell>
        </row>
        <row r="31">
          <cell r="K31" t="str">
            <v>2100/010Assets written off</v>
          </cell>
        </row>
        <row r="32">
          <cell r="K32" t="str">
            <v>2100/020Consumables</v>
          </cell>
        </row>
        <row r="33">
          <cell r="K33" t="str">
            <v>2100/030Depreciation----------------------------</v>
          </cell>
        </row>
        <row r="34">
          <cell r="K34" t="str">
            <v>2100/031Depr - Land &amp; buildings</v>
          </cell>
        </row>
        <row r="35">
          <cell r="K35" t="str">
            <v>2100/032Depr - Plant &amp; Machinery</v>
          </cell>
        </row>
        <row r="36">
          <cell r="K36" t="str">
            <v>2100/033Depr - Motor vehicles</v>
          </cell>
        </row>
        <row r="37">
          <cell r="K37" t="str">
            <v>2100/034Depr - Electronic equipment</v>
          </cell>
        </row>
        <row r="38">
          <cell r="K38" t="str">
            <v>2100/040Discounts allowed</v>
          </cell>
        </row>
        <row r="39">
          <cell r="K39" t="str">
            <v>2100/050Electricity and Water</v>
          </cell>
        </row>
        <row r="40">
          <cell r="K40" t="str">
            <v>2100/055Equipment lease</v>
          </cell>
        </row>
        <row r="41">
          <cell r="K41" t="str">
            <v>2100/060Insurance</v>
          </cell>
        </row>
        <row r="42">
          <cell r="K42" t="str">
            <v>2100/070Levies - District Municipality</v>
          </cell>
        </row>
        <row r="43">
          <cell r="K43" t="str">
            <v>2100/071Levies - SDL</v>
          </cell>
        </row>
        <row r="44">
          <cell r="K44" t="str">
            <v>2100/072Levies - other</v>
          </cell>
        </row>
        <row r="45">
          <cell r="K45" t="str">
            <v>2100/080Trade licenses</v>
          </cell>
        </row>
        <row r="46">
          <cell r="K46" t="str">
            <v>2100/090Motor vehicle expenses------------------</v>
          </cell>
        </row>
        <row r="47">
          <cell r="K47" t="str">
            <v>2100/091Motor vehicle expenses - Petrol and oil</v>
          </cell>
        </row>
        <row r="48">
          <cell r="K48" t="str">
            <v>2100/092Motor vehicle expenses - R&amp;M</v>
          </cell>
        </row>
        <row r="49">
          <cell r="K49" t="str">
            <v>2100/093Motor vehicle expenses - Insurance</v>
          </cell>
        </row>
        <row r="50">
          <cell r="K50" t="str">
            <v>2100/094Motor vehicle expenses - licenses</v>
          </cell>
        </row>
        <row r="51">
          <cell r="K51" t="str">
            <v>2100/095Motor vehicle expenses - general</v>
          </cell>
        </row>
        <row r="52">
          <cell r="K52" t="str">
            <v>2100/100Rent paid-------------------------------</v>
          </cell>
        </row>
        <row r="53">
          <cell r="K53" t="str">
            <v>2100/101Premises</v>
          </cell>
        </row>
        <row r="54">
          <cell r="K54" t="str">
            <v>2100/102</v>
          </cell>
        </row>
        <row r="55">
          <cell r="K55" t="str">
            <v>2100/103</v>
          </cell>
        </row>
        <row r="56">
          <cell r="K56" t="str">
            <v>2100/110Repairs and maintenance</v>
          </cell>
        </row>
        <row r="57">
          <cell r="K57" t="str">
            <v>2100/120Salaries</v>
          </cell>
        </row>
        <row r="58">
          <cell r="K58" t="str">
            <v>2100/121UIF - Employer</v>
          </cell>
        </row>
        <row r="59">
          <cell r="K59" t="str">
            <v>2100/122Casual wages</v>
          </cell>
        </row>
        <row r="60">
          <cell r="K60" t="str">
            <v>2100/130Telephone</v>
          </cell>
        </row>
        <row r="61">
          <cell r="K61" t="str">
            <v>2100/135Postage</v>
          </cell>
        </row>
        <row r="62">
          <cell r="K62" t="str">
            <v>2100/140Training</v>
          </cell>
        </row>
        <row r="63">
          <cell r="K63" t="str">
            <v>2100/150Traveling</v>
          </cell>
        </row>
        <row r="64">
          <cell r="K64" t="str">
            <v>2150/000Accommodation</v>
          </cell>
        </row>
        <row r="65">
          <cell r="K65" t="str">
            <v>2200/000Car Rental</v>
          </cell>
        </row>
        <row r="66">
          <cell r="K66" t="str">
            <v>2400/000Couriers</v>
          </cell>
        </row>
        <row r="67">
          <cell r="K67" t="str">
            <v>2400/010Food, Drinks and Cleaning</v>
          </cell>
        </row>
        <row r="68">
          <cell r="K68" t="str">
            <v>2400/020Garden and Pool Maintenance</v>
          </cell>
        </row>
        <row r="69">
          <cell r="K69" t="str">
            <v>2400/030Open</v>
          </cell>
        </row>
        <row r="70">
          <cell r="K70" t="str">
            <v>2500/000OTHER INCOME</v>
          </cell>
        </row>
        <row r="71">
          <cell r="K71" t="str">
            <v>2700/000Blocked</v>
          </cell>
        </row>
        <row r="72">
          <cell r="K72" t="str">
            <v>2710/000Rent Received (Not Main income)</v>
          </cell>
        </row>
        <row r="73">
          <cell r="K73" t="str">
            <v>2750/000Interest Received-----------------------</v>
          </cell>
        </row>
        <row r="74">
          <cell r="K74" t="str">
            <v xml:space="preserve">2750/001ABSA Bank </v>
          </cell>
        </row>
        <row r="75">
          <cell r="K75" t="str">
            <v>2750/002</v>
          </cell>
        </row>
        <row r="76">
          <cell r="K76" t="str">
            <v>2750/003</v>
          </cell>
        </row>
        <row r="77">
          <cell r="K77" t="str">
            <v>2750/004</v>
          </cell>
        </row>
        <row r="78">
          <cell r="K78" t="str">
            <v>2800/000Dividends received----------------------</v>
          </cell>
        </row>
        <row r="79">
          <cell r="K79" t="str">
            <v>2800/001Div's received - SA sources</v>
          </cell>
        </row>
        <row r="80">
          <cell r="K80" t="str">
            <v>2800/002Div's received - Foreign div's</v>
          </cell>
        </row>
        <row r="81">
          <cell r="K81" t="str">
            <v>2810/000Profit/Loss on sale of fixed assets</v>
          </cell>
        </row>
        <row r="82">
          <cell r="K82" t="str">
            <v>2820/000Bad debts recovered</v>
          </cell>
        </row>
        <row r="83">
          <cell r="K83" t="str">
            <v>2830/000Other income</v>
          </cell>
        </row>
        <row r="84">
          <cell r="K84" t="str">
            <v>3000/000ADMINISTRATION EXPENSES</v>
          </cell>
        </row>
        <row r="85">
          <cell r="K85" t="str">
            <v>3000/010Auditor's remuneration------------------</v>
          </cell>
        </row>
        <row r="86">
          <cell r="K86" t="str">
            <v>3000/011Audit fees for current year</v>
          </cell>
        </row>
        <row r="87">
          <cell r="K87" t="str">
            <v>3000/012Under provision previous year</v>
          </cell>
        </row>
        <row r="88">
          <cell r="K88" t="str">
            <v>3000/013Overprovision previous year</v>
          </cell>
        </row>
        <row r="89">
          <cell r="K89" t="str">
            <v>3000/014Accounting fees</v>
          </cell>
        </row>
        <row r="90">
          <cell r="K90" t="str">
            <v>3000/020Bank charges</v>
          </cell>
        </row>
        <row r="91">
          <cell r="K91" t="str">
            <v>3000/030Bad debts</v>
          </cell>
        </row>
        <row r="92">
          <cell r="K92" t="str">
            <v>3000/040Cleaning</v>
          </cell>
        </row>
        <row r="93">
          <cell r="K93" t="str">
            <v>3000/050Computer expenses</v>
          </cell>
        </row>
        <row r="94">
          <cell r="K94" t="str">
            <v>3000/060Depreciation----------------------------</v>
          </cell>
        </row>
        <row r="95">
          <cell r="K95" t="str">
            <v>3000/061Depr - Land &amp; buildings</v>
          </cell>
        </row>
        <row r="96">
          <cell r="K96" t="str">
            <v>3000/062Depr - Motor vehicles</v>
          </cell>
        </row>
        <row r="97">
          <cell r="K97" t="str">
            <v>3000/063Depr - Computer equipment</v>
          </cell>
        </row>
        <row r="98">
          <cell r="K98" t="str">
            <v>3000/064Depr - Office equipment</v>
          </cell>
        </row>
        <row r="99">
          <cell r="K99" t="str">
            <v>3000/065Depr - Furniture &amp; Fittings</v>
          </cell>
        </row>
        <row r="100">
          <cell r="K100" t="str">
            <v>3000/066Depr - Other</v>
          </cell>
        </row>
        <row r="101">
          <cell r="K101" t="str">
            <v>3000/070Directors'/Members' remuneration-----------------</v>
          </cell>
        </row>
        <row r="102">
          <cell r="K102" t="str">
            <v>3000/071M Brunsdon</v>
          </cell>
        </row>
        <row r="103">
          <cell r="K103" t="str">
            <v>3000/072</v>
          </cell>
        </row>
        <row r="104">
          <cell r="K104" t="str">
            <v>3000/073</v>
          </cell>
        </row>
        <row r="105">
          <cell r="K105" t="str">
            <v>3000/074</v>
          </cell>
        </row>
        <row r="106">
          <cell r="K106" t="str">
            <v>3000/075</v>
          </cell>
        </row>
        <row r="107">
          <cell r="K107" t="str">
            <v>3000/080Donations</v>
          </cell>
        </row>
        <row r="108">
          <cell r="K108" t="str">
            <v>3000/090Entertainment expenses</v>
          </cell>
        </row>
        <row r="109">
          <cell r="K109" t="str">
            <v>3000/095Fines</v>
          </cell>
        </row>
        <row r="110">
          <cell r="K110" t="str">
            <v>3000/100General expenses</v>
          </cell>
        </row>
        <row r="111">
          <cell r="K111" t="str">
            <v>3000/110Legal expenses - Tax deductible</v>
          </cell>
        </row>
        <row r="112">
          <cell r="K112" t="str">
            <v>3000/111Legal expenses - Non deductible</v>
          </cell>
        </row>
        <row r="113">
          <cell r="K113" t="str">
            <v>3000/120Printing and stationary</v>
          </cell>
        </row>
        <row r="114">
          <cell r="K114" t="str">
            <v>3000/130Refreshments</v>
          </cell>
        </row>
        <row r="115">
          <cell r="K115" t="str">
            <v>3000/140Salaries</v>
          </cell>
        </row>
        <row r="116">
          <cell r="K116" t="str">
            <v>3000/141UIF - Employer</v>
          </cell>
        </row>
        <row r="117">
          <cell r="K117" t="str">
            <v>3000/142Casual wages</v>
          </cell>
        </row>
        <row r="118">
          <cell r="K118" t="str">
            <v>3000/150Security</v>
          </cell>
        </row>
        <row r="119">
          <cell r="K119" t="str">
            <v>3000/160Subscriptions</v>
          </cell>
        </row>
        <row r="120">
          <cell r="K120" t="str">
            <v>3000/170Penalties &amp; Interest - SARS</v>
          </cell>
        </row>
        <row r="121">
          <cell r="K121" t="str">
            <v>3000/180Commission paid</v>
          </cell>
        </row>
        <row r="122">
          <cell r="K122" t="str">
            <v>3000/190Staff welfare</v>
          </cell>
        </row>
        <row r="123">
          <cell r="K123" t="str">
            <v>3000/200Membership Fees</v>
          </cell>
        </row>
        <row r="124">
          <cell r="K124" t="str">
            <v>3000/210Rates and Taxes</v>
          </cell>
        </row>
        <row r="125">
          <cell r="K125" t="str">
            <v>3000/220Uniforms</v>
          </cell>
        </row>
        <row r="126">
          <cell r="K126" t="str">
            <v>4210/000Pft/Loss on foreign exchange</v>
          </cell>
        </row>
        <row r="127">
          <cell r="K127" t="str">
            <v>4700/000FINANCE COSTS</v>
          </cell>
        </row>
        <row r="128">
          <cell r="K128" t="str">
            <v>4700/010Interest paid---------------------------</v>
          </cell>
        </row>
        <row r="129">
          <cell r="K129" t="str">
            <v xml:space="preserve">4700/011ABSA Bank </v>
          </cell>
        </row>
        <row r="130">
          <cell r="K130" t="str">
            <v>4700/012</v>
          </cell>
        </row>
        <row r="131">
          <cell r="K131" t="str">
            <v>4700/013</v>
          </cell>
        </row>
        <row r="132">
          <cell r="K132" t="str">
            <v>4700/014Revenue Service</v>
          </cell>
        </row>
        <row r="133">
          <cell r="K133" t="str">
            <v>4700/020Hire purchase interest</v>
          </cell>
        </row>
        <row r="134">
          <cell r="K134" t="str">
            <v>4750/000OTHER</v>
          </cell>
        </row>
        <row r="135">
          <cell r="K135" t="str">
            <v>4750/010Loss on Revaluation of Investments</v>
          </cell>
        </row>
        <row r="136">
          <cell r="K136" t="str">
            <v>4800/000NORMAL TAXATION</v>
          </cell>
        </row>
        <row r="137">
          <cell r="K137" t="str">
            <v>4800/001Tax provided this year</v>
          </cell>
        </row>
        <row r="138">
          <cell r="K138" t="str">
            <v>4800/002Tax adjustment previous year</v>
          </cell>
        </row>
        <row r="139">
          <cell r="K139" t="str">
            <v>4800/010Secondary tax on companies</v>
          </cell>
        </row>
        <row r="140">
          <cell r="K140" t="str">
            <v>4820/000DEFERRED TAX</v>
          </cell>
        </row>
        <row r="141">
          <cell r="K141" t="str">
            <v>4820/001Deferred tax this year</v>
          </cell>
        </row>
        <row r="142">
          <cell r="K142" t="str">
            <v>4820/002Deferred tax adjustment previous year</v>
          </cell>
        </row>
        <row r="143">
          <cell r="K143" t="str">
            <v>4850/000Dividends Declared</v>
          </cell>
        </row>
        <row r="144">
          <cell r="K144" t="str">
            <v>4860/000Dividends paid</v>
          </cell>
        </row>
        <row r="147">
          <cell r="K147">
            <v>0</v>
          </cell>
        </row>
        <row r="148">
          <cell r="C148" t="str">
            <v>SHARE CAPITAL</v>
          </cell>
          <cell r="K148" t="str">
            <v>5100/000SHARE CAPITAL</v>
          </cell>
        </row>
        <row r="149">
          <cell r="C149" t="str">
            <v>Share Capital - Balance b/fwd</v>
          </cell>
          <cell r="K149" t="str">
            <v>5100/001Share Capital - Balance b/fwd</v>
          </cell>
        </row>
        <row r="150">
          <cell r="C150" t="str">
            <v>Share Capital - Additions</v>
          </cell>
          <cell r="K150" t="str">
            <v>5100/002Share Capital - Additions</v>
          </cell>
        </row>
        <row r="151">
          <cell r="C151" t="str">
            <v>MEMBERS' CONTRIBUTIONS</v>
          </cell>
          <cell r="K151" t="str">
            <v>5105/000MEMBERS' CONTRIBUTIONS</v>
          </cell>
        </row>
        <row r="152">
          <cell r="C152" t="str">
            <v>H J Van Gerven</v>
          </cell>
          <cell r="K152" t="str">
            <v>5105/001H J Van Gerven</v>
          </cell>
        </row>
        <row r="153">
          <cell r="C153" t="str">
            <v>L M Van Gerven</v>
          </cell>
          <cell r="K153" t="str">
            <v>5105/002L M Van Gerven</v>
          </cell>
        </row>
        <row r="154">
          <cell r="C154" t="str">
            <v>M Van Gerven</v>
          </cell>
          <cell r="K154" t="str">
            <v>5105/003M Van Gerven</v>
          </cell>
        </row>
        <row r="155">
          <cell r="C155" t="str">
            <v>Member 4*******</v>
          </cell>
          <cell r="K155" t="str">
            <v>5105/004Member 4*******</v>
          </cell>
        </row>
        <row r="156">
          <cell r="C156" t="str">
            <v>SHARE PREMIUM</v>
          </cell>
          <cell r="K156" t="str">
            <v>5110/000SHARE PREMIUM</v>
          </cell>
        </row>
        <row r="157">
          <cell r="C157" t="str">
            <v>Share premium - Balance b/fwd</v>
          </cell>
          <cell r="K157" t="str">
            <v>5110/001Share premium - Balance b/fwd</v>
          </cell>
        </row>
        <row r="158">
          <cell r="C158" t="str">
            <v>Share premium - Additions</v>
          </cell>
          <cell r="K158" t="str">
            <v>5110/002Share premium - Additions</v>
          </cell>
        </row>
        <row r="159">
          <cell r="C159" t="str">
            <v>Share premium - transfer</v>
          </cell>
          <cell r="K159" t="str">
            <v>5110/003Share premium - transfer</v>
          </cell>
        </row>
        <row r="160">
          <cell r="C160" t="str">
            <v>VALUATION RESERVE</v>
          </cell>
          <cell r="K160" t="str">
            <v>5120/000VALUATION RESERVE</v>
          </cell>
        </row>
        <row r="161">
          <cell r="C161" t="str">
            <v>Valuation reserve - Balance b/fwd</v>
          </cell>
          <cell r="K161" t="str">
            <v>5120/001Valuation reserve - Balance b/fwd</v>
          </cell>
        </row>
        <row r="162">
          <cell r="C162" t="str">
            <v>Valuation reserve - Additions</v>
          </cell>
          <cell r="K162" t="str">
            <v>5120/002Valuation reserve - Additions</v>
          </cell>
        </row>
        <row r="163">
          <cell r="C163" t="str">
            <v>Valuation reserve - transfer to p/l</v>
          </cell>
          <cell r="K163" t="str">
            <v>5120/003Valuation reserve - transfer to p/l</v>
          </cell>
        </row>
        <row r="164">
          <cell r="C164" t="str">
            <v>OTHER RESERVES</v>
          </cell>
          <cell r="K164" t="str">
            <v>5130/000OTHER RESERVES</v>
          </cell>
        </row>
        <row r="165">
          <cell r="C165" t="str">
            <v>Other reserves - Balance B/fwd</v>
          </cell>
          <cell r="K165" t="str">
            <v>5130/001Other reserves - Balance B/fwd</v>
          </cell>
        </row>
        <row r="166">
          <cell r="C166" t="str">
            <v>Other reserves - Additions</v>
          </cell>
          <cell r="K166" t="str">
            <v>5130/002Other reserves - Additions</v>
          </cell>
        </row>
        <row r="167">
          <cell r="C167" t="str">
            <v>Other reserves - transfer</v>
          </cell>
          <cell r="K167" t="str">
            <v>5130/003Other reserves - transfer</v>
          </cell>
        </row>
        <row r="168">
          <cell r="C168" t="str">
            <v>Retained Income / (Accumulated Loss)</v>
          </cell>
          <cell r="K168" t="str">
            <v>5200/000Retained Income / (Accumulated Loss)</v>
          </cell>
        </row>
        <row r="169">
          <cell r="C169" t="str">
            <v>SHAREHOLDERS' LOANS</v>
          </cell>
          <cell r="K169" t="str">
            <v>5400/000SHAREHOLDERS' LOANS</v>
          </cell>
        </row>
        <row r="170">
          <cell r="C170" t="str">
            <v>Shareholder 1 *************</v>
          </cell>
          <cell r="K170" t="str">
            <v>5400/001Shareholder 1 *************</v>
          </cell>
        </row>
        <row r="171">
          <cell r="C171" t="str">
            <v>Shareholder 2 ***********</v>
          </cell>
          <cell r="K171" t="str">
            <v>5400/002Shareholder 2 ***********</v>
          </cell>
        </row>
        <row r="172">
          <cell r="C172" t="str">
            <v>Shareholder 3 ***********</v>
          </cell>
          <cell r="K172" t="str">
            <v>5400/003Shareholder 3 ***********</v>
          </cell>
        </row>
        <row r="173">
          <cell r="C173" t="str">
            <v>Shareholder 4 *********</v>
          </cell>
          <cell r="K173" t="str">
            <v>5400/004Shareholder 4 *********</v>
          </cell>
        </row>
        <row r="174">
          <cell r="C174" t="str">
            <v>Shareholder 5 *********</v>
          </cell>
          <cell r="K174" t="str">
            <v>5400/005Shareholder 5 *********</v>
          </cell>
        </row>
        <row r="175">
          <cell r="C175" t="str">
            <v>MEMBERS' LOANS</v>
          </cell>
          <cell r="K175" t="str">
            <v>5420/000MEMBERS' LOANS</v>
          </cell>
        </row>
        <row r="176">
          <cell r="C176" t="str">
            <v>Member 1 - balance b/fwd</v>
          </cell>
          <cell r="K176" t="str">
            <v>5420/010Member 1 - balance b/fwd</v>
          </cell>
        </row>
        <row r="177">
          <cell r="C177" t="str">
            <v>Member 1 - Advance/Repayment in year</v>
          </cell>
          <cell r="K177" t="str">
            <v>5420/011Member 1 - Advance/Repayment in year</v>
          </cell>
        </row>
        <row r="178">
          <cell r="C178" t="str">
            <v>Member 1 - Profits distributed</v>
          </cell>
          <cell r="K178" t="str">
            <v>5420/012Member 1 - Profits distributed</v>
          </cell>
        </row>
        <row r="179">
          <cell r="C179" t="str">
            <v>Member 2 - balance b/fwd</v>
          </cell>
          <cell r="K179" t="str">
            <v>5420/020Member 2 - balance b/fwd</v>
          </cell>
        </row>
        <row r="180">
          <cell r="C180" t="str">
            <v>Member 2 - Advance/Repayment in year</v>
          </cell>
          <cell r="K180" t="str">
            <v>5420/021Member 2 - Advance/Repayment in year</v>
          </cell>
        </row>
        <row r="181">
          <cell r="C181" t="str">
            <v>Member 2 - Profits distributed</v>
          </cell>
          <cell r="K181" t="str">
            <v>5420/022Member 2 - Profits distributed</v>
          </cell>
        </row>
        <row r="182">
          <cell r="C182" t="str">
            <v>Member 3 - balance b/fwd</v>
          </cell>
          <cell r="K182" t="str">
            <v>5420/030Member 3 - balance b/fwd</v>
          </cell>
        </row>
        <row r="183">
          <cell r="C183" t="str">
            <v>Member 3 - Advance/Repayment in year</v>
          </cell>
          <cell r="K183" t="str">
            <v>5420/031Member 3 - Advance/Repayment in year</v>
          </cell>
        </row>
        <row r="184">
          <cell r="C184" t="str">
            <v>Member 3 - Profits distributed</v>
          </cell>
          <cell r="K184" t="str">
            <v>5420/032Member 3 - Profits distributed</v>
          </cell>
        </row>
        <row r="185">
          <cell r="C185" t="str">
            <v>Member 4 - balance b/fwd</v>
          </cell>
          <cell r="K185" t="str">
            <v>5420/040Member 4 - balance b/fwd</v>
          </cell>
        </row>
        <row r="186">
          <cell r="C186" t="str">
            <v>Member 4 - Advance/Repayment in year</v>
          </cell>
          <cell r="K186" t="str">
            <v>5420/041Member 4 - Advance/Repayment in year</v>
          </cell>
        </row>
        <row r="187">
          <cell r="C187" t="str">
            <v>Member 4 - Profits distributed</v>
          </cell>
          <cell r="K187" t="str">
            <v>5420/042Member 4 - Profits distributed</v>
          </cell>
        </row>
        <row r="188">
          <cell r="C188" t="str">
            <v>DIRECTORS' LOANS</v>
          </cell>
          <cell r="K188" t="str">
            <v>5450/000DIRECTORS' LOANS</v>
          </cell>
        </row>
        <row r="189">
          <cell r="C189" t="str">
            <v>Director 1 **********</v>
          </cell>
          <cell r="K189" t="str">
            <v>5450/001Director 1 **********</v>
          </cell>
        </row>
        <row r="190">
          <cell r="C190" t="str">
            <v>Director 2 **********</v>
          </cell>
          <cell r="K190" t="str">
            <v>5450/002Director 2 **********</v>
          </cell>
        </row>
        <row r="191">
          <cell r="C191" t="str">
            <v>Director 3 *************</v>
          </cell>
          <cell r="K191" t="str">
            <v>5450/003Director 3 *************</v>
          </cell>
        </row>
        <row r="192">
          <cell r="C192" t="str">
            <v>Director 4 **************</v>
          </cell>
          <cell r="K192" t="str">
            <v>5450/004Director 4 **************</v>
          </cell>
        </row>
        <row r="193">
          <cell r="C193" t="str">
            <v>Director 5 **********</v>
          </cell>
          <cell r="K193" t="str">
            <v>5450/005Director 5 **********</v>
          </cell>
        </row>
        <row r="194">
          <cell r="C194" t="str">
            <v>BENEFICIARY LOANS</v>
          </cell>
          <cell r="K194" t="str">
            <v>5460/000BENEFICIARY LOANS</v>
          </cell>
        </row>
        <row r="195">
          <cell r="C195" t="str">
            <v>B/ficiary 1 - Balance B/fwd</v>
          </cell>
          <cell r="K195" t="str">
            <v>5460/001B/ficiary 1 - Balance B/fwd</v>
          </cell>
        </row>
        <row r="196">
          <cell r="C196" t="str">
            <v>B/ficiary 1 - Distribution in year</v>
          </cell>
          <cell r="K196" t="str">
            <v>5460/002B/ficiary 1 - Distribution in year</v>
          </cell>
        </row>
        <row r="197">
          <cell r="C197" t="str">
            <v>B/ficiary 2 - Balance B/fwd</v>
          </cell>
          <cell r="K197" t="str">
            <v>5460/005B/ficiary 2 - Balance B/fwd</v>
          </cell>
        </row>
        <row r="198">
          <cell r="C198" t="str">
            <v>B/ficiary 2 - Distribution in year</v>
          </cell>
          <cell r="K198" t="str">
            <v>5460/006B/ficiary 2 - Distribution in year</v>
          </cell>
        </row>
        <row r="199">
          <cell r="C199" t="str">
            <v>B/ficiary 3 - Balance B/fwd</v>
          </cell>
          <cell r="K199" t="str">
            <v>5460/010B/ficiary 3 - Balance B/fwd</v>
          </cell>
        </row>
        <row r="200">
          <cell r="C200" t="str">
            <v>B/ficiary 3 - Distribution in year</v>
          </cell>
          <cell r="K200" t="str">
            <v>5460/011B/ficiary 3 - Distribution in year</v>
          </cell>
        </row>
        <row r="201">
          <cell r="C201" t="str">
            <v>B/ficiary 4 - Balance B/fwd</v>
          </cell>
          <cell r="K201" t="str">
            <v>5460/015B/ficiary 4 - Balance B/fwd</v>
          </cell>
        </row>
        <row r="202">
          <cell r="C202" t="str">
            <v>B/ficiary 4 - Distribution in year</v>
          </cell>
          <cell r="K202" t="str">
            <v>5460/016B/ficiary 4 - Distribution in year</v>
          </cell>
        </row>
        <row r="203">
          <cell r="C203" t="str">
            <v>B/ficiary 5 - Balance B/fwd</v>
          </cell>
          <cell r="K203" t="str">
            <v>5460/015B/ficiary 5 - Balance B/fwd</v>
          </cell>
        </row>
        <row r="204">
          <cell r="C204" t="str">
            <v>B/ficiary 5 - Distribution in year</v>
          </cell>
          <cell r="K204" t="str">
            <v>5460/016B/ficiary 5 - Distribution in year</v>
          </cell>
        </row>
        <row r="205">
          <cell r="C205" t="str">
            <v>LONG TERM  INTEREST LIABILITIES</v>
          </cell>
          <cell r="K205" t="str">
            <v>5500/000LONG TERM  INTEREST LIABILITIES</v>
          </cell>
        </row>
        <row r="206">
          <cell r="C206" t="str">
            <v>Loan 1 ***********</v>
          </cell>
          <cell r="K206" t="str">
            <v>5500/001Loan 1 ***********</v>
          </cell>
        </row>
        <row r="207">
          <cell r="C207" t="str">
            <v>Loan 2 ***********</v>
          </cell>
          <cell r="K207" t="str">
            <v>5500/002Loan 2 ***********</v>
          </cell>
        </row>
        <row r="208">
          <cell r="C208" t="str">
            <v>Loan 3 *********</v>
          </cell>
          <cell r="K208" t="str">
            <v>5500/003Loan 3 *********</v>
          </cell>
        </row>
        <row r="209">
          <cell r="C209" t="str">
            <v>Loan 4 **********</v>
          </cell>
          <cell r="K209" t="str">
            <v>5500/004Loan 4 **********</v>
          </cell>
        </row>
        <row r="210">
          <cell r="C210" t="str">
            <v>Loan 5 *********</v>
          </cell>
          <cell r="K210" t="str">
            <v>5500/005Loan 5 *********</v>
          </cell>
        </row>
        <row r="211">
          <cell r="C211" t="str">
            <v>Short term portion of long term loans</v>
          </cell>
          <cell r="K211" t="str">
            <v>5520/000Short term portion of long term loans</v>
          </cell>
        </row>
        <row r="212">
          <cell r="C212" t="str">
            <v>LONG TERM INTEREST FREE LOANS</v>
          </cell>
          <cell r="K212" t="str">
            <v>5550/000LONG TERM INTEREST FREE LOANS</v>
          </cell>
        </row>
        <row r="213">
          <cell r="C213" t="str">
            <v>Otto Sand</v>
          </cell>
          <cell r="K213" t="str">
            <v>5550/001Otto Sand</v>
          </cell>
        </row>
        <row r="214">
          <cell r="C214" t="str">
            <v>Mr Sandman</v>
          </cell>
          <cell r="K214" t="str">
            <v>5550/002Mr Sandman</v>
          </cell>
        </row>
        <row r="215">
          <cell r="C215" t="str">
            <v>Interest free 3 ***********</v>
          </cell>
          <cell r="K215" t="str">
            <v>5550/003Interest free 3 ***********</v>
          </cell>
        </row>
        <row r="216">
          <cell r="C216" t="str">
            <v>Interest free 4 **********</v>
          </cell>
          <cell r="K216" t="str">
            <v>5550/004Interest free 4 **********</v>
          </cell>
        </row>
        <row r="217">
          <cell r="C217" t="str">
            <v>Interest free 5 *********</v>
          </cell>
          <cell r="K217" t="str">
            <v>5550/005Interest free 5 *********</v>
          </cell>
        </row>
        <row r="218">
          <cell r="C218" t="str">
            <v>INSTALLMENT SALE CREDITORS</v>
          </cell>
          <cell r="K218" t="str">
            <v>5600/000INSTALLMENT SALE CREDITORS</v>
          </cell>
        </row>
        <row r="219">
          <cell r="C219" t="str">
            <v>Stannic</v>
          </cell>
          <cell r="K219" t="str">
            <v>5600/001Stannic</v>
          </cell>
        </row>
        <row r="220">
          <cell r="C220" t="str">
            <v>ABSA - Komatsu Loader</v>
          </cell>
          <cell r="K220" t="str">
            <v>5600/002ABSA - Komatsu Loader</v>
          </cell>
        </row>
        <row r="221">
          <cell r="C221" t="str">
            <v>Standard Bank - 53477499</v>
          </cell>
          <cell r="K221" t="str">
            <v>5600/003Standard Bank - 53477499</v>
          </cell>
        </row>
        <row r="222">
          <cell r="C222" t="str">
            <v>Installment sale 4 **************</v>
          </cell>
          <cell r="K222" t="str">
            <v>5600/004Installment sale 4 **************</v>
          </cell>
        </row>
        <row r="223">
          <cell r="C223" t="str">
            <v>Installment sale 5 **************</v>
          </cell>
          <cell r="K223" t="str">
            <v>5600/005Installment sale 5 **************</v>
          </cell>
        </row>
        <row r="224">
          <cell r="C224" t="str">
            <v>DEFERRED TAX</v>
          </cell>
          <cell r="K224" t="str">
            <v>5700/000DEFERRED TAX</v>
          </cell>
        </row>
        <row r="225">
          <cell r="C225" t="str">
            <v>Deferred tax balance b/fwd</v>
          </cell>
          <cell r="K225" t="str">
            <v>5700/010Deferred tax balance b/fwd</v>
          </cell>
        </row>
        <row r="226">
          <cell r="C226" t="str">
            <v>Deferred tax on depreciation for year</v>
          </cell>
          <cell r="K226" t="str">
            <v>5700/011Deferred tax on depreciation for year</v>
          </cell>
        </row>
        <row r="227">
          <cell r="C227" t="str">
            <v>Deferred tax on tax loss for year</v>
          </cell>
          <cell r="K227" t="str">
            <v>5700/012Deferred tax on tax loss for year</v>
          </cell>
        </row>
        <row r="228">
          <cell r="C228" t="str">
            <v>Deferred tax adjustment previous year</v>
          </cell>
          <cell r="K228" t="str">
            <v>5700/013Deferred tax adjustment previous year</v>
          </cell>
        </row>
        <row r="229">
          <cell r="C229" t="str">
            <v>LAND &amp; BUILDINGS - COST</v>
          </cell>
          <cell r="K229" t="str">
            <v>6100/000LAND &amp; BUILDINGS - COST</v>
          </cell>
        </row>
        <row r="230">
          <cell r="C230" t="str">
            <v>Land_Buildings - Cost B/fwd</v>
          </cell>
          <cell r="K230" t="str">
            <v>6100/001Land_Buildings - Cost B/fwd</v>
          </cell>
        </row>
        <row r="231">
          <cell r="C231" t="str">
            <v>Land_Buildings - Additions</v>
          </cell>
          <cell r="K231" t="str">
            <v>6100/002Land_Buildings - Additions</v>
          </cell>
        </row>
        <row r="232">
          <cell r="C232" t="str">
            <v>Land_Buildings - Cost of sales</v>
          </cell>
          <cell r="K232" t="str">
            <v>6100/003Land_Buildings - Cost of sales</v>
          </cell>
        </row>
        <row r="233">
          <cell r="C233" t="str">
            <v>LAND &amp; BUILDINGS - ACC DEPR</v>
          </cell>
          <cell r="K233" t="str">
            <v>6100/020LAND &amp; BUILDINGS - ACC DEPR</v>
          </cell>
        </row>
        <row r="234">
          <cell r="C234" t="str">
            <v>Land &amp; Buildings - Acc depr B/fwd</v>
          </cell>
          <cell r="K234" t="str">
            <v>6100/021Land &amp; Buildings - Acc depr B/fwd</v>
          </cell>
        </row>
        <row r="235">
          <cell r="C235" t="str">
            <v>Land &amp; Buildings - Acc depr this year</v>
          </cell>
          <cell r="K235" t="str">
            <v>6100/022Land &amp; Buildings - Acc depr this year</v>
          </cell>
        </row>
        <row r="236">
          <cell r="C236" t="str">
            <v>Land &amp; Buildings - Acc depr on sales</v>
          </cell>
          <cell r="K236" t="str">
            <v>6100/023Land &amp; Buildings - Acc depr on sales</v>
          </cell>
        </row>
        <row r="237">
          <cell r="C237" t="str">
            <v>PLANT &amp; MACHINERY - COST</v>
          </cell>
          <cell r="K237" t="str">
            <v>6150/000PLANT &amp; MACHINERY - COST</v>
          </cell>
        </row>
        <row r="238">
          <cell r="C238" t="str">
            <v>Plant &amp; machinery - cost b/fwd</v>
          </cell>
          <cell r="K238" t="str">
            <v>6150/001Plant &amp; machinery - cost b/fwd</v>
          </cell>
        </row>
        <row r="239">
          <cell r="C239" t="str">
            <v>Plant &amp; machinery - Additions</v>
          </cell>
          <cell r="K239" t="str">
            <v>6150/002Plant &amp; machinery - Additions</v>
          </cell>
        </row>
        <row r="240">
          <cell r="C240" t="str">
            <v>Plant &amp; machinery - Cost of sales</v>
          </cell>
          <cell r="K240" t="str">
            <v>6150/003Plant &amp; machinery - Cost of sales</v>
          </cell>
        </row>
        <row r="241">
          <cell r="C241" t="str">
            <v>PLANT &amp; MACHINERY - ACC DEPR</v>
          </cell>
          <cell r="K241" t="str">
            <v>6150/020PLANT &amp; MACHINERY - ACC DEPR</v>
          </cell>
        </row>
        <row r="242">
          <cell r="C242" t="str">
            <v>Plant &amp; Machinery - Acc depr b/fwd</v>
          </cell>
          <cell r="K242" t="str">
            <v>6150/021Plant &amp; Machinery - Acc depr b/fwd</v>
          </cell>
        </row>
        <row r="243">
          <cell r="C243" t="str">
            <v>Plant &amp; machinery - depr this year</v>
          </cell>
          <cell r="K243" t="str">
            <v>6150/022Plant &amp; machinery - depr this year</v>
          </cell>
        </row>
        <row r="244">
          <cell r="C244" t="str">
            <v>Plant &amp; machinery - acc depr on sales</v>
          </cell>
          <cell r="K244" t="str">
            <v>6150/023Plant &amp; machinery - acc depr on sales</v>
          </cell>
        </row>
        <row r="245">
          <cell r="C245" t="str">
            <v>MOTOR VEHICLES - COST</v>
          </cell>
          <cell r="K245" t="str">
            <v>6200/000MOTOR VEHICLES - COST</v>
          </cell>
        </row>
        <row r="246">
          <cell r="C246" t="str">
            <v>Motor Vehicles - Cost B/fwd</v>
          </cell>
          <cell r="K246" t="str">
            <v>6200/001Motor Vehicles - Cost B/fwd</v>
          </cell>
        </row>
        <row r="247">
          <cell r="C247" t="str">
            <v>Motor Vehicles - Additions</v>
          </cell>
          <cell r="K247" t="str">
            <v>6200/002Motor Vehicles - Additions</v>
          </cell>
        </row>
        <row r="248">
          <cell r="C248" t="str">
            <v>Motor Vehicles - Cost of sales</v>
          </cell>
          <cell r="K248" t="str">
            <v>6200/003Motor Vehicles - Cost of sales</v>
          </cell>
        </row>
        <row r="249">
          <cell r="C249" t="str">
            <v>MOTOR VEHICLES - ACC DEPR</v>
          </cell>
          <cell r="K249" t="str">
            <v>6200/020MOTOR VEHICLES - ACC DEPR</v>
          </cell>
        </row>
        <row r="250">
          <cell r="C250" t="str">
            <v>Motor vehicles - Acc depr b/fwd</v>
          </cell>
          <cell r="K250" t="str">
            <v>6200/021Motor vehicles - Acc depr b/fwd</v>
          </cell>
        </row>
        <row r="251">
          <cell r="C251" t="str">
            <v>Motor vehicles - Depr this year</v>
          </cell>
          <cell r="K251" t="str">
            <v>6200/022Motor vehicles - Depr this year</v>
          </cell>
        </row>
        <row r="252">
          <cell r="C252" t="str">
            <v>Motor vehicles - Acc depr on sales</v>
          </cell>
          <cell r="K252" t="str">
            <v>6200/023Motor vehicles - Acc depr on sales</v>
          </cell>
        </row>
        <row r="253">
          <cell r="C253" t="str">
            <v>ELECTRONIC EQUIPMENT - COST</v>
          </cell>
          <cell r="K253" t="str">
            <v>6250/000ELECTRONIC EQUIPMENT - COST</v>
          </cell>
        </row>
        <row r="254">
          <cell r="C254" t="str">
            <v>Electronic equipment - Cost b/fwd</v>
          </cell>
          <cell r="K254" t="str">
            <v>6250/001Electronic equipment - Cost b/fwd</v>
          </cell>
        </row>
        <row r="255">
          <cell r="C255" t="str">
            <v>Electronic equipment - Additions</v>
          </cell>
          <cell r="K255" t="str">
            <v>6250/002Electronic equipment - Additions</v>
          </cell>
        </row>
        <row r="256">
          <cell r="C256" t="str">
            <v>Electronic equipment - Cost of sales</v>
          </cell>
          <cell r="K256" t="str">
            <v>6250/003Electronic equipment - Cost of sales</v>
          </cell>
        </row>
        <row r="257">
          <cell r="C257" t="str">
            <v>ELECTRONIC EQUIPMENT - ACC DEPR</v>
          </cell>
          <cell r="K257" t="str">
            <v>6250/020ELECTRONIC EQUIPMENT - ACC DEPR</v>
          </cell>
        </row>
        <row r="258">
          <cell r="C258" t="str">
            <v>Electronic equipment - Acc depr B/fwd</v>
          </cell>
          <cell r="K258" t="str">
            <v>6250/021Electronic equipment - Acc depr B/fwd</v>
          </cell>
        </row>
        <row r="259">
          <cell r="C259" t="str">
            <v>Electronic equipment - Depr this year</v>
          </cell>
          <cell r="K259" t="str">
            <v>6250/022Electronic equipment - Depr this year</v>
          </cell>
        </row>
        <row r="260">
          <cell r="C260" t="str">
            <v>Electronic equipment - Acc depr on sales</v>
          </cell>
          <cell r="K260" t="str">
            <v>6250/023Electronic equipment - Acc depr on sales</v>
          </cell>
        </row>
        <row r="261">
          <cell r="C261" t="str">
            <v>OFFICE EQUIPMENT - COST</v>
          </cell>
          <cell r="K261" t="str">
            <v>6300/000OFFICE EQUIPMENT - COST</v>
          </cell>
        </row>
        <row r="262">
          <cell r="C262" t="str">
            <v>Office Equipment - Cost B/fwd</v>
          </cell>
          <cell r="K262" t="str">
            <v>6300/001Office Equipment - Cost B/fwd</v>
          </cell>
        </row>
        <row r="263">
          <cell r="C263" t="str">
            <v>Office Equipment - Additions</v>
          </cell>
          <cell r="K263" t="str">
            <v>6300/002Office Equipment - Additions</v>
          </cell>
        </row>
        <row r="264">
          <cell r="C264" t="str">
            <v>Office Equipment - Cost of sales</v>
          </cell>
          <cell r="K264" t="str">
            <v>6300/003Office Equipment - Cost of sales</v>
          </cell>
        </row>
        <row r="265">
          <cell r="C265" t="str">
            <v>OFFICE EQUIPMENT - ACC DEPR</v>
          </cell>
          <cell r="K265" t="str">
            <v>6300/020OFFICE EQUIPMENT - ACC DEPR</v>
          </cell>
        </row>
        <row r="266">
          <cell r="C266" t="str">
            <v>Office equipment - Acc depr B/fwd</v>
          </cell>
          <cell r="K266" t="str">
            <v>6300/021Office equipment - Acc depr B/fwd</v>
          </cell>
        </row>
        <row r="267">
          <cell r="C267" t="str">
            <v>Office equipment - Depr this year</v>
          </cell>
          <cell r="K267" t="str">
            <v>6300/022Office equipment - Depr this year</v>
          </cell>
        </row>
        <row r="268">
          <cell r="C268" t="str">
            <v>Office equipment - Acc depr on sales</v>
          </cell>
          <cell r="K268" t="str">
            <v>6300/023Office equipment - Acc depr on sales</v>
          </cell>
        </row>
        <row r="269">
          <cell r="C269" t="str">
            <v>FURNITURE &amp; FITTINGS - COST</v>
          </cell>
          <cell r="K269" t="str">
            <v>6350/000FURNITURE &amp; FITTINGS - COST</v>
          </cell>
        </row>
        <row r="270">
          <cell r="C270" t="str">
            <v>Furniture &amp; fittings - Cost B/fwd</v>
          </cell>
          <cell r="K270" t="str">
            <v>6350/001Furniture &amp; fittings - Cost B/fwd</v>
          </cell>
        </row>
        <row r="271">
          <cell r="C271" t="str">
            <v>Furniture &amp; fittings - Additions</v>
          </cell>
          <cell r="K271" t="str">
            <v>6350/002Furniture &amp; fittings - Additions</v>
          </cell>
        </row>
        <row r="272">
          <cell r="C272" t="str">
            <v>Furniture &amp; fittings - Cost of sales</v>
          </cell>
          <cell r="K272" t="str">
            <v>6350/003Furniture &amp; fittings - Cost of sales</v>
          </cell>
        </row>
        <row r="273">
          <cell r="C273" t="str">
            <v>FURNITURE &amp; FITTINGS - ACC DEPR</v>
          </cell>
          <cell r="K273" t="str">
            <v>6350/020FURNITURE &amp; FITTINGS - ACC DEPR</v>
          </cell>
        </row>
        <row r="274">
          <cell r="C274" t="str">
            <v>Furniture &amp; fittings - Acc depr B/fwd</v>
          </cell>
          <cell r="K274" t="str">
            <v>6350/021Furniture &amp; fittings - Acc depr B/fwd</v>
          </cell>
        </row>
        <row r="275">
          <cell r="C275" t="str">
            <v>Furniture &amp; fittings - Depr this year</v>
          </cell>
          <cell r="K275" t="str">
            <v>6350/022Furniture &amp; fittings - Depr this year</v>
          </cell>
        </row>
        <row r="276">
          <cell r="C276" t="str">
            <v>Furniture &amp; fittings - Acc depr on sales</v>
          </cell>
          <cell r="K276" t="str">
            <v>6350/023Furniture &amp; fittings - Acc depr on sales</v>
          </cell>
        </row>
        <row r="277">
          <cell r="C277" t="str">
            <v>OTHER FIXED ASSETS  - COST</v>
          </cell>
          <cell r="K277" t="str">
            <v>6600/000OTHER FIXED ASSETS  - COST</v>
          </cell>
        </row>
        <row r="278">
          <cell r="C278" t="str">
            <v>Other fixed assets - Cost B/fwd</v>
          </cell>
          <cell r="K278" t="str">
            <v>6600/001Other fixed assets - Cost B/fwd</v>
          </cell>
        </row>
        <row r="279">
          <cell r="C279" t="str">
            <v>Other fixed assets - Additions</v>
          </cell>
          <cell r="K279" t="str">
            <v>6600/002Other fixed assets - Additions</v>
          </cell>
        </row>
        <row r="280">
          <cell r="C280" t="str">
            <v>Other fixed assets - Cost of sales</v>
          </cell>
          <cell r="K280" t="str">
            <v>6600/003Other fixed assets - Cost of sales</v>
          </cell>
        </row>
        <row r="281">
          <cell r="C281" t="str">
            <v>OTHER FIXED ASSETS - ACC DEPR</v>
          </cell>
          <cell r="K281" t="str">
            <v>6600/020OTHER FIXED ASSETS - ACC DEPR</v>
          </cell>
        </row>
        <row r="282">
          <cell r="C282" t="str">
            <v>Other fixed assets - Acc depr b/fwd</v>
          </cell>
          <cell r="K282" t="str">
            <v>6600/021Other fixed assets - Acc depr b/fwd</v>
          </cell>
        </row>
        <row r="283">
          <cell r="C283" t="str">
            <v>Other fixed assets - Depr this year</v>
          </cell>
          <cell r="K283" t="str">
            <v>6600/022Other fixed assets - Depr this year</v>
          </cell>
        </row>
        <row r="284">
          <cell r="C284" t="str">
            <v>Other fixed assets - Acc depr on sales</v>
          </cell>
          <cell r="K284" t="str">
            <v>6600/023Other fixed assets - Acc depr on sales</v>
          </cell>
        </row>
        <row r="285">
          <cell r="C285" t="str">
            <v>GOODWILL/INTANGIBLE ASSETS</v>
          </cell>
          <cell r="K285" t="str">
            <v>7000/000GOODWILL/INTANGIBLE ASSETS</v>
          </cell>
        </row>
        <row r="286">
          <cell r="C286" t="str">
            <v>Goodwill Cost</v>
          </cell>
          <cell r="K286" t="str">
            <v>7000/010Goodwill Cost</v>
          </cell>
        </row>
        <row r="287">
          <cell r="C287" t="str">
            <v>Goodwill - surplus on revaluation</v>
          </cell>
          <cell r="K287" t="str">
            <v>7000/015Goodwill - surplus on revaluation</v>
          </cell>
        </row>
        <row r="288">
          <cell r="C288" t="str">
            <v>Goodwill - write down this year</v>
          </cell>
          <cell r="K288" t="str">
            <v>7000/020Goodwill - write down this year</v>
          </cell>
        </row>
        <row r="289">
          <cell r="C289" t="str">
            <v>Goodwill - write down last year</v>
          </cell>
          <cell r="K289" t="str">
            <v>7000/025Goodwill - write down last year</v>
          </cell>
        </row>
        <row r="290">
          <cell r="C290" t="str">
            <v>INVESTMENTS</v>
          </cell>
          <cell r="K290" t="str">
            <v>7100/000INVESTMENTS</v>
          </cell>
        </row>
        <row r="291">
          <cell r="C291" t="str">
            <v>LISTED INVESTMENTS</v>
          </cell>
          <cell r="K291" t="str">
            <v>7100/100LISTED INVESTMENTS</v>
          </cell>
        </row>
        <row r="292">
          <cell r="C292" t="str">
            <v>Listed 1 ************</v>
          </cell>
          <cell r="K292" t="str">
            <v>7100/101Listed 1 ************</v>
          </cell>
        </row>
        <row r="293">
          <cell r="C293" t="str">
            <v>Listed 2 *************</v>
          </cell>
          <cell r="K293" t="str">
            <v>7100/102Listed 2 *************</v>
          </cell>
        </row>
        <row r="294">
          <cell r="C294" t="str">
            <v>Listed 3 ***************</v>
          </cell>
          <cell r="K294" t="str">
            <v>7100/103Listed 3 ***************</v>
          </cell>
        </row>
        <row r="295">
          <cell r="C295" t="str">
            <v>Listed 4 ************</v>
          </cell>
          <cell r="K295" t="str">
            <v>7100/104Listed 4 ************</v>
          </cell>
        </row>
        <row r="296">
          <cell r="C296" t="str">
            <v>Listed 5 ************</v>
          </cell>
          <cell r="K296" t="str">
            <v>7100/105Listed 5 ************</v>
          </cell>
        </row>
        <row r="297">
          <cell r="C297" t="str">
            <v>OTHER INVESTMENTS</v>
          </cell>
          <cell r="K297" t="str">
            <v>7100/200OTHER INVESTMENTS</v>
          </cell>
        </row>
        <row r="298">
          <cell r="C298" t="str">
            <v>Other investment 1 ************</v>
          </cell>
          <cell r="K298" t="str">
            <v>7100/201Other investment 1 ************</v>
          </cell>
        </row>
        <row r="299">
          <cell r="C299" t="str">
            <v>Other investment 2 ************</v>
          </cell>
          <cell r="K299" t="str">
            <v>7100/202Other investment 2 ************</v>
          </cell>
        </row>
        <row r="300">
          <cell r="C300" t="str">
            <v>Other investment 3 ************</v>
          </cell>
          <cell r="K300" t="str">
            <v>7100/203Other investment 3 ************</v>
          </cell>
        </row>
        <row r="301">
          <cell r="C301" t="str">
            <v>Other investment 4 ************</v>
          </cell>
          <cell r="K301" t="str">
            <v>7100/204Other investment 4 ************</v>
          </cell>
        </row>
        <row r="302">
          <cell r="C302" t="str">
            <v>Other investment 5 *************</v>
          </cell>
          <cell r="K302" t="str">
            <v>7100/205Other investment 5 *************</v>
          </cell>
        </row>
        <row r="303">
          <cell r="C303" t="str">
            <v>SHARES IN SUBSIDIARY COMPANIES</v>
          </cell>
          <cell r="K303" t="str">
            <v>7200/000SHARES IN SUBSIDIARY COMPANIES</v>
          </cell>
        </row>
        <row r="304">
          <cell r="C304" t="str">
            <v>Subsidiary 1 ***********</v>
          </cell>
          <cell r="K304" t="str">
            <v>7200/001Subsidiary 1 ***********</v>
          </cell>
        </row>
        <row r="305">
          <cell r="C305" t="str">
            <v>Subsidiary 2 **************</v>
          </cell>
          <cell r="K305" t="str">
            <v>7200/002Subsidiary 2 **************</v>
          </cell>
        </row>
        <row r="306">
          <cell r="C306" t="str">
            <v>LOANS SUBSIDIARY CO'S</v>
          </cell>
          <cell r="K306" t="str">
            <v>7400/000LOANS SUBSIDIARY CO'S</v>
          </cell>
        </row>
        <row r="307">
          <cell r="C307" t="str">
            <v>Subsidiary 1 **********</v>
          </cell>
          <cell r="K307" t="str">
            <v>7400/001Subsidiary 1 **********</v>
          </cell>
        </row>
        <row r="308">
          <cell r="C308" t="str">
            <v>Subsidiary 2 **********</v>
          </cell>
          <cell r="K308" t="str">
            <v>7400/002Subsidiary 2 **********</v>
          </cell>
        </row>
        <row r="309">
          <cell r="C309" t="str">
            <v>CONNECTED COMPANIES</v>
          </cell>
          <cell r="K309" t="str">
            <v>7450/000CONNECTED COMPANIES</v>
          </cell>
        </row>
        <row r="310">
          <cell r="C310" t="str">
            <v>Connected co 1 **********</v>
          </cell>
          <cell r="K310" t="str">
            <v>7450/001Connected co 1 **********</v>
          </cell>
        </row>
        <row r="311">
          <cell r="C311" t="str">
            <v>Connected co 2 **********</v>
          </cell>
          <cell r="K311" t="str">
            <v>7450/002Connected co 2 **********</v>
          </cell>
        </row>
        <row r="312">
          <cell r="C312" t="str">
            <v>Connected co 3 **********</v>
          </cell>
          <cell r="K312" t="str">
            <v>7450/003Connected co 3 **********</v>
          </cell>
        </row>
        <row r="313">
          <cell r="C313" t="str">
            <v>Connected co 4 ***********</v>
          </cell>
          <cell r="K313" t="str">
            <v>7450/004Connected co 4 ***********</v>
          </cell>
        </row>
        <row r="314">
          <cell r="C314" t="str">
            <v>Connected co 5 ***********</v>
          </cell>
          <cell r="K314" t="str">
            <v>7450/005Connected co 5 ***********</v>
          </cell>
        </row>
        <row r="315">
          <cell r="C315" t="str">
            <v>OTHER NON CURRENT RECEIVABLES</v>
          </cell>
          <cell r="K315" t="str">
            <v>7460/000OTHER NON CURRENT RECEIVABLES</v>
          </cell>
        </row>
        <row r="316">
          <cell r="K316" t="str">
            <v>7460/001</v>
          </cell>
        </row>
        <row r="317">
          <cell r="K317" t="str">
            <v>7460/002</v>
          </cell>
        </row>
        <row r="318">
          <cell r="C318" t="str">
            <v>Interest free 3 ***********</v>
          </cell>
          <cell r="K318" t="str">
            <v>7460/003Interest free 3 ***********</v>
          </cell>
        </row>
        <row r="319">
          <cell r="C319" t="str">
            <v>Interest bearing 1 ***********</v>
          </cell>
          <cell r="K319" t="str">
            <v>7460/006Interest bearing 1 ***********</v>
          </cell>
        </row>
        <row r="320">
          <cell r="C320" t="str">
            <v>Interest bearing 2 ***********</v>
          </cell>
          <cell r="K320" t="str">
            <v>7460/007Interest bearing 2 ***********</v>
          </cell>
        </row>
        <row r="321">
          <cell r="C321" t="str">
            <v>INVENTORY</v>
          </cell>
          <cell r="K321" t="str">
            <v>7500/000INVENTORY</v>
          </cell>
        </row>
        <row r="322">
          <cell r="C322" t="str">
            <v>Raw materials</v>
          </cell>
          <cell r="K322" t="str">
            <v>7500/001Raw materials</v>
          </cell>
        </row>
        <row r="323">
          <cell r="C323" t="str">
            <v>Work in progress</v>
          </cell>
          <cell r="K323" t="str">
            <v>7500/002Work in progress</v>
          </cell>
        </row>
        <row r="324">
          <cell r="C324" t="str">
            <v>Finished goods</v>
          </cell>
          <cell r="K324" t="str">
            <v>7500/003Finished goods</v>
          </cell>
        </row>
        <row r="325">
          <cell r="C325" t="str">
            <v>Trading stock</v>
          </cell>
          <cell r="K325" t="str">
            <v>7500/004Trading stock</v>
          </cell>
        </row>
        <row r="326">
          <cell r="C326" t="str">
            <v>----------------------------------------</v>
          </cell>
          <cell r="K326" t="str">
            <v>7700/000----------------------------------------</v>
          </cell>
        </row>
        <row r="327">
          <cell r="C327" t="str">
            <v>DEBTORS</v>
          </cell>
          <cell r="K327" t="str">
            <v>8000/000DEBTORS</v>
          </cell>
        </row>
        <row r="328">
          <cell r="C328" t="str">
            <v>Trade debtors</v>
          </cell>
          <cell r="K328" t="str">
            <v>8010/000Trade debtors</v>
          </cell>
        </row>
        <row r="329">
          <cell r="C329" t="str">
            <v>Service deposits</v>
          </cell>
          <cell r="K329" t="str">
            <v>8020/000Service deposits</v>
          </cell>
        </row>
        <row r="330">
          <cell r="C330" t="str">
            <v>Less: Provision For Doubtful Debts</v>
          </cell>
          <cell r="K330" t="str">
            <v>8050/000Less: Provision For Doubtful Debts</v>
          </cell>
        </row>
        <row r="331">
          <cell r="C331" t="str">
            <v>----------------------------------------</v>
          </cell>
          <cell r="K331" t="str">
            <v>8100/000----------------------------------------</v>
          </cell>
        </row>
        <row r="332">
          <cell r="C332" t="str">
            <v>Sundry Customers</v>
          </cell>
          <cell r="K332" t="str">
            <v>8200/000Sundry Customers</v>
          </cell>
        </row>
        <row r="333">
          <cell r="C333" t="str">
            <v>Prepayments</v>
          </cell>
          <cell r="K333" t="str">
            <v>8200/010Prepayments</v>
          </cell>
        </row>
        <row r="334">
          <cell r="C334" t="str">
            <v>Staff Loans</v>
          </cell>
          <cell r="K334" t="str">
            <v>8200/020Staff Loans</v>
          </cell>
        </row>
        <row r="335">
          <cell r="C335" t="str">
            <v>BANK ACCOUNTS</v>
          </cell>
          <cell r="K335" t="str">
            <v>8400/000BANK ACCOUNTS</v>
          </cell>
        </row>
        <row r="336">
          <cell r="C336" t="str">
            <v>ABSA Bank - Current</v>
          </cell>
          <cell r="K336" t="str">
            <v>8410/000ABSA Bank - Current</v>
          </cell>
        </row>
        <row r="337">
          <cell r="C337" t="str">
            <v>ABSA Bank - Money Market</v>
          </cell>
          <cell r="K337" t="str">
            <v>8420/000ABSA Bank - Money Market</v>
          </cell>
        </row>
        <row r="338">
          <cell r="C338" t="str">
            <v>Bank account 3 **********</v>
          </cell>
          <cell r="K338" t="str">
            <v>8430/000Bank account 3 **********</v>
          </cell>
        </row>
        <row r="339">
          <cell r="C339" t="str">
            <v>Bank account 4 **********</v>
          </cell>
          <cell r="K339" t="str">
            <v>8440/000Bank account 4 **********</v>
          </cell>
        </row>
        <row r="340">
          <cell r="C340" t="str">
            <v>Bank account 5 **********</v>
          </cell>
          <cell r="K340" t="str">
            <v>8450/000Bank account 5 **********</v>
          </cell>
        </row>
        <row r="341">
          <cell r="C341" t="str">
            <v>Bank account 6 ***********</v>
          </cell>
          <cell r="K341" t="str">
            <v>8460/000Bank account 6 ***********</v>
          </cell>
        </row>
        <row r="342">
          <cell r="C342" t="str">
            <v>Cash on hand</v>
          </cell>
          <cell r="K342" t="str">
            <v>8500/000Cash on hand</v>
          </cell>
        </row>
        <row r="343">
          <cell r="C343" t="str">
            <v>Petty Cash</v>
          </cell>
          <cell r="K343" t="str">
            <v>8550/000Petty Cash</v>
          </cell>
        </row>
        <row r="344">
          <cell r="C344" t="str">
            <v>SHORT TERM LOANS</v>
          </cell>
          <cell r="K344" t="str">
            <v>8900/000SHORT TERM LOANS</v>
          </cell>
        </row>
        <row r="345">
          <cell r="C345" t="str">
            <v>Sandman</v>
          </cell>
          <cell r="K345" t="str">
            <v>8900/001Sandman</v>
          </cell>
        </row>
        <row r="346">
          <cell r="C346" t="str">
            <v>Short term 2 *******</v>
          </cell>
          <cell r="K346" t="str">
            <v>8900/002Short term 2 *******</v>
          </cell>
        </row>
        <row r="347">
          <cell r="C347" t="str">
            <v>Short term 3 *********</v>
          </cell>
          <cell r="K347" t="str">
            <v>8900/003Short term 3 *********</v>
          </cell>
        </row>
        <row r="348">
          <cell r="C348" t="str">
            <v>Short term portion of long term loans</v>
          </cell>
          <cell r="K348" t="str">
            <v>8900/004Short term portion of long term loans</v>
          </cell>
        </row>
        <row r="349">
          <cell r="C349" t="str">
            <v>CREDITORS</v>
          </cell>
          <cell r="K349" t="str">
            <v>9000/000CREDITORS</v>
          </cell>
        </row>
        <row r="350">
          <cell r="C350" t="str">
            <v>Trade creditors</v>
          </cell>
          <cell r="K350" t="str">
            <v>9010/000Trade creditors</v>
          </cell>
        </row>
        <row r="351">
          <cell r="C351" t="str">
            <v>----------------------------------------</v>
          </cell>
          <cell r="K351" t="str">
            <v>9100/000----------------------------------------</v>
          </cell>
        </row>
        <row r="352">
          <cell r="C352" t="str">
            <v>Sundry Suppliers</v>
          </cell>
          <cell r="K352" t="str">
            <v>9200/000Sundry Suppliers</v>
          </cell>
        </row>
        <row r="353">
          <cell r="C353" t="str">
            <v>Accounting / Audit Fee Accrual</v>
          </cell>
          <cell r="K353" t="str">
            <v>9200/010Accounting / Audit Fee Accrual</v>
          </cell>
        </row>
        <row r="354">
          <cell r="C354" t="str">
            <v>Other Accruals</v>
          </cell>
          <cell r="K354" t="str">
            <v>9200/020Other Accruals</v>
          </cell>
        </row>
        <row r="355">
          <cell r="C355" t="str">
            <v>Salary &amp; Wages Control</v>
          </cell>
          <cell r="K355" t="str">
            <v>9250/000Salary &amp; Wages Control</v>
          </cell>
        </row>
        <row r="356">
          <cell r="C356" t="str">
            <v>TAXATION</v>
          </cell>
          <cell r="K356" t="str">
            <v>9300/000TAXATION</v>
          </cell>
        </row>
        <row r="357">
          <cell r="C357" t="str">
            <v>Balance b/fwd</v>
          </cell>
          <cell r="K357" t="str">
            <v>9300/010Balance b/fwd</v>
          </cell>
        </row>
        <row r="358">
          <cell r="C358" t="str">
            <v>Tax provision this year</v>
          </cell>
          <cell r="K358" t="str">
            <v>9300/020Tax provision this year</v>
          </cell>
        </row>
        <row r="359">
          <cell r="C359" t="str">
            <v>Over-/Underprovision previous year</v>
          </cell>
          <cell r="K359" t="str">
            <v>9300/030Over-/Underprovision previous year</v>
          </cell>
        </row>
        <row r="360">
          <cell r="C360" t="str">
            <v>Tax paid for previous year provisions</v>
          </cell>
          <cell r="K360" t="str">
            <v>9300/040Tax paid for previous year provisions</v>
          </cell>
        </row>
        <row r="361">
          <cell r="C361" t="str">
            <v>1st Provisional Paid</v>
          </cell>
          <cell r="K361" t="str">
            <v>9300/0501st Provisional Paid</v>
          </cell>
        </row>
        <row r="362">
          <cell r="C362" t="str">
            <v>2nd Provisional Paid</v>
          </cell>
          <cell r="K362" t="str">
            <v>9300/0602nd Provisional Paid</v>
          </cell>
        </row>
        <row r="363">
          <cell r="C363" t="str">
            <v>3rd Provisional paid</v>
          </cell>
          <cell r="K363" t="str">
            <v>9300/0703rd Provisional paid</v>
          </cell>
        </row>
        <row r="364">
          <cell r="C364" t="str">
            <v>STC paid for last year provision</v>
          </cell>
          <cell r="K364" t="str">
            <v>9300/080STC paid for last year provision</v>
          </cell>
        </row>
        <row r="365">
          <cell r="C365" t="str">
            <v>STC Provision this year</v>
          </cell>
          <cell r="K365" t="str">
            <v>9300/090STC Provision this year</v>
          </cell>
        </row>
        <row r="366">
          <cell r="C366" t="str">
            <v>Tax paid on Foreign Dividends</v>
          </cell>
          <cell r="K366" t="str">
            <v>9300/100Tax paid on Foreign Dividends</v>
          </cell>
        </row>
        <row r="367">
          <cell r="C367" t="str">
            <v>Dividends Payable</v>
          </cell>
          <cell r="K367" t="str">
            <v>9350/000Dividends Payable</v>
          </cell>
        </row>
        <row r="368">
          <cell r="C368" t="str">
            <v>Provision for Future Expenses</v>
          </cell>
          <cell r="K368" t="str">
            <v>9400/000Provision for Future Expenses</v>
          </cell>
        </row>
        <row r="369">
          <cell r="C369" t="str">
            <v>Provision for Insurance</v>
          </cell>
          <cell r="K369" t="str">
            <v>9400/010Provision for Insurance</v>
          </cell>
        </row>
        <row r="370">
          <cell r="C370" t="str">
            <v>Provision for Salary Bonus</v>
          </cell>
          <cell r="K370" t="str">
            <v>9400/020Provision for Salary Bonus</v>
          </cell>
        </row>
        <row r="371">
          <cell r="C371" t="str">
            <v>VALUE ADDED TAX</v>
          </cell>
          <cell r="K371" t="str">
            <v>9500/000VALUE ADDED TAX</v>
          </cell>
        </row>
        <row r="372">
          <cell r="C372" t="str">
            <v>VAT account</v>
          </cell>
          <cell r="K372" t="str">
            <v>9501/000VAT account</v>
          </cell>
        </row>
        <row r="373">
          <cell r="C373" t="str">
            <v>----------------------------------------</v>
          </cell>
          <cell r="K373" t="str">
            <v>9510/000----------------------------------------</v>
          </cell>
        </row>
        <row r="374">
          <cell r="C374" t="str">
            <v>Opening Balance / Suspense Account</v>
          </cell>
          <cell r="K374" t="str">
            <v>9990/000Opening Balance / Suspense Account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"/>
      <sheetName val="FS"/>
      <sheetName val="FS2"/>
      <sheetName val="Criteria"/>
      <sheetName val="TrialBalance"/>
      <sheetName val="Journals"/>
      <sheetName val="TBClient"/>
      <sheetName val="GLClient"/>
      <sheetName val="FARegister"/>
      <sheetName val="TARegister"/>
      <sheetName val="ILoans"/>
      <sheetName val="IFree"/>
      <sheetName val="DTax"/>
      <sheetName val="NC Receivables"/>
      <sheetName val="Stock"/>
      <sheetName val="Debtors"/>
      <sheetName val="Bank"/>
      <sheetName val="Creditors"/>
      <sheetName val="SARS"/>
      <sheetName val="VAT"/>
      <sheetName val="Open"/>
      <sheetName val="Expenses"/>
      <sheetName val="Loan 1"/>
      <sheetName val="HP1"/>
      <sheetName val="TrialBalanceA"/>
      <sheetName val="JournalsA"/>
      <sheetName val="TrialBalanceB"/>
      <sheetName val="JournalsB"/>
      <sheetName val="TrialBalanceC"/>
      <sheetName val="JournalsC"/>
    </sheetNames>
    <sheetDataSet>
      <sheetData sheetId="0"/>
      <sheetData sheetId="1"/>
      <sheetData sheetId="2"/>
      <sheetData sheetId="3"/>
      <sheetData sheetId="4">
        <row r="5">
          <cell r="P5" t="str">
            <v>1000/001Sales</v>
          </cell>
        </row>
        <row r="6">
          <cell r="P6" t="str">
            <v>1000/002Sales 2</v>
          </cell>
        </row>
        <row r="7">
          <cell r="P7" t="str">
            <v>1000/003Rent Received</v>
          </cell>
        </row>
        <row r="8">
          <cell r="P8" t="str">
            <v>2000/000COST OF SALES</v>
          </cell>
        </row>
        <row r="9">
          <cell r="P9" t="str">
            <v>2000/001Opening stock - Raw materials</v>
          </cell>
        </row>
        <row r="10">
          <cell r="P10" t="str">
            <v>2000/002Opening stock - WIP</v>
          </cell>
        </row>
        <row r="11">
          <cell r="P11" t="str">
            <v>2000/003Opening stock - Finished goods</v>
          </cell>
        </row>
        <row r="12">
          <cell r="P12" t="str">
            <v>2000/004Opening stock - Trading stock</v>
          </cell>
        </row>
        <row r="13">
          <cell r="P13" t="str">
            <v>2000/010Purchases</v>
          </cell>
        </row>
        <row r="14">
          <cell r="P14" t="str">
            <v>2000/011Expense 1</v>
          </cell>
        </row>
        <row r="15">
          <cell r="P15" t="str">
            <v>2000/012Expense 2</v>
          </cell>
        </row>
        <row r="16">
          <cell r="P16" t="str">
            <v>2000/013Expense 3</v>
          </cell>
        </row>
        <row r="17">
          <cell r="P17" t="str">
            <v>2000/014Expense 4</v>
          </cell>
        </row>
        <row r="18">
          <cell r="P18" t="str">
            <v>2000/015Expense 5</v>
          </cell>
        </row>
        <row r="19">
          <cell r="P19" t="str">
            <v>2000/050Closing stock - Raw materials</v>
          </cell>
        </row>
        <row r="20">
          <cell r="P20" t="str">
            <v>2000/051Closing stock - WIP</v>
          </cell>
        </row>
        <row r="21">
          <cell r="P21" t="str">
            <v>2000/052Closing stock - Finished goods</v>
          </cell>
        </row>
        <row r="22">
          <cell r="P22" t="str">
            <v>2000/053Closing stock - Trading stock</v>
          </cell>
        </row>
        <row r="23">
          <cell r="P23" t="str">
            <v>2050/000OTHER OPERATING INCOME</v>
          </cell>
        </row>
        <row r="24">
          <cell r="P24" t="str">
            <v>2050/001Insurance claims - Seabeach Hotel</v>
          </cell>
        </row>
        <row r="25">
          <cell r="P25" t="str">
            <v>2050/002Other 1</v>
          </cell>
        </row>
        <row r="26">
          <cell r="P26" t="str">
            <v>2050/003Other 2</v>
          </cell>
        </row>
        <row r="27">
          <cell r="P27" t="str">
            <v>2050/004Other 3</v>
          </cell>
        </row>
        <row r="28">
          <cell r="P28" t="str">
            <v>2050/005Other 4</v>
          </cell>
        </row>
        <row r="29">
          <cell r="P29" t="str">
            <v>2060/000NET (PROFIT)/LOSS OTHER</v>
          </cell>
        </row>
        <row r="30">
          <cell r="P30" t="str">
            <v>2060/001Net (profit)/loss - Seafront Restaurant</v>
          </cell>
        </row>
        <row r="31">
          <cell r="P31" t="str">
            <v>2060/002Net (profit)/loss - Rental Properties</v>
          </cell>
        </row>
        <row r="32">
          <cell r="P32" t="str">
            <v xml:space="preserve">2060/003Net (profit)/loss - </v>
          </cell>
        </row>
        <row r="33">
          <cell r="P33" t="str">
            <v>2060/004</v>
          </cell>
        </row>
        <row r="34">
          <cell r="P34" t="str">
            <v>2100/000OPERATING EXPENSES</v>
          </cell>
        </row>
        <row r="35">
          <cell r="P35" t="str">
            <v>2100/001Advertising</v>
          </cell>
        </row>
        <row r="36">
          <cell r="P36" t="str">
            <v>2100/010Assets less than R7,000</v>
          </cell>
        </row>
        <row r="37">
          <cell r="P37" t="str">
            <v>2100/020Consumables</v>
          </cell>
        </row>
        <row r="38">
          <cell r="P38" t="str">
            <v>2100/030Depreciation---------------------------------</v>
          </cell>
        </row>
        <row r="39">
          <cell r="P39" t="str">
            <v>2100/031Depr - Land &amp; buildings</v>
          </cell>
        </row>
        <row r="40">
          <cell r="P40" t="str">
            <v>2100/032Depr - Plant &amp; Machinery</v>
          </cell>
        </row>
        <row r="41">
          <cell r="P41" t="str">
            <v>2100/033Depr - Motor vehicles</v>
          </cell>
        </row>
        <row r="42">
          <cell r="P42" t="str">
            <v>2100/040Discounts allowed</v>
          </cell>
        </row>
        <row r="43">
          <cell r="P43" t="str">
            <v>2100/050Electricity and Water</v>
          </cell>
        </row>
        <row r="44">
          <cell r="P44" t="str">
            <v>2100/055Equipment lease</v>
          </cell>
        </row>
        <row r="45">
          <cell r="P45" t="str">
            <v>2100/060Insurance</v>
          </cell>
        </row>
        <row r="46">
          <cell r="P46" t="str">
            <v>2100/071Levies - SDL</v>
          </cell>
        </row>
        <row r="47">
          <cell r="P47" t="str">
            <v>2100/072Levies - other</v>
          </cell>
        </row>
        <row r="48">
          <cell r="P48" t="str">
            <v>2100/080Trade licenses</v>
          </cell>
        </row>
        <row r="49">
          <cell r="P49" t="str">
            <v>2100/090Motor vehicle expenses------------------</v>
          </cell>
        </row>
        <row r="50">
          <cell r="P50" t="str">
            <v>2100/091Motor vehicle expenses - Petrol and oil</v>
          </cell>
        </row>
        <row r="51">
          <cell r="P51" t="str">
            <v>2100/092Motor vehicle expenses - R&amp;M</v>
          </cell>
        </row>
        <row r="52">
          <cell r="P52" t="str">
            <v>2100/093Motor vehicle expenses - Insurance</v>
          </cell>
        </row>
        <row r="53">
          <cell r="P53" t="str">
            <v>2100/094Motor vehicle expenses - licenses</v>
          </cell>
        </row>
        <row r="54">
          <cell r="P54" t="str">
            <v>2100/095Motor vehicle expenses - general</v>
          </cell>
        </row>
        <row r="55">
          <cell r="P55" t="str">
            <v>2100/100Rent paid-------------------------------------</v>
          </cell>
        </row>
        <row r="56">
          <cell r="P56" t="str">
            <v xml:space="preserve">2100/101Premises </v>
          </cell>
        </row>
        <row r="57">
          <cell r="P57" t="str">
            <v>2100/102Other</v>
          </cell>
        </row>
        <row r="58">
          <cell r="P58" t="str">
            <v>2100/103</v>
          </cell>
        </row>
        <row r="59">
          <cell r="P59" t="str">
            <v>2100/110Repairs and maintenance</v>
          </cell>
        </row>
        <row r="60">
          <cell r="P60" t="str">
            <v>2100/120Salaries</v>
          </cell>
        </row>
        <row r="61">
          <cell r="P61" t="str">
            <v>2100/121UIF - Employer</v>
          </cell>
        </row>
        <row r="62">
          <cell r="P62" t="str">
            <v>2100/122Casual wages</v>
          </cell>
        </row>
        <row r="63">
          <cell r="P63" t="str">
            <v>2100/130Telephone</v>
          </cell>
        </row>
        <row r="64">
          <cell r="P64" t="str">
            <v>2100/135Postage and courier</v>
          </cell>
        </row>
        <row r="65">
          <cell r="P65" t="str">
            <v>2100/140Training</v>
          </cell>
        </row>
        <row r="66">
          <cell r="P66" t="str">
            <v>2100/150Traveling</v>
          </cell>
        </row>
        <row r="67">
          <cell r="P67" t="str">
            <v>2150/001Expense 1</v>
          </cell>
        </row>
        <row r="68">
          <cell r="P68" t="str">
            <v>2150/002Expense 2</v>
          </cell>
        </row>
        <row r="69">
          <cell r="P69" t="str">
            <v>2150/003Expense 3</v>
          </cell>
        </row>
        <row r="70">
          <cell r="P70" t="str">
            <v>2150/004Expense 4</v>
          </cell>
        </row>
        <row r="71">
          <cell r="P71" t="str">
            <v>2150/005Expense 5</v>
          </cell>
        </row>
        <row r="72">
          <cell r="P72" t="str">
            <v>2150/006Expense 6</v>
          </cell>
        </row>
        <row r="73">
          <cell r="P73" t="str">
            <v>2150/007Expense 7</v>
          </cell>
        </row>
        <row r="74">
          <cell r="P74" t="str">
            <v>2150/008Expense 8</v>
          </cell>
        </row>
        <row r="75">
          <cell r="P75" t="str">
            <v>2150/009Expense 9</v>
          </cell>
        </row>
        <row r="76">
          <cell r="P76" t="str">
            <v>2150/010Expense 10</v>
          </cell>
        </row>
        <row r="77">
          <cell r="P77" t="str">
            <v>2500/000OTHER INCOME</v>
          </cell>
        </row>
        <row r="78">
          <cell r="P78" t="str">
            <v>2710/000Rent Received (Not Main income)</v>
          </cell>
        </row>
        <row r="79">
          <cell r="P79" t="str">
            <v>2750/000Interest Received--------------------------</v>
          </cell>
        </row>
        <row r="80">
          <cell r="P80" t="str">
            <v>2750/001Current account</v>
          </cell>
        </row>
        <row r="81">
          <cell r="P81" t="str">
            <v>2750/002Other 1</v>
          </cell>
        </row>
        <row r="82">
          <cell r="P82" t="str">
            <v>2750/003Other 2</v>
          </cell>
        </row>
        <row r="83">
          <cell r="P83" t="str">
            <v>2750/004Other 3</v>
          </cell>
        </row>
        <row r="84">
          <cell r="P84" t="str">
            <v>2800/000Dividends received------------------------</v>
          </cell>
        </row>
        <row r="85">
          <cell r="P85" t="str">
            <v>2800/001Div's received - SA sources</v>
          </cell>
        </row>
        <row r="86">
          <cell r="P86" t="str">
            <v>2800/002Div's received - Foreign div's</v>
          </cell>
        </row>
        <row r="87">
          <cell r="P87" t="str">
            <v>2810/000(Profit)/Loss on sale of fixed assets</v>
          </cell>
        </row>
        <row r="88">
          <cell r="P88" t="str">
            <v>2820/000Bad debts recovered</v>
          </cell>
        </row>
        <row r="89">
          <cell r="P89" t="str">
            <v>2830/000Other income</v>
          </cell>
        </row>
        <row r="90">
          <cell r="P90" t="str">
            <v>3000/000ADMINISTRATION EXPENSES</v>
          </cell>
        </row>
        <row r="91">
          <cell r="P91" t="str">
            <v>3000/011Audit fees for current year</v>
          </cell>
        </row>
        <row r="92">
          <cell r="P92" t="str">
            <v>3000/012Under provision previous year</v>
          </cell>
        </row>
        <row r="93">
          <cell r="P93" t="str">
            <v>3000/013Overprovision previous year</v>
          </cell>
        </row>
        <row r="94">
          <cell r="P94" t="str">
            <v>3000/014Accounting fees</v>
          </cell>
        </row>
        <row r="95">
          <cell r="P95" t="str">
            <v>3000/020Bank charges</v>
          </cell>
        </row>
        <row r="96">
          <cell r="P96" t="str">
            <v>3000/030Bad debts</v>
          </cell>
        </row>
        <row r="97">
          <cell r="P97" t="str">
            <v>3000/040Cleaning</v>
          </cell>
        </row>
        <row r="98">
          <cell r="P98" t="str">
            <v>3000/050Computer expenses</v>
          </cell>
        </row>
        <row r="99">
          <cell r="P99" t="str">
            <v>3000/055Consulting and Professional fees</v>
          </cell>
        </row>
        <row r="100">
          <cell r="P100" t="str">
            <v>3000/060Depreciation---------------------------------</v>
          </cell>
        </row>
        <row r="101">
          <cell r="P101" t="str">
            <v>3000/061Depr - Electronic equipment</v>
          </cell>
        </row>
        <row r="102">
          <cell r="P102" t="str">
            <v>3000/063Depr - Furniture &amp; Fittings</v>
          </cell>
        </row>
        <row r="103">
          <cell r="P103" t="str">
            <v>3000/070Directors' remuneration-----------------</v>
          </cell>
        </row>
        <row r="104">
          <cell r="P104" t="str">
            <v>3000/0710</v>
          </cell>
        </row>
        <row r="105">
          <cell r="P105" t="str">
            <v>3000/0720</v>
          </cell>
        </row>
        <row r="106">
          <cell r="P106" t="str">
            <v>3000/0730</v>
          </cell>
        </row>
        <row r="107">
          <cell r="P107" t="str">
            <v>3000/0740</v>
          </cell>
        </row>
        <row r="108">
          <cell r="P108" t="str">
            <v>3000/0750</v>
          </cell>
        </row>
        <row r="109">
          <cell r="P109" t="str">
            <v>3000/080Donations</v>
          </cell>
        </row>
        <row r="110">
          <cell r="P110" t="str">
            <v>3000/090Entertainment expenses</v>
          </cell>
        </row>
        <row r="111">
          <cell r="P111" t="str">
            <v>3000/095Fines</v>
          </cell>
        </row>
        <row r="112">
          <cell r="P112" t="str">
            <v>3000/100General expenses</v>
          </cell>
        </row>
        <row r="113">
          <cell r="P113" t="str">
            <v>3000/110Legal expenses - Tax deductible</v>
          </cell>
        </row>
        <row r="114">
          <cell r="P114" t="str">
            <v>3000/111Legal expenses - Non deductible</v>
          </cell>
        </row>
        <row r="115">
          <cell r="P115" t="str">
            <v>3000/120Printing and stationary</v>
          </cell>
        </row>
        <row r="116">
          <cell r="P116" t="str">
            <v>3000/130Refreshments</v>
          </cell>
        </row>
        <row r="117">
          <cell r="P117" t="str">
            <v>3000/140Salaries</v>
          </cell>
        </row>
        <row r="118">
          <cell r="P118" t="str">
            <v>3000/141Casual wages</v>
          </cell>
        </row>
        <row r="119">
          <cell r="P119" t="str">
            <v>3000/150Security</v>
          </cell>
        </row>
        <row r="120">
          <cell r="P120" t="str">
            <v>3000/160Subscriptions and Membership fees</v>
          </cell>
        </row>
        <row r="121">
          <cell r="P121" t="str">
            <v>3000/170Penalties &amp; Interest - SARS</v>
          </cell>
        </row>
        <row r="122">
          <cell r="P122" t="str">
            <v>3000/180Expense 1</v>
          </cell>
        </row>
        <row r="123">
          <cell r="P123" t="str">
            <v>3000/190Expense 2</v>
          </cell>
        </row>
        <row r="124">
          <cell r="P124" t="str">
            <v>3000/200Expense 3</v>
          </cell>
        </row>
        <row r="125">
          <cell r="P125" t="str">
            <v>3000/210Expense 4</v>
          </cell>
        </row>
        <row r="126">
          <cell r="P126" t="str">
            <v>3000/220Expense 5</v>
          </cell>
        </row>
        <row r="127">
          <cell r="P127" t="str">
            <v>3000/230Expense 6</v>
          </cell>
        </row>
        <row r="128">
          <cell r="P128" t="str">
            <v>3000/240Expense 7</v>
          </cell>
        </row>
        <row r="129">
          <cell r="P129" t="str">
            <v>3000/250Expense 8</v>
          </cell>
        </row>
        <row r="130">
          <cell r="P130" t="str">
            <v>3000/260Expense 9</v>
          </cell>
        </row>
        <row r="131">
          <cell r="P131" t="str">
            <v>3000/270Amortisation of prepaid lease agreement</v>
          </cell>
        </row>
        <row r="132">
          <cell r="P132" t="str">
            <v>4210/000(Profit)/Loss on foreign exchange</v>
          </cell>
        </row>
        <row r="133">
          <cell r="P133" t="str">
            <v>4700/000FINANCE COSTS</v>
          </cell>
        </row>
        <row r="134">
          <cell r="P134" t="str">
            <v>4700/010Interest paid--------------------------------</v>
          </cell>
        </row>
        <row r="135">
          <cell r="P135" t="str">
            <v>4700/011Bank - Mortgage Loans</v>
          </cell>
        </row>
        <row r="136">
          <cell r="P136" t="str">
            <v>4700/012Bank Current Account</v>
          </cell>
        </row>
        <row r="137">
          <cell r="P137" t="str">
            <v>4700/013Other 1</v>
          </cell>
        </row>
        <row r="138">
          <cell r="P138" t="str">
            <v>4700/014Other 2</v>
          </cell>
        </row>
        <row r="139">
          <cell r="P139" t="str">
            <v>4700/015Other 3</v>
          </cell>
        </row>
        <row r="140">
          <cell r="P140" t="str">
            <v>4700/016Other 4</v>
          </cell>
        </row>
        <row r="141">
          <cell r="P141" t="str">
            <v>4700/017Other 5</v>
          </cell>
        </row>
        <row r="142">
          <cell r="P142" t="str">
            <v>4700/018Other 6</v>
          </cell>
        </row>
        <row r="143">
          <cell r="P143" t="str">
            <v>4700/019Other 7</v>
          </cell>
        </row>
        <row r="144">
          <cell r="P144" t="str">
            <v>4700/020Other 8</v>
          </cell>
        </row>
        <row r="145">
          <cell r="P145" t="str">
            <v>4700/021Hire purchase interest</v>
          </cell>
        </row>
        <row r="146">
          <cell r="P146" t="str">
            <v>4750/000OTHER</v>
          </cell>
        </row>
        <row r="147">
          <cell r="P147" t="str">
            <v>4750/010Loss on Revaluation of Investments</v>
          </cell>
        </row>
        <row r="148">
          <cell r="P148" t="str">
            <v>4800/000NORMAL TAXATION</v>
          </cell>
        </row>
        <row r="149">
          <cell r="P149" t="str">
            <v>4800/001Tax provided this year</v>
          </cell>
        </row>
        <row r="150">
          <cell r="P150" t="str">
            <v>4800/002Tax adjustment previous year</v>
          </cell>
        </row>
        <row r="151">
          <cell r="P151" t="str">
            <v>4820/000DEFERRED TAX</v>
          </cell>
        </row>
        <row r="152">
          <cell r="P152" t="str">
            <v>4820/001Deferred tax this year</v>
          </cell>
        </row>
        <row r="153">
          <cell r="P153" t="str">
            <v>4820/002Deferred tax adjustment previous year</v>
          </cell>
        </row>
        <row r="154">
          <cell r="P154" t="str">
            <v>4850/000Dividends Declared</v>
          </cell>
        </row>
        <row r="155">
          <cell r="P155" t="str">
            <v>4860/000Dividends paid</v>
          </cell>
        </row>
        <row r="158">
          <cell r="P158">
            <v>0</v>
          </cell>
        </row>
        <row r="159">
          <cell r="P159" t="str">
            <v>5100/000SHARE CAPITAL</v>
          </cell>
        </row>
        <row r="160">
          <cell r="P160" t="str">
            <v>5100/001Share Capital - Balance b/fwd</v>
          </cell>
        </row>
        <row r="161">
          <cell r="P161" t="str">
            <v>5100/002Share Capital - Additions</v>
          </cell>
        </row>
        <row r="162">
          <cell r="P162" t="str">
            <v>5110/000SHARE PREMIUM</v>
          </cell>
        </row>
        <row r="163">
          <cell r="P163" t="str">
            <v>5110/001Share premium - Balance b/fwd</v>
          </cell>
        </row>
        <row r="164">
          <cell r="P164" t="str">
            <v>5110/002Share premium - Additions</v>
          </cell>
        </row>
        <row r="165">
          <cell r="P165" t="str">
            <v>5110/003Share premium - transfer</v>
          </cell>
        </row>
        <row r="166">
          <cell r="P166" t="str">
            <v>5120/000VALUATION RESERVE</v>
          </cell>
        </row>
        <row r="167">
          <cell r="P167" t="str">
            <v>5120/001Valuation reserve - Balance b/fwd</v>
          </cell>
        </row>
        <row r="168">
          <cell r="P168" t="str">
            <v>5120/002Valuation reserve - Additions</v>
          </cell>
        </row>
        <row r="169">
          <cell r="P169" t="str">
            <v>5120/003Valuation reserve - transfer to p/l</v>
          </cell>
        </row>
        <row r="170">
          <cell r="P170" t="str">
            <v>5130/000OTHER RESERVES</v>
          </cell>
        </row>
        <row r="171">
          <cell r="P171" t="str">
            <v>5130/001Other reserves - Balance B/fwd</v>
          </cell>
        </row>
        <row r="172">
          <cell r="P172" t="str">
            <v>5130/002Other reserves - Additions</v>
          </cell>
        </row>
        <row r="173">
          <cell r="P173" t="str">
            <v>5130/003Other reserves - transfer</v>
          </cell>
        </row>
        <row r="174">
          <cell r="P174" t="str">
            <v>5200/000(Retained Income) / Accumulated Loss</v>
          </cell>
        </row>
        <row r="175">
          <cell r="P175" t="str">
            <v>5500/000LONG TERM  INTEREST LIABILITIES</v>
          </cell>
        </row>
        <row r="176">
          <cell r="P176" t="str">
            <v>5500/001Bond 1</v>
          </cell>
        </row>
        <row r="177">
          <cell r="P177" t="str">
            <v>5500/002Bond 2</v>
          </cell>
        </row>
        <row r="178">
          <cell r="P178" t="str">
            <v>5500/003Bond 3</v>
          </cell>
        </row>
        <row r="179">
          <cell r="P179" t="str">
            <v>5500/004HP 1</v>
          </cell>
        </row>
        <row r="180">
          <cell r="P180" t="str">
            <v>5500/005HP 2</v>
          </cell>
        </row>
        <row r="181">
          <cell r="P181" t="str">
            <v>5500/006</v>
          </cell>
        </row>
        <row r="182">
          <cell r="P182" t="str">
            <v>5500/007</v>
          </cell>
        </row>
        <row r="183">
          <cell r="P183" t="str">
            <v>5500/008</v>
          </cell>
        </row>
        <row r="184">
          <cell r="P184" t="str">
            <v>5500/009</v>
          </cell>
        </row>
        <row r="185">
          <cell r="P185" t="str">
            <v>5500/010</v>
          </cell>
        </row>
        <row r="186">
          <cell r="P186" t="str">
            <v>5500/011</v>
          </cell>
        </row>
        <row r="187">
          <cell r="P187" t="str">
            <v>5500/012</v>
          </cell>
        </row>
        <row r="188">
          <cell r="P188" t="str">
            <v>5500/013</v>
          </cell>
        </row>
        <row r="189">
          <cell r="P189" t="str">
            <v>5500/014</v>
          </cell>
        </row>
        <row r="190">
          <cell r="P190" t="str">
            <v>5500/015</v>
          </cell>
        </row>
        <row r="191">
          <cell r="P191" t="str">
            <v>5520/000Short term portion of long term loans</v>
          </cell>
        </row>
        <row r="192">
          <cell r="P192" t="str">
            <v>5550/000LONG TERM INTEREST FREE LOANS</v>
          </cell>
        </row>
        <row r="193">
          <cell r="P193" t="str">
            <v>5550/001Interest free 1</v>
          </cell>
        </row>
        <row r="194">
          <cell r="P194" t="str">
            <v>5550/002Interest free 2</v>
          </cell>
        </row>
        <row r="195">
          <cell r="P195" t="str">
            <v>5550/003Interest free 3</v>
          </cell>
        </row>
        <row r="196">
          <cell r="P196" t="str">
            <v>5550/004Interest free 4</v>
          </cell>
        </row>
        <row r="197">
          <cell r="P197" t="str">
            <v>5550/005Interest free 5</v>
          </cell>
        </row>
        <row r="198">
          <cell r="P198" t="str">
            <v>5550/006Interest free 6</v>
          </cell>
        </row>
        <row r="199">
          <cell r="P199" t="str">
            <v>5550/007Interest free 7</v>
          </cell>
        </row>
        <row r="200">
          <cell r="P200" t="str">
            <v>5550/008Interest free 8</v>
          </cell>
        </row>
        <row r="201">
          <cell r="P201" t="str">
            <v>5550/009Interest free 9</v>
          </cell>
        </row>
        <row r="202">
          <cell r="P202" t="str">
            <v>5550/010Interest free 10</v>
          </cell>
        </row>
        <row r="203">
          <cell r="P203" t="str">
            <v>5550/011Interest free 11</v>
          </cell>
        </row>
        <row r="204">
          <cell r="P204" t="str">
            <v>5550/012Interest free 12</v>
          </cell>
        </row>
        <row r="205">
          <cell r="P205" t="str">
            <v>5550/013Interest free 13</v>
          </cell>
        </row>
        <row r="206">
          <cell r="P206" t="str">
            <v>5550/014Interest free 14</v>
          </cell>
        </row>
        <row r="207">
          <cell r="P207" t="str">
            <v>5550/015Interest free 15</v>
          </cell>
        </row>
        <row r="208">
          <cell r="P208" t="str">
            <v>5550/016Interest free 16</v>
          </cell>
        </row>
        <row r="209">
          <cell r="P209" t="str">
            <v>5550/017Interest free 17</v>
          </cell>
        </row>
        <row r="210">
          <cell r="P210" t="str">
            <v>5700/000DEFERRED TAX</v>
          </cell>
        </row>
        <row r="211">
          <cell r="P211" t="str">
            <v>5700/010Deferred tax balance  depreciation b/fwd</v>
          </cell>
        </row>
        <row r="212">
          <cell r="P212" t="str">
            <v>5700/020Deferred tax balance  tax loss b/fwd</v>
          </cell>
        </row>
        <row r="213">
          <cell r="P213" t="str">
            <v>5700/030Deferred tax on depreciation for year</v>
          </cell>
        </row>
        <row r="214">
          <cell r="P214" t="str">
            <v>5700/040Deferred tax on tax loss for year</v>
          </cell>
        </row>
        <row r="215">
          <cell r="P215" t="str">
            <v>5700/050Def tax adj  depreciation previous year</v>
          </cell>
        </row>
        <row r="216">
          <cell r="P216" t="str">
            <v>5700/060Def tax adj tax loss previous year</v>
          </cell>
        </row>
        <row r="217">
          <cell r="P217" t="str">
            <v>6100/000LAND &amp; BUILDINGS - COST</v>
          </cell>
        </row>
        <row r="218">
          <cell r="P218" t="str">
            <v>6100/001Land_Buildings - Cost B/fwd</v>
          </cell>
        </row>
        <row r="219">
          <cell r="P219" t="str">
            <v>6100/002Land_Buildings - Additions</v>
          </cell>
        </row>
        <row r="220">
          <cell r="P220" t="str">
            <v>6100/003Land_Buildings - Cost of sales</v>
          </cell>
        </row>
        <row r="221">
          <cell r="P221" t="str">
            <v>6100/020LAND &amp; BUILDINGS - ACC DEPR</v>
          </cell>
        </row>
        <row r="222">
          <cell r="P222" t="str">
            <v>6100/021Land &amp; Buildings - Acc depr B/fwd</v>
          </cell>
        </row>
        <row r="223">
          <cell r="P223" t="str">
            <v>6100/022Land &amp; Buildings - depr this year</v>
          </cell>
        </row>
        <row r="224">
          <cell r="P224" t="str">
            <v>6100/023Land &amp; Buildings - Acc depr on sales</v>
          </cell>
        </row>
        <row r="225">
          <cell r="P225" t="str">
            <v>6100/030LAND &amp; BUILDINGS - VALUATION</v>
          </cell>
        </row>
        <row r="226">
          <cell r="P226" t="str">
            <v>6100/031Land_Buildings - Valuation B/fwd</v>
          </cell>
        </row>
        <row r="227">
          <cell r="P227" t="str">
            <v>6100/032Land_Buildings - Valuation additions</v>
          </cell>
        </row>
        <row r="228">
          <cell r="P228" t="str">
            <v>6100/033Land_Buildings - Valuation reduction</v>
          </cell>
        </row>
        <row r="229">
          <cell r="P229" t="str">
            <v>6150/000PLANT &amp; MACHINERY - COST</v>
          </cell>
        </row>
        <row r="230">
          <cell r="P230" t="str">
            <v>6150/001Plant &amp; machinery - cost b/fwd</v>
          </cell>
        </row>
        <row r="231">
          <cell r="P231" t="str">
            <v>6150/002Plant &amp; machinery - Additions</v>
          </cell>
        </row>
        <row r="232">
          <cell r="P232" t="str">
            <v>6150/003Plant &amp; machinery - Cost of sales</v>
          </cell>
        </row>
        <row r="233">
          <cell r="P233" t="str">
            <v>6150/020PLANT &amp; MACHINERY - ACC DEPR</v>
          </cell>
        </row>
        <row r="234">
          <cell r="P234" t="str">
            <v>6150/021Plant &amp; Machinery - Acc depr b/fwd</v>
          </cell>
        </row>
        <row r="235">
          <cell r="P235" t="str">
            <v>6150/022Plant &amp; machinery - depr this year</v>
          </cell>
        </row>
        <row r="236">
          <cell r="P236" t="str">
            <v>6150/023Plant &amp; machinery - acc depr on sales</v>
          </cell>
        </row>
        <row r="237">
          <cell r="P237" t="str">
            <v>6200/000MOTOR VEHICLES - COST</v>
          </cell>
        </row>
        <row r="238">
          <cell r="P238" t="str">
            <v>6200/001Motor Vehicles - Cost B/fwd</v>
          </cell>
        </row>
        <row r="239">
          <cell r="P239" t="str">
            <v>6200/002Motor Vehicles - Additions</v>
          </cell>
        </row>
        <row r="240">
          <cell r="P240" t="str">
            <v>6200/003Motor Vehicles - Cost of sales</v>
          </cell>
        </row>
        <row r="241">
          <cell r="P241" t="str">
            <v>6200/020MOTOR VEHICLES - ACC DEPR</v>
          </cell>
        </row>
        <row r="242">
          <cell r="P242" t="str">
            <v>6200/021Motor vehicles - Acc depr b/fwd</v>
          </cell>
        </row>
        <row r="243">
          <cell r="P243" t="str">
            <v>6200/022Motor vehicles - Depr this year</v>
          </cell>
        </row>
        <row r="244">
          <cell r="P244" t="str">
            <v>6200/023Motor vehicles - Acc depr on sales</v>
          </cell>
        </row>
        <row r="245">
          <cell r="P245" t="str">
            <v>6250/000ELECTRONIC EQUIPMENT - COST</v>
          </cell>
        </row>
        <row r="246">
          <cell r="P246" t="str">
            <v>6250/001Electronic equipment - Cost b/fwd</v>
          </cell>
        </row>
        <row r="247">
          <cell r="P247" t="str">
            <v>6250/002Electronic equipment - Additions</v>
          </cell>
        </row>
        <row r="248">
          <cell r="P248" t="str">
            <v>6250/003Electronic equipment - Cost of sales</v>
          </cell>
        </row>
        <row r="249">
          <cell r="P249" t="str">
            <v>6250/020ELECTRONIC EQUIPMENT - ACC DEPR</v>
          </cell>
        </row>
        <row r="250">
          <cell r="P250" t="str">
            <v>6250/021Electronic equipment - Acc depr B/fwd</v>
          </cell>
        </row>
        <row r="251">
          <cell r="P251" t="str">
            <v>6250/022Electronic equipment - Depr this year</v>
          </cell>
        </row>
        <row r="252">
          <cell r="P252" t="str">
            <v>6250/023Electronic equipment - Acc depr on sales</v>
          </cell>
        </row>
        <row r="253">
          <cell r="P253" t="str">
            <v>6350/000FURNITURE &amp; FITTINGS - COST</v>
          </cell>
        </row>
        <row r="254">
          <cell r="P254" t="str">
            <v>6350/001Furniture &amp; fittings - Cost B/fwd</v>
          </cell>
        </row>
        <row r="255">
          <cell r="P255" t="str">
            <v>6350/002Furniture &amp; fittings - Additions</v>
          </cell>
        </row>
        <row r="256">
          <cell r="P256" t="str">
            <v>6350/003Furniture &amp; fittings - Cost of sales</v>
          </cell>
        </row>
        <row r="257">
          <cell r="P257" t="str">
            <v>6350/020FURNITURE &amp; FITTINGS - ACC DEPR</v>
          </cell>
        </row>
        <row r="258">
          <cell r="P258" t="str">
            <v>6350/021Furniture &amp; fittings - Acc depr B/fwd</v>
          </cell>
        </row>
        <row r="259">
          <cell r="P259" t="str">
            <v>6350/022Furniture &amp; fittings - Depr this year</v>
          </cell>
        </row>
        <row r="260">
          <cell r="P260" t="str">
            <v>6350/023Furniture &amp; fittings - Acc depr on sales</v>
          </cell>
        </row>
        <row r="261">
          <cell r="P261" t="str">
            <v>7000/000GOODWILL/INTANGIBLE ASSETS</v>
          </cell>
        </row>
        <row r="262">
          <cell r="P262" t="str">
            <v>7000/010Goodwill Cost</v>
          </cell>
        </row>
        <row r="263">
          <cell r="P263" t="str">
            <v>7000/011Prepaid lease agreement - Cost</v>
          </cell>
        </row>
        <row r="264">
          <cell r="P264" t="str">
            <v>7000/015PLA - surplus on revaluation</v>
          </cell>
        </row>
        <row r="265">
          <cell r="P265" t="str">
            <v>7000/020PLA - write down this year</v>
          </cell>
        </row>
        <row r="266">
          <cell r="P266" t="str">
            <v>7000/025PLA - write down previous years</v>
          </cell>
        </row>
        <row r="267">
          <cell r="P267" t="str">
            <v>7100/000INVESTMENTS</v>
          </cell>
        </row>
        <row r="268">
          <cell r="P268" t="str">
            <v>7100/100LISTED INVESTMENTS</v>
          </cell>
        </row>
        <row r="269">
          <cell r="P269" t="str">
            <v>7100/101Listed 1</v>
          </cell>
        </row>
        <row r="270">
          <cell r="P270" t="str">
            <v>7100/102Listed 2</v>
          </cell>
        </row>
        <row r="271">
          <cell r="P271" t="str">
            <v>7100/103Listed 3</v>
          </cell>
        </row>
        <row r="272">
          <cell r="P272" t="str">
            <v>7100/104Listed 4</v>
          </cell>
        </row>
        <row r="273">
          <cell r="P273" t="str">
            <v>7100/105Listed 5</v>
          </cell>
        </row>
        <row r="274">
          <cell r="P274" t="str">
            <v>7100/200OTHER INVESTMENTS</v>
          </cell>
        </row>
        <row r="275">
          <cell r="P275" t="str">
            <v>7100/201Other investments 1</v>
          </cell>
        </row>
        <row r="276">
          <cell r="P276" t="str">
            <v>7100/202Other investments 2</v>
          </cell>
        </row>
        <row r="277">
          <cell r="P277" t="str">
            <v>7100/203Other investments 3</v>
          </cell>
        </row>
        <row r="278">
          <cell r="P278" t="str">
            <v>7100/204Other investments 4</v>
          </cell>
        </row>
        <row r="279">
          <cell r="P279" t="str">
            <v>7100/205Other investments 5</v>
          </cell>
        </row>
        <row r="280">
          <cell r="P280" t="str">
            <v>7450/000CONNECTED COMPANIES</v>
          </cell>
        </row>
        <row r="281">
          <cell r="P281" t="str">
            <v>7450/000Interest bearing</v>
          </cell>
        </row>
        <row r="282">
          <cell r="P282" t="str">
            <v>7450/001Connected 1</v>
          </cell>
        </row>
        <row r="283">
          <cell r="P283" t="str">
            <v>7450/002Connected 2</v>
          </cell>
        </row>
        <row r="284">
          <cell r="P284" t="str">
            <v>7450/000Interest free</v>
          </cell>
        </row>
        <row r="285">
          <cell r="P285" t="str">
            <v>7450/003Connected 3</v>
          </cell>
        </row>
        <row r="286">
          <cell r="P286" t="str">
            <v>7450/004Connected 4</v>
          </cell>
        </row>
        <row r="287">
          <cell r="P287" t="str">
            <v>7450/005Connected 5</v>
          </cell>
        </row>
        <row r="288">
          <cell r="P288" t="str">
            <v>7460/000OTHER NON CURRENT RECEIVABLES</v>
          </cell>
        </row>
        <row r="289">
          <cell r="P289" t="str">
            <v>7460/000Interest bearing</v>
          </cell>
        </row>
        <row r="290">
          <cell r="P290" t="str">
            <v>7460/001Other non current 1</v>
          </cell>
        </row>
        <row r="291">
          <cell r="P291" t="str">
            <v>7460/002Other non current 2</v>
          </cell>
        </row>
        <row r="292">
          <cell r="P292" t="str">
            <v>7460/003Other non current 3</v>
          </cell>
        </row>
        <row r="293">
          <cell r="P293" t="str">
            <v>7460/000Interest free</v>
          </cell>
        </row>
        <row r="294">
          <cell r="P294" t="str">
            <v>7460/004Other non current 4</v>
          </cell>
        </row>
        <row r="295">
          <cell r="P295" t="str">
            <v>7460/005Other non current 5</v>
          </cell>
        </row>
        <row r="296">
          <cell r="P296" t="str">
            <v>7460/006Other non current 6</v>
          </cell>
        </row>
        <row r="297">
          <cell r="P297" t="str">
            <v>7460/007Other non current 7</v>
          </cell>
        </row>
        <row r="298">
          <cell r="P298" t="str">
            <v>7460/008Other non current 8</v>
          </cell>
        </row>
        <row r="299">
          <cell r="P299" t="str">
            <v>7500/000INVENTORY</v>
          </cell>
        </row>
        <row r="300">
          <cell r="P300" t="str">
            <v>7500/001Raw materials</v>
          </cell>
        </row>
        <row r="301">
          <cell r="P301" t="str">
            <v>7500/002Work in progress</v>
          </cell>
        </row>
        <row r="302">
          <cell r="P302" t="str">
            <v>7500/003Finished goods</v>
          </cell>
        </row>
        <row r="303">
          <cell r="P303" t="str">
            <v>7500/004Trading stock</v>
          </cell>
        </row>
        <row r="304">
          <cell r="P304" t="str">
            <v>8000/000DEBTORS</v>
          </cell>
        </row>
        <row r="305">
          <cell r="P305" t="str">
            <v>8010/000Trade debtors</v>
          </cell>
        </row>
        <row r="306">
          <cell r="P306" t="str">
            <v>8020/000Less: Provision For Doubtful Debts</v>
          </cell>
        </row>
        <row r="307">
          <cell r="P307" t="str">
            <v>8030/000Service deposits</v>
          </cell>
        </row>
        <row r="308">
          <cell r="P308" t="str">
            <v>8200/000Sundry Customers</v>
          </cell>
        </row>
        <row r="309">
          <cell r="P309" t="str">
            <v>8200/010Prepayments</v>
          </cell>
        </row>
        <row r="310">
          <cell r="P310" t="str">
            <v>8200/020Staff Loans</v>
          </cell>
        </row>
        <row r="311">
          <cell r="P311" t="str">
            <v>8400/000BANK ACCOUNTS</v>
          </cell>
        </row>
        <row r="312">
          <cell r="P312" t="str">
            <v>8410/000Bank account 1</v>
          </cell>
        </row>
        <row r="313">
          <cell r="P313" t="str">
            <v>8420/000Bank account 2</v>
          </cell>
        </row>
        <row r="314">
          <cell r="P314" t="str">
            <v>8430/000Bank account 3</v>
          </cell>
        </row>
        <row r="315">
          <cell r="P315" t="str">
            <v>8440/000Bank account 4</v>
          </cell>
        </row>
        <row r="316">
          <cell r="P316" t="str">
            <v>8450/000Bank account 5</v>
          </cell>
        </row>
        <row r="317">
          <cell r="P317" t="str">
            <v>8460/000Bank account 6</v>
          </cell>
        </row>
        <row r="318">
          <cell r="P318" t="str">
            <v>8500/000Cash on hand</v>
          </cell>
        </row>
        <row r="319">
          <cell r="P319" t="str">
            <v>8900/000SHORT TERM LOANS</v>
          </cell>
        </row>
        <row r="320">
          <cell r="P320" t="str">
            <v>8900/001Short term 1</v>
          </cell>
        </row>
        <row r="321">
          <cell r="P321" t="str">
            <v>8900/002Short term 2</v>
          </cell>
        </row>
        <row r="322">
          <cell r="P322" t="str">
            <v>8900/003Short term 3</v>
          </cell>
        </row>
        <row r="323">
          <cell r="P323" t="str">
            <v>8900/004Short term portion of long term loans</v>
          </cell>
        </row>
        <row r="324">
          <cell r="P324" t="str">
            <v>9000/000CREDITORS</v>
          </cell>
        </row>
        <row r="325">
          <cell r="P325" t="str">
            <v>9010/000Trade creditors</v>
          </cell>
        </row>
        <row r="326">
          <cell r="P326" t="str">
            <v>9200/000Sundry Suppliers</v>
          </cell>
        </row>
        <row r="327">
          <cell r="P327" t="str">
            <v>9200/010Audit fee accrual</v>
          </cell>
        </row>
        <row r="328">
          <cell r="P328" t="str">
            <v>9200/020Other Accruals</v>
          </cell>
        </row>
        <row r="329">
          <cell r="P329" t="str">
            <v>9250/000Salary &amp; Wages Control</v>
          </cell>
        </row>
        <row r="330">
          <cell r="P330" t="str">
            <v>9300/000TAXATION</v>
          </cell>
        </row>
        <row r="331">
          <cell r="P331" t="str">
            <v>9300/010Balance b/fwd</v>
          </cell>
        </row>
        <row r="332">
          <cell r="P332" t="str">
            <v>9300/020Tax provision this year</v>
          </cell>
        </row>
        <row r="333">
          <cell r="P333" t="str">
            <v>9300/030Over-/Underprovision previous year</v>
          </cell>
        </row>
        <row r="334">
          <cell r="P334" t="str">
            <v>9300/040Tax paid for previous year provisions</v>
          </cell>
        </row>
        <row r="335">
          <cell r="P335" t="str">
            <v>9300/0501st Provisional Paid</v>
          </cell>
        </row>
        <row r="336">
          <cell r="P336" t="str">
            <v>9300/0602nd Provisional Paid</v>
          </cell>
        </row>
        <row r="337">
          <cell r="P337" t="str">
            <v>9300/0703rd Provisional paid</v>
          </cell>
        </row>
        <row r="338">
          <cell r="P338" t="str">
            <v>9300/090Dividends tax provision this year</v>
          </cell>
        </row>
        <row r="339">
          <cell r="P339" t="str">
            <v>9350/000Dividends payable</v>
          </cell>
        </row>
        <row r="340">
          <cell r="P340" t="str">
            <v>9400/000Provision for future expenses</v>
          </cell>
        </row>
        <row r="341">
          <cell r="P341" t="str">
            <v>9400/010Provision for insurance</v>
          </cell>
        </row>
        <row r="342">
          <cell r="P342" t="str">
            <v>9400/020Provision for salary bonus</v>
          </cell>
        </row>
        <row r="343">
          <cell r="P343" t="str">
            <v>9500/000VALUE ADDED TAX</v>
          </cell>
        </row>
        <row r="344">
          <cell r="P344" t="str">
            <v>9501/000VAT account</v>
          </cell>
        </row>
        <row r="345">
          <cell r="P345" t="str">
            <v>9510/000--------------------------------------------------</v>
          </cell>
        </row>
        <row r="346">
          <cell r="P346" t="str">
            <v>9990/000Suspense Account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M5" t="str">
            <v>1000/001Sales</v>
          </cell>
        </row>
        <row r="6">
          <cell r="M6" t="str">
            <v>1000/002Sales 2</v>
          </cell>
        </row>
        <row r="7">
          <cell r="M7" t="str">
            <v>1000/003Rent Received</v>
          </cell>
        </row>
        <row r="8">
          <cell r="M8" t="str">
            <v>2000/000COST OF SALES</v>
          </cell>
        </row>
        <row r="9">
          <cell r="M9" t="str">
            <v>2000/001Opening stock - Raw materials</v>
          </cell>
        </row>
        <row r="10">
          <cell r="M10" t="str">
            <v>2000/002Opening stock - WIP</v>
          </cell>
        </row>
        <row r="11">
          <cell r="M11" t="str">
            <v>2000/003Opening stock - Finished goods</v>
          </cell>
        </row>
        <row r="12">
          <cell r="M12" t="str">
            <v>2000/004Opening stock - Trading stock</v>
          </cell>
        </row>
        <row r="13">
          <cell r="M13" t="str">
            <v>2000/010Purchases</v>
          </cell>
        </row>
        <row r="14">
          <cell r="M14" t="str">
            <v>2000/011</v>
          </cell>
        </row>
        <row r="15">
          <cell r="M15" t="str">
            <v>2000/012</v>
          </cell>
        </row>
        <row r="16">
          <cell r="M16" t="str">
            <v>2000/013</v>
          </cell>
        </row>
        <row r="17">
          <cell r="M17" t="str">
            <v>2000/014</v>
          </cell>
        </row>
        <row r="18">
          <cell r="M18" t="str">
            <v>2000/015</v>
          </cell>
        </row>
        <row r="19">
          <cell r="M19" t="str">
            <v>2000/050Closing stock - Raw materials</v>
          </cell>
        </row>
        <row r="20">
          <cell r="M20" t="str">
            <v>2000/051Closing stock - WIP</v>
          </cell>
        </row>
        <row r="21">
          <cell r="M21" t="str">
            <v>2000/052Closing stock - Finished goods</v>
          </cell>
        </row>
        <row r="22">
          <cell r="M22" t="str">
            <v>2000/053Closing stock - Trading stock</v>
          </cell>
        </row>
        <row r="23">
          <cell r="M23" t="str">
            <v>2050/000OTHER OPERATING INCOME</v>
          </cell>
        </row>
        <row r="24">
          <cell r="M24" t="str">
            <v>2050/001Insurance claims - Seafront Restaurant</v>
          </cell>
        </row>
        <row r="25">
          <cell r="M25" t="str">
            <v>2050/002</v>
          </cell>
        </row>
        <row r="26">
          <cell r="M26" t="str">
            <v>2050/003</v>
          </cell>
        </row>
        <row r="27">
          <cell r="M27" t="str">
            <v>2050/004</v>
          </cell>
        </row>
        <row r="28">
          <cell r="M28" t="str">
            <v>2050/005</v>
          </cell>
        </row>
        <row r="29">
          <cell r="M29" t="str">
            <v>2060/000NET (PROFIT)/LOSS OTHER</v>
          </cell>
        </row>
        <row r="30">
          <cell r="M30" t="str">
            <v>2060/001</v>
          </cell>
        </row>
        <row r="31">
          <cell r="M31" t="str">
            <v>2060/002</v>
          </cell>
        </row>
        <row r="32">
          <cell r="M32" t="str">
            <v>2060/003</v>
          </cell>
        </row>
        <row r="33">
          <cell r="M33" t="str">
            <v>2060/004</v>
          </cell>
        </row>
        <row r="34">
          <cell r="M34" t="str">
            <v>2100/000OPERATING EXPENSES</v>
          </cell>
        </row>
        <row r="35">
          <cell r="M35" t="str">
            <v>2100/001Advertising</v>
          </cell>
        </row>
        <row r="36">
          <cell r="M36" t="str">
            <v>2100/010Assets less than R7,000</v>
          </cell>
        </row>
        <row r="37">
          <cell r="M37" t="str">
            <v>2100/020Consumables</v>
          </cell>
        </row>
        <row r="38">
          <cell r="M38" t="str">
            <v>2100/030Depreciation--------------------------------------------------</v>
          </cell>
        </row>
        <row r="39">
          <cell r="M39" t="str">
            <v>2100/031Depr - Land &amp; buildings</v>
          </cell>
        </row>
        <row r="40">
          <cell r="M40" t="str">
            <v>2100/032Depr - Plant &amp; Machinery</v>
          </cell>
        </row>
        <row r="41">
          <cell r="M41" t="str">
            <v>2100/033Depr - Motor vehicles</v>
          </cell>
        </row>
        <row r="42">
          <cell r="M42" t="str">
            <v>2100/040Discounts allowed</v>
          </cell>
        </row>
        <row r="43">
          <cell r="M43" t="str">
            <v>2100/050Electricity and Water</v>
          </cell>
        </row>
        <row r="44">
          <cell r="M44" t="str">
            <v>2100/055Equipment lease</v>
          </cell>
        </row>
        <row r="45">
          <cell r="M45" t="str">
            <v>2100/060Insurance</v>
          </cell>
        </row>
        <row r="46">
          <cell r="M46" t="str">
            <v>2100/071Levies - SDL</v>
          </cell>
        </row>
        <row r="47">
          <cell r="M47" t="str">
            <v>2100/072Levies - other</v>
          </cell>
        </row>
        <row r="48">
          <cell r="M48" t="str">
            <v>2100/080Trade licenses</v>
          </cell>
        </row>
        <row r="49">
          <cell r="M49" t="str">
            <v>2100/090Motor vehicle expenses----------------------------------</v>
          </cell>
        </row>
        <row r="50">
          <cell r="M50" t="str">
            <v>2100/091Motor vehicle expenses - Petrol and oil</v>
          </cell>
        </row>
        <row r="51">
          <cell r="M51" t="str">
            <v>2100/092Motor vehicle expenses - R&amp;M</v>
          </cell>
        </row>
        <row r="52">
          <cell r="M52" t="str">
            <v>2100/093Motor vehicle expenses - Insurance</v>
          </cell>
        </row>
        <row r="53">
          <cell r="M53" t="str">
            <v>2100/094Motor vehicle expenses - licenses</v>
          </cell>
        </row>
        <row r="54">
          <cell r="M54" t="str">
            <v>2100/095Motor vehicle expenses - general</v>
          </cell>
        </row>
        <row r="55">
          <cell r="M55" t="str">
            <v>2100/100Rent paid-------------------------------</v>
          </cell>
        </row>
        <row r="56">
          <cell r="M56" t="str">
            <v>2100/101</v>
          </cell>
        </row>
        <row r="57">
          <cell r="M57" t="str">
            <v>2100/102</v>
          </cell>
        </row>
        <row r="58">
          <cell r="M58" t="str">
            <v>2100/103</v>
          </cell>
        </row>
        <row r="59">
          <cell r="M59" t="str">
            <v>2100/110Repairs and maintenance</v>
          </cell>
        </row>
        <row r="60">
          <cell r="M60" t="str">
            <v>2100/120Salaries</v>
          </cell>
        </row>
        <row r="61">
          <cell r="M61" t="str">
            <v>2100/121UIF - Employer</v>
          </cell>
        </row>
        <row r="62">
          <cell r="M62" t="str">
            <v>2100/122Casual wages</v>
          </cell>
        </row>
        <row r="63">
          <cell r="M63" t="str">
            <v>2100/130Telephone</v>
          </cell>
        </row>
        <row r="64">
          <cell r="M64" t="str">
            <v>2100/135Postage and courier</v>
          </cell>
        </row>
        <row r="65">
          <cell r="M65" t="str">
            <v>2100/140Training</v>
          </cell>
        </row>
        <row r="66">
          <cell r="M66" t="str">
            <v>2100/150Traveling</v>
          </cell>
        </row>
        <row r="67">
          <cell r="M67" t="str">
            <v>2150/001Crockery and Cutlery</v>
          </cell>
        </row>
        <row r="68">
          <cell r="M68" t="str">
            <v>2150/002</v>
          </cell>
        </row>
        <row r="69">
          <cell r="M69" t="str">
            <v>2150/003</v>
          </cell>
        </row>
        <row r="70">
          <cell r="M70" t="str">
            <v>2150/004</v>
          </cell>
        </row>
        <row r="71">
          <cell r="M71" t="str">
            <v>2150/005</v>
          </cell>
        </row>
        <row r="72">
          <cell r="M72" t="str">
            <v>2150/006</v>
          </cell>
        </row>
        <row r="73">
          <cell r="M73" t="str">
            <v>2150/007</v>
          </cell>
        </row>
        <row r="74">
          <cell r="M74" t="str">
            <v>2150/008</v>
          </cell>
        </row>
        <row r="75">
          <cell r="M75" t="str">
            <v>2150/009</v>
          </cell>
        </row>
        <row r="76">
          <cell r="M76" t="str">
            <v>2150/010</v>
          </cell>
        </row>
        <row r="77">
          <cell r="M77" t="str">
            <v>2500/000OTHER INCOME</v>
          </cell>
        </row>
        <row r="78">
          <cell r="M78" t="str">
            <v>2710/000Rent Received (Not Main income)</v>
          </cell>
        </row>
        <row r="79">
          <cell r="M79" t="str">
            <v>2750/000Interest Received-----------------------</v>
          </cell>
        </row>
        <row r="80">
          <cell r="M80" t="str">
            <v>2750/001ABSA Current account</v>
          </cell>
        </row>
        <row r="81">
          <cell r="M81" t="str">
            <v>2750/002</v>
          </cell>
        </row>
        <row r="82">
          <cell r="M82" t="str">
            <v>2750/003</v>
          </cell>
        </row>
        <row r="83">
          <cell r="M83" t="str">
            <v>2750/004</v>
          </cell>
        </row>
        <row r="84">
          <cell r="M84" t="str">
            <v>2800/000Dividends received----------------------</v>
          </cell>
        </row>
        <row r="85">
          <cell r="M85" t="str">
            <v>2800/001Div's received - SA sources</v>
          </cell>
        </row>
        <row r="86">
          <cell r="M86" t="str">
            <v>2800/002Div's received - Foreign div's</v>
          </cell>
        </row>
        <row r="87">
          <cell r="M87" t="str">
            <v>2810/000(Profit)/Loss on sale of fixed assets</v>
          </cell>
        </row>
        <row r="88">
          <cell r="M88" t="str">
            <v>2820/000Bad debts recovered</v>
          </cell>
        </row>
        <row r="89">
          <cell r="M89" t="str">
            <v>2830/000Other income</v>
          </cell>
        </row>
        <row r="90">
          <cell r="M90" t="str">
            <v>3000/000ADMINISTRATION EXPENSES</v>
          </cell>
        </row>
        <row r="91">
          <cell r="M91" t="str">
            <v>3000/011Audit fees for current year</v>
          </cell>
        </row>
        <row r="92">
          <cell r="M92" t="str">
            <v>3000/012Under provision previous year</v>
          </cell>
        </row>
        <row r="93">
          <cell r="M93" t="str">
            <v>3000/013Overprovision previous year</v>
          </cell>
        </row>
        <row r="94">
          <cell r="M94" t="str">
            <v>3000/014Accounting fees</v>
          </cell>
        </row>
        <row r="95">
          <cell r="M95" t="str">
            <v>3000/020Bank charges</v>
          </cell>
        </row>
        <row r="96">
          <cell r="M96" t="str">
            <v>3000/030Bad debts</v>
          </cell>
        </row>
        <row r="97">
          <cell r="M97" t="str">
            <v>3000/040Cleaning</v>
          </cell>
        </row>
        <row r="98">
          <cell r="M98" t="str">
            <v>3000/050Computer expenses</v>
          </cell>
        </row>
        <row r="99">
          <cell r="M99" t="str">
            <v>3000/055Consulting and Professional fees</v>
          </cell>
        </row>
        <row r="100">
          <cell r="M100" t="str">
            <v>3000/060Depreciation----------------------------</v>
          </cell>
        </row>
        <row r="101">
          <cell r="M101" t="str">
            <v>3000/061Depr - Electronic equipment</v>
          </cell>
        </row>
        <row r="102">
          <cell r="M102" t="str">
            <v>3000/063Depr - Furniture &amp; Fittings</v>
          </cell>
        </row>
        <row r="103">
          <cell r="M103" t="str">
            <v>3000/070Directors' remuneration-----------------</v>
          </cell>
        </row>
        <row r="104">
          <cell r="M104" t="str">
            <v>3000/0710</v>
          </cell>
        </row>
        <row r="105">
          <cell r="M105" t="str">
            <v>3000/0720</v>
          </cell>
        </row>
        <row r="106">
          <cell r="M106" t="str">
            <v>3000/0730</v>
          </cell>
        </row>
        <row r="107">
          <cell r="M107" t="str">
            <v>3000/0740</v>
          </cell>
        </row>
        <row r="108">
          <cell r="M108" t="str">
            <v>3000/0750</v>
          </cell>
        </row>
        <row r="109">
          <cell r="M109" t="str">
            <v>3000/080Donations</v>
          </cell>
        </row>
        <row r="110">
          <cell r="M110" t="str">
            <v>3000/090Entertainment expenses</v>
          </cell>
        </row>
        <row r="111">
          <cell r="M111" t="str">
            <v>3000/095Fines</v>
          </cell>
        </row>
        <row r="112">
          <cell r="M112" t="str">
            <v>3000/100General expenses</v>
          </cell>
        </row>
        <row r="113">
          <cell r="M113" t="str">
            <v>3000/110Legal expenses - Tax deductible</v>
          </cell>
        </row>
        <row r="114">
          <cell r="M114" t="str">
            <v>3000/111Legal expenses - Non deductible</v>
          </cell>
        </row>
        <row r="115">
          <cell r="M115" t="str">
            <v>3000/120Printing and stationary</v>
          </cell>
        </row>
        <row r="116">
          <cell r="M116" t="str">
            <v>3000/130Refreshments</v>
          </cell>
        </row>
        <row r="117">
          <cell r="M117" t="str">
            <v>3000/140Salaries</v>
          </cell>
        </row>
        <row r="118">
          <cell r="M118" t="str">
            <v>3000/141Casual wages</v>
          </cell>
        </row>
        <row r="119">
          <cell r="M119" t="str">
            <v>3000/150Security</v>
          </cell>
        </row>
        <row r="120">
          <cell r="M120" t="str">
            <v>3000/160Subscriptions and Membership fees</v>
          </cell>
        </row>
        <row r="121">
          <cell r="M121" t="str">
            <v>3000/170Penalties &amp; Interest - SARS</v>
          </cell>
        </row>
        <row r="122">
          <cell r="M122" t="str">
            <v>3000/180Credit card fees</v>
          </cell>
        </row>
        <row r="123">
          <cell r="M123" t="str">
            <v>3000/190</v>
          </cell>
        </row>
        <row r="124">
          <cell r="M124" t="str">
            <v>3000/200</v>
          </cell>
        </row>
        <row r="125">
          <cell r="M125" t="str">
            <v>3000/210</v>
          </cell>
        </row>
        <row r="126">
          <cell r="M126" t="str">
            <v>3000/220</v>
          </cell>
        </row>
        <row r="127">
          <cell r="M127" t="str">
            <v>3000/230</v>
          </cell>
        </row>
        <row r="128">
          <cell r="M128" t="str">
            <v>3000/240</v>
          </cell>
        </row>
        <row r="129">
          <cell r="M129" t="str">
            <v>3000/250</v>
          </cell>
        </row>
        <row r="130">
          <cell r="M130" t="str">
            <v>3000/260</v>
          </cell>
        </row>
        <row r="131">
          <cell r="M131" t="str">
            <v>3000/270Amortisation of prepaid lease agreement</v>
          </cell>
        </row>
        <row r="132">
          <cell r="M132" t="str">
            <v>4210/000Pft/Loss on foreign exchange</v>
          </cell>
        </row>
        <row r="133">
          <cell r="M133" t="str">
            <v>4700/000FINANCE COSTS</v>
          </cell>
        </row>
        <row r="134">
          <cell r="M134" t="str">
            <v>4700/010Interest paid---------------------------</v>
          </cell>
        </row>
        <row r="135">
          <cell r="M135" t="str">
            <v>4700/011</v>
          </cell>
        </row>
        <row r="136">
          <cell r="M136" t="str">
            <v>4700/012</v>
          </cell>
        </row>
        <row r="137">
          <cell r="M137" t="str">
            <v>4700/013</v>
          </cell>
        </row>
        <row r="138">
          <cell r="M138" t="str">
            <v>4700/014</v>
          </cell>
        </row>
        <row r="139">
          <cell r="M139" t="str">
            <v>4700/015</v>
          </cell>
        </row>
        <row r="140">
          <cell r="M140" t="str">
            <v>4700/016</v>
          </cell>
        </row>
        <row r="141">
          <cell r="M141" t="str">
            <v>4700/017</v>
          </cell>
        </row>
        <row r="142">
          <cell r="M142" t="str">
            <v>4700/018</v>
          </cell>
        </row>
        <row r="143">
          <cell r="M143" t="str">
            <v>4700/019</v>
          </cell>
        </row>
        <row r="144">
          <cell r="M144" t="str">
            <v>4700/020</v>
          </cell>
        </row>
        <row r="145">
          <cell r="M145" t="str">
            <v>4700/021Hire purchase interest</v>
          </cell>
        </row>
        <row r="146">
          <cell r="M146" t="str">
            <v>4750/000OTHER</v>
          </cell>
        </row>
        <row r="147">
          <cell r="M147" t="str">
            <v>4750/010Loss on Revaluation of Investments</v>
          </cell>
        </row>
        <row r="148">
          <cell r="M148" t="str">
            <v>4800/000NORMAL TAXATION</v>
          </cell>
        </row>
        <row r="149">
          <cell r="M149" t="str">
            <v>4800/001Tax provided this year</v>
          </cell>
        </row>
        <row r="150">
          <cell r="M150" t="str">
            <v>4800/002Tax adjustment previous year</v>
          </cell>
        </row>
        <row r="151">
          <cell r="M151" t="str">
            <v>4820/000DEFERRED TAX</v>
          </cell>
        </row>
        <row r="152">
          <cell r="M152" t="str">
            <v>4820/001Deferred tax this year</v>
          </cell>
        </row>
        <row r="153">
          <cell r="M153" t="str">
            <v>4820/002Deferred tax adjustment previous year</v>
          </cell>
        </row>
        <row r="154">
          <cell r="M154" t="str">
            <v>4850/000Dividends Declared</v>
          </cell>
        </row>
        <row r="155">
          <cell r="M155" t="str">
            <v>4860/000Dividends paid</v>
          </cell>
        </row>
        <row r="159">
          <cell r="M159" t="str">
            <v>5100/000SHARE CAPITAL</v>
          </cell>
        </row>
        <row r="160">
          <cell r="M160" t="str">
            <v>5100/001Share Capital - Balance b/fwd</v>
          </cell>
        </row>
        <row r="161">
          <cell r="M161" t="str">
            <v>5100/002Share Capital - Additions</v>
          </cell>
        </row>
        <row r="162">
          <cell r="M162" t="str">
            <v>5110/000SHARE PREMIUM</v>
          </cell>
        </row>
        <row r="163">
          <cell r="M163" t="str">
            <v>5110/001Share premium - Balance b/fwd</v>
          </cell>
        </row>
        <row r="164">
          <cell r="M164" t="str">
            <v>5110/002Share premium - Additions</v>
          </cell>
        </row>
        <row r="165">
          <cell r="M165" t="str">
            <v>5110/003Share premium - transfer</v>
          </cell>
        </row>
        <row r="166">
          <cell r="M166" t="str">
            <v>5120/000VALUATION RESERVE</v>
          </cell>
        </row>
        <row r="167">
          <cell r="M167" t="str">
            <v>5120/001Valuation reserve - Balance b/fwd</v>
          </cell>
        </row>
        <row r="168">
          <cell r="M168" t="str">
            <v>5120/002Valuation reserve - Additions</v>
          </cell>
        </row>
        <row r="169">
          <cell r="M169" t="str">
            <v>5120/003Valuation reserve - transfer</v>
          </cell>
        </row>
        <row r="170">
          <cell r="M170" t="str">
            <v>5130/000OTHER RESERVES</v>
          </cell>
        </row>
        <row r="171">
          <cell r="M171" t="str">
            <v>5130/001Other reserves - Balance B/fwd</v>
          </cell>
        </row>
        <row r="172">
          <cell r="M172" t="str">
            <v>5130/002Other reserves - Additions</v>
          </cell>
        </row>
        <row r="173">
          <cell r="M173" t="str">
            <v>5130/003Other reserves - transfer</v>
          </cell>
        </row>
        <row r="174">
          <cell r="M174" t="str">
            <v>5200/000(Retained Income) / Accumulated Loss</v>
          </cell>
        </row>
        <row r="175">
          <cell r="M175" t="str">
            <v>5500/000LONG TERM  INTEREST LIABILITIES</v>
          </cell>
        </row>
        <row r="176">
          <cell r="M176" t="str">
            <v>5500/001Bond 1</v>
          </cell>
        </row>
        <row r="177">
          <cell r="M177" t="str">
            <v>5500/002Bond 2</v>
          </cell>
        </row>
        <row r="178">
          <cell r="M178" t="str">
            <v>5500/003Bond 3</v>
          </cell>
        </row>
        <row r="179">
          <cell r="M179" t="str">
            <v>5500/004HP 1</v>
          </cell>
        </row>
        <row r="180">
          <cell r="M180" t="str">
            <v>5500/005HP 2</v>
          </cell>
        </row>
        <row r="181">
          <cell r="M181" t="str">
            <v>5500/0060</v>
          </cell>
        </row>
        <row r="182">
          <cell r="M182" t="str">
            <v>5500/0070</v>
          </cell>
        </row>
        <row r="183">
          <cell r="M183" t="str">
            <v>5500/0080</v>
          </cell>
        </row>
        <row r="184">
          <cell r="M184" t="str">
            <v>5500/0090</v>
          </cell>
        </row>
        <row r="185">
          <cell r="M185" t="str">
            <v>5500/0100</v>
          </cell>
        </row>
        <row r="186">
          <cell r="M186" t="str">
            <v>5500/0110</v>
          </cell>
        </row>
        <row r="187">
          <cell r="M187" t="str">
            <v>5500/0120</v>
          </cell>
        </row>
        <row r="188">
          <cell r="M188" t="str">
            <v>5500/0130</v>
          </cell>
        </row>
        <row r="189">
          <cell r="M189" t="str">
            <v>5500/0140</v>
          </cell>
        </row>
        <row r="190">
          <cell r="M190" t="str">
            <v>5500/0150</v>
          </cell>
        </row>
        <row r="191">
          <cell r="M191" t="str">
            <v>5520/000Short term portion of long term loans</v>
          </cell>
        </row>
        <row r="192">
          <cell r="M192" t="str">
            <v>5550/000LONG TERM INTEREST FREE LOANS</v>
          </cell>
        </row>
        <row r="193">
          <cell r="M193" t="str">
            <v>5550/001Interest free 1</v>
          </cell>
        </row>
        <row r="194">
          <cell r="M194" t="str">
            <v>5550/002Interest free 2</v>
          </cell>
        </row>
        <row r="195">
          <cell r="M195" t="str">
            <v>5550/003Interest free 3</v>
          </cell>
        </row>
        <row r="196">
          <cell r="M196" t="str">
            <v>5550/004Interest free 4</v>
          </cell>
        </row>
        <row r="197">
          <cell r="M197" t="str">
            <v>5550/005Interest free 5</v>
          </cell>
        </row>
        <row r="198">
          <cell r="M198" t="str">
            <v>5550/006Interest free 6</v>
          </cell>
        </row>
        <row r="199">
          <cell r="M199" t="str">
            <v>5550/007Interest free 7</v>
          </cell>
        </row>
        <row r="200">
          <cell r="M200" t="str">
            <v>5550/008Interest free 8</v>
          </cell>
        </row>
        <row r="201">
          <cell r="M201" t="str">
            <v>5550/009Interest free 9</v>
          </cell>
        </row>
        <row r="202">
          <cell r="M202" t="str">
            <v>5550/010Interest free 10</v>
          </cell>
        </row>
        <row r="203">
          <cell r="M203" t="str">
            <v>5550/011Interest free 11</v>
          </cell>
        </row>
        <row r="204">
          <cell r="M204" t="str">
            <v>5550/012Interest free 12</v>
          </cell>
        </row>
        <row r="205">
          <cell r="M205" t="str">
            <v>5550/013Interest free 13</v>
          </cell>
        </row>
        <row r="206">
          <cell r="M206" t="str">
            <v>5550/014Interest free 14</v>
          </cell>
        </row>
        <row r="207">
          <cell r="M207" t="str">
            <v>5550/015Interest free 15</v>
          </cell>
        </row>
        <row r="208">
          <cell r="M208" t="str">
            <v>5550/016Interest free 16</v>
          </cell>
        </row>
        <row r="209">
          <cell r="M209" t="str">
            <v>5550/017Interest free 17</v>
          </cell>
        </row>
        <row r="210">
          <cell r="M210" t="str">
            <v>5700/000DEFERRED TAX</v>
          </cell>
        </row>
        <row r="211">
          <cell r="M211" t="str">
            <v>5700/010Deferred tax balance  depreciation b/fwd</v>
          </cell>
        </row>
        <row r="212">
          <cell r="M212" t="str">
            <v>5700/020Deferred tax balance  tax loss b/fwd</v>
          </cell>
        </row>
        <row r="213">
          <cell r="M213" t="str">
            <v>5700/030Deferred tax on depreciation for year</v>
          </cell>
        </row>
        <row r="214">
          <cell r="M214" t="str">
            <v>5700/040Deferred tax on tax loss for year</v>
          </cell>
        </row>
        <row r="215">
          <cell r="M215" t="str">
            <v>5700/050Def tax adj  depreciation previous year</v>
          </cell>
        </row>
        <row r="216">
          <cell r="M216" t="str">
            <v>5700/060Def tax adj tax loss previous year</v>
          </cell>
        </row>
        <row r="217">
          <cell r="M217" t="str">
            <v>6100/000LAND &amp; BUILDINGS - COST</v>
          </cell>
        </row>
        <row r="218">
          <cell r="M218" t="str">
            <v>6100/001Land_Buildings - Cost B/fwd</v>
          </cell>
        </row>
        <row r="219">
          <cell r="M219" t="str">
            <v>6100/002Land_Buildings - Additions</v>
          </cell>
        </row>
        <row r="220">
          <cell r="M220" t="str">
            <v>6100/003Land_Buildings - Cost of sales</v>
          </cell>
        </row>
        <row r="221">
          <cell r="M221" t="str">
            <v>6100/020LAND &amp; BUILDINGS - ACC DEPR</v>
          </cell>
        </row>
        <row r="222">
          <cell r="M222" t="str">
            <v>6100/021Land &amp; Buildings - Acc depr B/fwd</v>
          </cell>
        </row>
        <row r="223">
          <cell r="M223" t="str">
            <v>6100/022Land &amp; Buildings - Acc depr this year</v>
          </cell>
        </row>
        <row r="224">
          <cell r="M224" t="str">
            <v>6100/023Land &amp; Buildings - Acc depr on sales</v>
          </cell>
        </row>
        <row r="225">
          <cell r="M225" t="str">
            <v>6100/030LAND &amp; BUILDINGS - VALUATION</v>
          </cell>
        </row>
        <row r="226">
          <cell r="M226" t="str">
            <v>6100/031Land_Buildings - Valuation B/fwd</v>
          </cell>
        </row>
        <row r="227">
          <cell r="M227" t="str">
            <v>6100/032Land_Buildings - Valuation additions</v>
          </cell>
        </row>
        <row r="228">
          <cell r="M228" t="str">
            <v>6100/033Land_Buildings - Valuation reduction</v>
          </cell>
        </row>
        <row r="229">
          <cell r="M229" t="str">
            <v>6150/000PLANT &amp; MACHINERY - COST</v>
          </cell>
        </row>
        <row r="230">
          <cell r="M230" t="str">
            <v>6150/001Plant &amp; machinery - cost b/fwd</v>
          </cell>
        </row>
        <row r="231">
          <cell r="M231" t="str">
            <v>6150/002Plant &amp; machinery - Additions</v>
          </cell>
        </row>
        <row r="232">
          <cell r="M232" t="str">
            <v>6150/003Plant &amp; machinery - Cost of sales</v>
          </cell>
        </row>
        <row r="233">
          <cell r="M233" t="str">
            <v>6150/020PLANT &amp; MACHINERY - ACC DEPR</v>
          </cell>
        </row>
        <row r="234">
          <cell r="M234" t="str">
            <v>6150/021Plant &amp; Machinery - Acc depr b/fwd</v>
          </cell>
        </row>
        <row r="235">
          <cell r="M235" t="str">
            <v>6150/022Plant &amp; machinery - depr this year</v>
          </cell>
        </row>
        <row r="236">
          <cell r="M236" t="str">
            <v>6150/023Plant &amp; machinery - acc depr on sales</v>
          </cell>
        </row>
        <row r="237">
          <cell r="M237" t="str">
            <v>6200/000MOTOR VEHICLES - COST</v>
          </cell>
        </row>
        <row r="238">
          <cell r="M238" t="str">
            <v>6200/001Motor Vehicles - Cost B/fwd</v>
          </cell>
        </row>
        <row r="239">
          <cell r="M239" t="str">
            <v>6200/002Motor Vehicles - Additions</v>
          </cell>
        </row>
        <row r="240">
          <cell r="M240" t="str">
            <v>6200/003Motor Vehicles - Cost of sales</v>
          </cell>
        </row>
        <row r="241">
          <cell r="M241" t="str">
            <v>6200/020MOTOR VEHICLES - ACC DEPR</v>
          </cell>
        </row>
        <row r="242">
          <cell r="M242" t="str">
            <v>6200/021Motor vehicles - Acc depr b/fwd</v>
          </cell>
        </row>
        <row r="243">
          <cell r="M243" t="str">
            <v>6200/022Motor vehicles - Depr this year</v>
          </cell>
        </row>
        <row r="244">
          <cell r="M244" t="str">
            <v>6200/023Motor vehicles - Acc depr on sales</v>
          </cell>
        </row>
        <row r="245">
          <cell r="M245" t="str">
            <v>6250/000ELECTRONIC EQUIPMENT - COST</v>
          </cell>
        </row>
        <row r="246">
          <cell r="M246" t="str">
            <v>6250/001Electronic equipment - Cost b/fwd</v>
          </cell>
        </row>
        <row r="247">
          <cell r="M247" t="str">
            <v>6250/002Electronic equipment - Additions</v>
          </cell>
        </row>
        <row r="248">
          <cell r="M248" t="str">
            <v>6250/003Electronic equipment - Cost of sales</v>
          </cell>
        </row>
        <row r="249">
          <cell r="M249" t="str">
            <v>6250/020ELECTRONIC EQUIPMENT - ACC DEPR</v>
          </cell>
        </row>
        <row r="250">
          <cell r="M250" t="str">
            <v>6250/021Electronic equipment - Acc depr B/fwd</v>
          </cell>
        </row>
        <row r="251">
          <cell r="M251" t="str">
            <v>6250/022Electronic equipment - Depr this year</v>
          </cell>
        </row>
        <row r="252">
          <cell r="M252" t="str">
            <v>6250/023Electronic equipment - Acc depr on sales</v>
          </cell>
        </row>
        <row r="253">
          <cell r="M253" t="str">
            <v>6350/000FURNITURE &amp; FITTINGS - COST</v>
          </cell>
        </row>
        <row r="254">
          <cell r="M254" t="str">
            <v>6350/001Furniture &amp; fittings - Cost B/fwd</v>
          </cell>
        </row>
        <row r="255">
          <cell r="M255" t="str">
            <v>6350/002Furniture &amp; fittings - Additions</v>
          </cell>
        </row>
        <row r="256">
          <cell r="M256" t="str">
            <v>6350/003Furniture &amp; fittings - Cost of sales</v>
          </cell>
        </row>
        <row r="257">
          <cell r="M257" t="str">
            <v>6350/020FURNITURE &amp; FITTINGS - ACC DEPR</v>
          </cell>
        </row>
        <row r="258">
          <cell r="M258" t="str">
            <v>6350/021Furniture &amp; fittings - Acc depr B/fwd</v>
          </cell>
        </row>
        <row r="259">
          <cell r="M259" t="str">
            <v>6350/022Furniture &amp; fittings - Depr this year</v>
          </cell>
        </row>
        <row r="260">
          <cell r="M260" t="str">
            <v>6350/023Furniture &amp; fittings - Acc depr on sales</v>
          </cell>
        </row>
        <row r="261">
          <cell r="M261" t="str">
            <v>7000/000GOODWILL/INTANGIBLE ASSETS</v>
          </cell>
        </row>
        <row r="262">
          <cell r="M262" t="str">
            <v>7000/010Goodwill Cost</v>
          </cell>
        </row>
        <row r="263">
          <cell r="M263" t="str">
            <v>7000/011Prepaid lease agreement - Cost</v>
          </cell>
        </row>
        <row r="264">
          <cell r="M264" t="str">
            <v>7000/015PLA - surplus on revaluation</v>
          </cell>
        </row>
        <row r="265">
          <cell r="M265" t="str">
            <v>7000/020PLA - write down this year</v>
          </cell>
        </row>
        <row r="266">
          <cell r="M266" t="str">
            <v>7000/025PLA - write down previous years</v>
          </cell>
        </row>
        <row r="267">
          <cell r="M267" t="str">
            <v>7100/000INVESTMENTS</v>
          </cell>
        </row>
        <row r="268">
          <cell r="M268" t="str">
            <v>7100/100LISTED INVESTMENTS</v>
          </cell>
        </row>
        <row r="269">
          <cell r="M269" t="str">
            <v>7100/101Listed 1</v>
          </cell>
        </row>
        <row r="270">
          <cell r="M270" t="str">
            <v>7100/102Listed 2</v>
          </cell>
        </row>
        <row r="271">
          <cell r="M271" t="str">
            <v>7100/103Listed 3</v>
          </cell>
        </row>
        <row r="272">
          <cell r="M272" t="str">
            <v>7100/104Listed 4</v>
          </cell>
        </row>
        <row r="273">
          <cell r="M273" t="str">
            <v>7100/105Listed 5</v>
          </cell>
        </row>
        <row r="274">
          <cell r="M274" t="str">
            <v>7100/200OTHER INVESTMENTS</v>
          </cell>
        </row>
        <row r="275">
          <cell r="M275" t="str">
            <v>7100/201Other investments 1</v>
          </cell>
        </row>
        <row r="276">
          <cell r="M276" t="str">
            <v>7100/202Other investments 2</v>
          </cell>
        </row>
        <row r="277">
          <cell r="M277" t="str">
            <v>7100/203Other investments 3</v>
          </cell>
        </row>
        <row r="278">
          <cell r="M278" t="str">
            <v>7100/204Other investments 4</v>
          </cell>
        </row>
        <row r="279">
          <cell r="M279" t="str">
            <v>7100/205Other investments 5</v>
          </cell>
        </row>
        <row r="280">
          <cell r="M280" t="str">
            <v>7450/000CONNECTED COMPANIES</v>
          </cell>
        </row>
        <row r="281">
          <cell r="M281" t="str">
            <v>7450/000Interest bearing</v>
          </cell>
        </row>
        <row r="282">
          <cell r="M282" t="str">
            <v>7450/001Connected 1</v>
          </cell>
        </row>
        <row r="283">
          <cell r="M283" t="str">
            <v>7450/002Connected 2</v>
          </cell>
        </row>
        <row r="284">
          <cell r="M284" t="str">
            <v>7450/000Interest free</v>
          </cell>
        </row>
        <row r="285">
          <cell r="M285" t="str">
            <v>7450/003Connected 3</v>
          </cell>
        </row>
        <row r="286">
          <cell r="M286" t="str">
            <v>7450/004Connected 4</v>
          </cell>
        </row>
        <row r="287">
          <cell r="M287" t="str">
            <v>7450/005Connected 5</v>
          </cell>
        </row>
        <row r="288">
          <cell r="M288" t="str">
            <v>7460/000OTHER NON CURRENT RECEIVABLES</v>
          </cell>
        </row>
        <row r="289">
          <cell r="M289" t="str">
            <v>7460/000Interest bearing</v>
          </cell>
        </row>
        <row r="290">
          <cell r="M290" t="str">
            <v>7460/001Other non current 1</v>
          </cell>
        </row>
        <row r="291">
          <cell r="M291" t="str">
            <v>7460/002Other non current 2</v>
          </cell>
        </row>
        <row r="292">
          <cell r="M292" t="str">
            <v>7460/003Other non current 3</v>
          </cell>
        </row>
        <row r="293">
          <cell r="M293" t="str">
            <v>7460/000Interest free</v>
          </cell>
        </row>
        <row r="294">
          <cell r="M294" t="str">
            <v>7460/004Other non current 4</v>
          </cell>
        </row>
        <row r="295">
          <cell r="M295" t="str">
            <v>7460/005Other non current 5</v>
          </cell>
        </row>
        <row r="296">
          <cell r="M296" t="str">
            <v>7460/006Other non current 6</v>
          </cell>
        </row>
        <row r="297">
          <cell r="M297" t="str">
            <v>7460/007Other non current 7</v>
          </cell>
        </row>
        <row r="298">
          <cell r="M298" t="str">
            <v>7460/008Other non current 8</v>
          </cell>
        </row>
        <row r="299">
          <cell r="M299" t="str">
            <v>7500/000INVENTORY</v>
          </cell>
        </row>
        <row r="300">
          <cell r="M300" t="str">
            <v>7500/001Raw materials</v>
          </cell>
        </row>
        <row r="301">
          <cell r="M301" t="str">
            <v>7500/002Work in progress</v>
          </cell>
        </row>
        <row r="302">
          <cell r="M302" t="str">
            <v>7500/003Finished goods</v>
          </cell>
        </row>
        <row r="303">
          <cell r="M303" t="str">
            <v>7500/004Trading stock</v>
          </cell>
        </row>
        <row r="304">
          <cell r="M304" t="str">
            <v>8000/000DEBTORS</v>
          </cell>
        </row>
        <row r="305">
          <cell r="M305" t="str">
            <v>8010/000Trade debtors</v>
          </cell>
        </row>
        <row r="306">
          <cell r="M306" t="str">
            <v>8020/000Less: Provision For Doubtful Debts</v>
          </cell>
        </row>
        <row r="307">
          <cell r="M307" t="str">
            <v>8030/000Service deposits</v>
          </cell>
        </row>
        <row r="308">
          <cell r="M308" t="str">
            <v>8200/000Sundry Customers</v>
          </cell>
        </row>
        <row r="309">
          <cell r="M309" t="str">
            <v>8200/010Prepayments</v>
          </cell>
        </row>
        <row r="310">
          <cell r="M310" t="str">
            <v>8200/020Staff Loans</v>
          </cell>
        </row>
        <row r="311">
          <cell r="M311" t="str">
            <v>8400/000BANK ACCOUNTS</v>
          </cell>
        </row>
        <row r="312">
          <cell r="M312" t="str">
            <v>8410/000Bank account 1</v>
          </cell>
        </row>
        <row r="313">
          <cell r="M313" t="str">
            <v>8420/000Bank account 2</v>
          </cell>
        </row>
        <row r="314">
          <cell r="M314" t="str">
            <v>8430/000Bank account 3</v>
          </cell>
        </row>
        <row r="315">
          <cell r="M315" t="str">
            <v>8440/000Bank account 4</v>
          </cell>
        </row>
        <row r="316">
          <cell r="M316" t="str">
            <v>8450/000Bank account 5</v>
          </cell>
        </row>
        <row r="317">
          <cell r="M317" t="str">
            <v>8460/000Bank account 6</v>
          </cell>
        </row>
        <row r="318">
          <cell r="M318" t="str">
            <v>8500/000Cash on hand</v>
          </cell>
        </row>
        <row r="319">
          <cell r="M319" t="str">
            <v>8900/000SHORT TERM LOANS</v>
          </cell>
        </row>
        <row r="320">
          <cell r="M320" t="str">
            <v>8900/001Short term 1</v>
          </cell>
        </row>
        <row r="321">
          <cell r="M321" t="str">
            <v>8900/002Short term 2</v>
          </cell>
        </row>
        <row r="322">
          <cell r="M322" t="str">
            <v>8900/003Short term 3</v>
          </cell>
        </row>
        <row r="323">
          <cell r="M323" t="str">
            <v>8900/004Short term portion of long term loans</v>
          </cell>
        </row>
        <row r="324">
          <cell r="M324" t="str">
            <v>9000/000CREDITORS</v>
          </cell>
        </row>
        <row r="325">
          <cell r="M325" t="str">
            <v>9010/000Trade creditors</v>
          </cell>
        </row>
        <row r="326">
          <cell r="M326" t="str">
            <v>9200/000Sundry Suppliers</v>
          </cell>
        </row>
        <row r="327">
          <cell r="M327" t="str">
            <v>9200/010Audit fee accrual</v>
          </cell>
        </row>
        <row r="328">
          <cell r="M328" t="str">
            <v>9200/020Other Accruals</v>
          </cell>
        </row>
        <row r="329">
          <cell r="M329" t="str">
            <v>9250/000Salary &amp; Wages Control</v>
          </cell>
        </row>
        <row r="330">
          <cell r="M330" t="str">
            <v>9300/000TAXATION</v>
          </cell>
        </row>
        <row r="331">
          <cell r="M331" t="str">
            <v>9300/010Balance b/fwd</v>
          </cell>
        </row>
        <row r="332">
          <cell r="M332" t="str">
            <v>9300/020Tax provision this year</v>
          </cell>
        </row>
        <row r="333">
          <cell r="M333" t="str">
            <v>9300/030Over-/Underprovision previous year</v>
          </cell>
        </row>
        <row r="334">
          <cell r="M334" t="str">
            <v>9300/040Tax paid for previous year provisions</v>
          </cell>
        </row>
        <row r="335">
          <cell r="M335" t="str">
            <v>9300/0501st Provisional Paid</v>
          </cell>
        </row>
        <row r="336">
          <cell r="M336" t="str">
            <v>9300/0602nd Provisional Paid</v>
          </cell>
        </row>
        <row r="337">
          <cell r="M337" t="str">
            <v>9300/0703rd Provisional paid</v>
          </cell>
        </row>
        <row r="338">
          <cell r="M338" t="str">
            <v>9300/090Dividends tax Provision this year</v>
          </cell>
        </row>
        <row r="339">
          <cell r="M339" t="str">
            <v>9350/000Dividends Payable</v>
          </cell>
        </row>
        <row r="340">
          <cell r="M340" t="str">
            <v>9400/000Provision for Future Expenses</v>
          </cell>
        </row>
        <row r="341">
          <cell r="M341" t="str">
            <v>9400/010Provision for Insurance</v>
          </cell>
        </row>
        <row r="342">
          <cell r="M342" t="str">
            <v>9400/020Provision for Salary Bonus</v>
          </cell>
        </row>
        <row r="343">
          <cell r="M343" t="str">
            <v>9500/000VALUE ADDED TAX</v>
          </cell>
        </row>
        <row r="344">
          <cell r="M344" t="str">
            <v>9501/000VAT account</v>
          </cell>
        </row>
        <row r="345">
          <cell r="M345" t="str">
            <v>9510/000----------------------------------------</v>
          </cell>
        </row>
        <row r="346">
          <cell r="M346" t="str">
            <v>9990/000Suspense Account</v>
          </cell>
        </row>
      </sheetData>
      <sheetData sheetId="25"/>
      <sheetData sheetId="26">
        <row r="5">
          <cell r="M5" t="str">
            <v>1000/001Sales</v>
          </cell>
        </row>
        <row r="6">
          <cell r="M6" t="str">
            <v>1000/002Sales 2</v>
          </cell>
        </row>
        <row r="7">
          <cell r="M7" t="str">
            <v>1000/003Rent Received</v>
          </cell>
        </row>
        <row r="8">
          <cell r="M8" t="str">
            <v>2000/000COST OF SALES</v>
          </cell>
        </row>
        <row r="9">
          <cell r="M9" t="str">
            <v>2000/001Opening stock - Raw materials</v>
          </cell>
        </row>
        <row r="10">
          <cell r="M10" t="str">
            <v>2000/002Opening stock - WIP</v>
          </cell>
        </row>
        <row r="11">
          <cell r="M11" t="str">
            <v>2000/003Opening stock - Finished goods</v>
          </cell>
        </row>
        <row r="12">
          <cell r="M12" t="str">
            <v>2000/004Opening stock - Trading stock</v>
          </cell>
        </row>
        <row r="13">
          <cell r="M13" t="str">
            <v>2000/010Purchases</v>
          </cell>
        </row>
        <row r="14">
          <cell r="M14" t="str">
            <v>2000/011www</v>
          </cell>
        </row>
        <row r="15">
          <cell r="M15" t="str">
            <v>2000/012</v>
          </cell>
        </row>
        <row r="16">
          <cell r="M16" t="str">
            <v>2000/013</v>
          </cell>
        </row>
        <row r="17">
          <cell r="M17" t="str">
            <v>2000/014</v>
          </cell>
        </row>
        <row r="18">
          <cell r="M18" t="str">
            <v>2000/015</v>
          </cell>
        </row>
        <row r="19">
          <cell r="M19" t="str">
            <v>2000/050Closing stock - Raw materials</v>
          </cell>
        </row>
        <row r="20">
          <cell r="M20" t="str">
            <v>2000/051Closing stock - WIP</v>
          </cell>
        </row>
        <row r="21">
          <cell r="M21" t="str">
            <v>2000/052Closing stock - Finished goods</v>
          </cell>
        </row>
        <row r="22">
          <cell r="M22" t="str">
            <v>2000/053Closing stock - Trading stock</v>
          </cell>
        </row>
        <row r="23">
          <cell r="M23" t="str">
            <v>2050/000OTHER OPERATING INCOME</v>
          </cell>
        </row>
        <row r="24">
          <cell r="M24" t="str">
            <v>2050/001Insurance claims - Rental Properties</v>
          </cell>
        </row>
        <row r="25">
          <cell r="M25" t="str">
            <v>2050/002</v>
          </cell>
        </row>
        <row r="26">
          <cell r="M26" t="str">
            <v>2050/003</v>
          </cell>
        </row>
        <row r="27">
          <cell r="M27" t="str">
            <v>2050/004</v>
          </cell>
        </row>
        <row r="28">
          <cell r="M28" t="str">
            <v>2050/005</v>
          </cell>
        </row>
        <row r="29">
          <cell r="M29" t="str">
            <v>2060/000NET (PROFIT)/LOSS OTHER</v>
          </cell>
        </row>
        <row r="30">
          <cell r="M30" t="str">
            <v>2060/001</v>
          </cell>
        </row>
        <row r="31">
          <cell r="M31" t="str">
            <v>2060/002</v>
          </cell>
        </row>
        <row r="32">
          <cell r="M32" t="str">
            <v>2060/003</v>
          </cell>
        </row>
        <row r="33">
          <cell r="M33" t="str">
            <v>2060/004</v>
          </cell>
        </row>
        <row r="34">
          <cell r="M34" t="str">
            <v>2100/000OPERATING EXPENSES</v>
          </cell>
        </row>
        <row r="35">
          <cell r="M35" t="str">
            <v>2100/001Advertising</v>
          </cell>
        </row>
        <row r="36">
          <cell r="M36" t="str">
            <v>2100/010Assets less than R7,000</v>
          </cell>
        </row>
        <row r="37">
          <cell r="M37" t="str">
            <v>2100/020Consumables</v>
          </cell>
        </row>
        <row r="38">
          <cell r="M38" t="str">
            <v>2100/030Depreciation--------------------------------------------------</v>
          </cell>
        </row>
        <row r="39">
          <cell r="M39" t="str">
            <v>2100/031Depr - Land &amp; buildings</v>
          </cell>
        </row>
        <row r="40">
          <cell r="M40" t="str">
            <v>2100/032Depr - Plant &amp; Machinery</v>
          </cell>
        </row>
        <row r="41">
          <cell r="M41" t="str">
            <v>2100/033Depr - Motor vehicles</v>
          </cell>
        </row>
        <row r="42">
          <cell r="M42" t="str">
            <v>2100/040Discounts allowed</v>
          </cell>
        </row>
        <row r="43">
          <cell r="M43" t="str">
            <v>2100/050Electricity and Water</v>
          </cell>
        </row>
        <row r="44">
          <cell r="M44" t="str">
            <v>2100/055Equipment lease</v>
          </cell>
        </row>
        <row r="45">
          <cell r="M45" t="str">
            <v>2100/060Insurance</v>
          </cell>
        </row>
        <row r="46">
          <cell r="M46" t="str">
            <v>2100/071Levies - SDL</v>
          </cell>
        </row>
        <row r="47">
          <cell r="M47" t="str">
            <v>2100/072Levies - other</v>
          </cell>
        </row>
        <row r="48">
          <cell r="M48" t="str">
            <v>2100/080Trade licenses</v>
          </cell>
        </row>
        <row r="49">
          <cell r="M49" t="str">
            <v>2100/090Motor vehicle expenses----------------------------------</v>
          </cell>
        </row>
        <row r="50">
          <cell r="M50" t="str">
            <v>2100/091Motor vehicle expenses - Petrol and oil</v>
          </cell>
        </row>
        <row r="51">
          <cell r="M51" t="str">
            <v>2100/092Motor vehicle expenses - R&amp;M</v>
          </cell>
        </row>
        <row r="52">
          <cell r="M52" t="str">
            <v>2100/093Motor vehicle expenses - Insurance</v>
          </cell>
        </row>
        <row r="53">
          <cell r="M53" t="str">
            <v>2100/094Motor vehicle expenses - licenses</v>
          </cell>
        </row>
        <row r="54">
          <cell r="M54" t="str">
            <v>2100/095Motor vehicle expenses - general</v>
          </cell>
        </row>
        <row r="55">
          <cell r="M55" t="str">
            <v>2100/100Rent paid-------------------------------</v>
          </cell>
        </row>
        <row r="56">
          <cell r="M56" t="str">
            <v>2100/101</v>
          </cell>
        </row>
        <row r="57">
          <cell r="M57" t="str">
            <v>2100/102</v>
          </cell>
        </row>
        <row r="58">
          <cell r="M58" t="str">
            <v>2100/103</v>
          </cell>
        </row>
        <row r="59">
          <cell r="M59" t="str">
            <v>2100/110Repairs and maintenance</v>
          </cell>
        </row>
        <row r="60">
          <cell r="M60" t="str">
            <v>2100/120Salaries</v>
          </cell>
        </row>
        <row r="61">
          <cell r="M61" t="str">
            <v>2100/121UIF - Employer</v>
          </cell>
        </row>
        <row r="62">
          <cell r="M62" t="str">
            <v>2100/122Casual wages</v>
          </cell>
        </row>
        <row r="63">
          <cell r="M63" t="str">
            <v>2100/130Telephone</v>
          </cell>
        </row>
        <row r="64">
          <cell r="M64" t="str">
            <v>2100/135Postage and courier</v>
          </cell>
        </row>
        <row r="65">
          <cell r="M65" t="str">
            <v>2100/140Training</v>
          </cell>
        </row>
        <row r="66">
          <cell r="M66" t="str">
            <v>2100/150Traveling</v>
          </cell>
        </row>
        <row r="67">
          <cell r="M67" t="str">
            <v>2150/001</v>
          </cell>
        </row>
        <row r="68">
          <cell r="M68" t="str">
            <v>2150/002</v>
          </cell>
        </row>
        <row r="69">
          <cell r="M69" t="str">
            <v>2150/003</v>
          </cell>
        </row>
        <row r="70">
          <cell r="M70" t="str">
            <v>2150/004</v>
          </cell>
        </row>
        <row r="71">
          <cell r="M71" t="str">
            <v>2150/005</v>
          </cell>
        </row>
        <row r="72">
          <cell r="M72" t="str">
            <v>2150/006</v>
          </cell>
        </row>
        <row r="73">
          <cell r="M73" t="str">
            <v>2150/007</v>
          </cell>
        </row>
        <row r="74">
          <cell r="M74" t="str">
            <v>2150/008</v>
          </cell>
        </row>
        <row r="75">
          <cell r="M75" t="str">
            <v>2150/009</v>
          </cell>
        </row>
        <row r="76">
          <cell r="M76" t="str">
            <v>2150/010</v>
          </cell>
        </row>
        <row r="77">
          <cell r="M77" t="str">
            <v>2500/000OTHER INCOME</v>
          </cell>
        </row>
        <row r="78">
          <cell r="M78" t="str">
            <v>2710/000Rent Received (Not Main income)</v>
          </cell>
        </row>
        <row r="79">
          <cell r="M79" t="str">
            <v>2750/000Interest Received-----------------------</v>
          </cell>
        </row>
        <row r="80">
          <cell r="M80" t="str">
            <v>2750/001</v>
          </cell>
        </row>
        <row r="81">
          <cell r="M81" t="str">
            <v>2750/002</v>
          </cell>
        </row>
        <row r="82">
          <cell r="M82" t="str">
            <v>2750/003</v>
          </cell>
        </row>
        <row r="83">
          <cell r="M83" t="str">
            <v>2750/004</v>
          </cell>
        </row>
        <row r="84">
          <cell r="M84" t="str">
            <v>2800/000Dividends received----------------------</v>
          </cell>
        </row>
        <row r="85">
          <cell r="M85" t="str">
            <v>2800/001Div's received - SA sources</v>
          </cell>
        </row>
        <row r="86">
          <cell r="M86" t="str">
            <v>2800/002Div's received - Foreign div's</v>
          </cell>
        </row>
        <row r="87">
          <cell r="M87" t="str">
            <v>2810/000(Profit)/Loss on sale of fixed assets</v>
          </cell>
        </row>
        <row r="88">
          <cell r="M88" t="str">
            <v>2820/000Bad debts recovered</v>
          </cell>
        </row>
        <row r="89">
          <cell r="M89" t="str">
            <v>2830/000Other income</v>
          </cell>
        </row>
        <row r="90">
          <cell r="M90" t="str">
            <v>3000/000ADMINISTRATION EXPENSES</v>
          </cell>
        </row>
        <row r="91">
          <cell r="M91" t="str">
            <v>3000/011Audit fees for current year</v>
          </cell>
        </row>
        <row r="92">
          <cell r="M92" t="str">
            <v>3000/012Under provision previous year</v>
          </cell>
        </row>
        <row r="93">
          <cell r="M93" t="str">
            <v>3000/013Overprovision previous year</v>
          </cell>
        </row>
        <row r="94">
          <cell r="M94" t="str">
            <v>3000/014Accounting fees</v>
          </cell>
        </row>
        <row r="95">
          <cell r="M95" t="str">
            <v>3000/020Bank charges</v>
          </cell>
        </row>
        <row r="96">
          <cell r="M96" t="str">
            <v>3000/030Bad debts</v>
          </cell>
        </row>
        <row r="97">
          <cell r="M97" t="str">
            <v>3000/040Cleaning</v>
          </cell>
        </row>
        <row r="98">
          <cell r="M98" t="str">
            <v>3000/050Computer expenses</v>
          </cell>
        </row>
        <row r="99">
          <cell r="M99" t="str">
            <v>3000/055Consulting and Professional fees</v>
          </cell>
        </row>
        <row r="100">
          <cell r="M100" t="str">
            <v>3000/060Depreciation----------------------------</v>
          </cell>
        </row>
        <row r="101">
          <cell r="M101" t="str">
            <v>3000/061Depr - Electronic equipment</v>
          </cell>
        </row>
        <row r="102">
          <cell r="M102" t="str">
            <v>3000/063Depr - Furniture &amp; Fittings</v>
          </cell>
        </row>
        <row r="103">
          <cell r="M103" t="str">
            <v>3000/070Directors' remuneration-----------------</v>
          </cell>
        </row>
        <row r="104">
          <cell r="M104" t="str">
            <v>3000/0710</v>
          </cell>
        </row>
        <row r="105">
          <cell r="M105" t="str">
            <v>3000/0720</v>
          </cell>
        </row>
        <row r="106">
          <cell r="M106" t="str">
            <v>3000/0730</v>
          </cell>
        </row>
        <row r="107">
          <cell r="M107" t="str">
            <v>3000/0740</v>
          </cell>
        </row>
        <row r="108">
          <cell r="M108" t="str">
            <v>3000/0750</v>
          </cell>
        </row>
        <row r="109">
          <cell r="M109" t="str">
            <v>3000/080Donations</v>
          </cell>
        </row>
        <row r="110">
          <cell r="M110" t="str">
            <v>3000/090Entertainment expenses</v>
          </cell>
        </row>
        <row r="111">
          <cell r="M111" t="str">
            <v>3000/095Fines</v>
          </cell>
        </row>
        <row r="112">
          <cell r="M112" t="str">
            <v>3000/100General expenses</v>
          </cell>
        </row>
        <row r="113">
          <cell r="M113" t="str">
            <v>3000/110Legal expenses - Tax deductible</v>
          </cell>
        </row>
        <row r="114">
          <cell r="M114" t="str">
            <v>3000/111Legal expenses - Non deductible</v>
          </cell>
        </row>
        <row r="115">
          <cell r="M115" t="str">
            <v>3000/120Printing and stationary</v>
          </cell>
        </row>
        <row r="116">
          <cell r="M116" t="str">
            <v>3000/130Refreshments</v>
          </cell>
        </row>
        <row r="117">
          <cell r="M117" t="str">
            <v>3000/140Salaries</v>
          </cell>
        </row>
        <row r="118">
          <cell r="M118" t="str">
            <v>3000/141Casual wages</v>
          </cell>
        </row>
        <row r="119">
          <cell r="M119" t="str">
            <v>3000/150Security</v>
          </cell>
        </row>
        <row r="120">
          <cell r="M120" t="str">
            <v>3000/160Subscriptions and Membership fees</v>
          </cell>
        </row>
        <row r="121">
          <cell r="M121" t="str">
            <v>3000/170Penalties &amp; Interest - SARS</v>
          </cell>
        </row>
        <row r="122">
          <cell r="M122" t="str">
            <v>3000/180Levies</v>
          </cell>
        </row>
        <row r="123">
          <cell r="M123" t="str">
            <v>3000/190</v>
          </cell>
        </row>
        <row r="124">
          <cell r="M124" t="str">
            <v>3000/200</v>
          </cell>
        </row>
        <row r="125">
          <cell r="M125" t="str">
            <v>3000/210</v>
          </cell>
        </row>
        <row r="126">
          <cell r="M126" t="str">
            <v>3000/220</v>
          </cell>
        </row>
        <row r="127">
          <cell r="M127" t="str">
            <v>3000/230</v>
          </cell>
        </row>
        <row r="128">
          <cell r="M128" t="str">
            <v>3000/240</v>
          </cell>
        </row>
        <row r="129">
          <cell r="M129" t="str">
            <v>3000/250</v>
          </cell>
        </row>
        <row r="130">
          <cell r="M130" t="str">
            <v>3000/260</v>
          </cell>
        </row>
        <row r="131">
          <cell r="M131" t="str">
            <v>3000/270Amortisation of prepaid lease agreement</v>
          </cell>
        </row>
        <row r="132">
          <cell r="M132" t="str">
            <v>4210/000Pft/Loss on foreign exchange</v>
          </cell>
        </row>
        <row r="133">
          <cell r="M133" t="str">
            <v>4700/000FINANCE COSTS</v>
          </cell>
        </row>
        <row r="134">
          <cell r="M134" t="str">
            <v>4700/010Interest paid---------------------------</v>
          </cell>
        </row>
        <row r="135">
          <cell r="M135" t="str">
            <v>4700/011</v>
          </cell>
        </row>
        <row r="136">
          <cell r="M136" t="str">
            <v>4700/012</v>
          </cell>
        </row>
        <row r="137">
          <cell r="M137" t="str">
            <v>4700/013</v>
          </cell>
        </row>
        <row r="138">
          <cell r="M138" t="str">
            <v>4700/014</v>
          </cell>
        </row>
        <row r="139">
          <cell r="M139" t="str">
            <v>4700/015</v>
          </cell>
        </row>
        <row r="140">
          <cell r="M140" t="str">
            <v>4700/016</v>
          </cell>
        </row>
        <row r="141">
          <cell r="M141" t="str">
            <v>4700/017</v>
          </cell>
        </row>
        <row r="142">
          <cell r="M142" t="str">
            <v>4700/018</v>
          </cell>
        </row>
        <row r="143">
          <cell r="M143" t="str">
            <v>4700/019</v>
          </cell>
        </row>
        <row r="144">
          <cell r="M144" t="str">
            <v>4700/020</v>
          </cell>
        </row>
        <row r="145">
          <cell r="M145" t="str">
            <v>4700/021Hire purchase interest</v>
          </cell>
        </row>
        <row r="146">
          <cell r="M146" t="str">
            <v>4750/000OTHER</v>
          </cell>
        </row>
        <row r="147">
          <cell r="M147" t="str">
            <v>4750/010Loss on Revaluation of Investments</v>
          </cell>
        </row>
        <row r="148">
          <cell r="M148" t="str">
            <v>4800/000NORMAL TAXATION</v>
          </cell>
        </row>
        <row r="149">
          <cell r="M149" t="str">
            <v>4800/001Tax provided this year</v>
          </cell>
        </row>
        <row r="150">
          <cell r="M150" t="str">
            <v>4800/002Tax adjustment previous year</v>
          </cell>
        </row>
        <row r="151">
          <cell r="M151" t="str">
            <v>4820/000DEFERRED TAX</v>
          </cell>
        </row>
        <row r="152">
          <cell r="M152" t="str">
            <v>4820/001Deferred tax this year</v>
          </cell>
        </row>
        <row r="153">
          <cell r="M153" t="str">
            <v>4820/002Deferred tax adjustment previous year</v>
          </cell>
        </row>
        <row r="154">
          <cell r="M154" t="str">
            <v>4850/000Dividends Declared</v>
          </cell>
        </row>
        <row r="155">
          <cell r="M155" t="str">
            <v>4860/000Dividends paid</v>
          </cell>
        </row>
        <row r="159">
          <cell r="M159" t="str">
            <v>5100/000SHARE CAPITAL</v>
          </cell>
        </row>
        <row r="160">
          <cell r="M160" t="str">
            <v>5100/001Share Capital - Balance b/fwd</v>
          </cell>
        </row>
        <row r="161">
          <cell r="M161" t="str">
            <v>5100/002Share Capital - Additions</v>
          </cell>
        </row>
        <row r="162">
          <cell r="M162" t="str">
            <v>5110/000SHARE PREMIUM</v>
          </cell>
        </row>
        <row r="163">
          <cell r="M163" t="str">
            <v>5110/001Share premium - Balance b/fwd</v>
          </cell>
        </row>
        <row r="164">
          <cell r="M164" t="str">
            <v>5110/002Share premium - Additions</v>
          </cell>
        </row>
        <row r="165">
          <cell r="M165" t="str">
            <v>5110/003Share premium - transfer</v>
          </cell>
        </row>
        <row r="166">
          <cell r="M166" t="str">
            <v>5120/000VALUATION RESERVE</v>
          </cell>
        </row>
        <row r="167">
          <cell r="M167" t="str">
            <v>5120/001Valuation reserve - Balance b/fwd</v>
          </cell>
        </row>
        <row r="168">
          <cell r="M168" t="str">
            <v>5120/002Valuation reserve - Additions</v>
          </cell>
        </row>
        <row r="169">
          <cell r="M169" t="str">
            <v>5120/003Valuation reserve - transfer to p/l</v>
          </cell>
        </row>
        <row r="170">
          <cell r="M170" t="str">
            <v>5130/000OTHER RESERVES</v>
          </cell>
        </row>
        <row r="171">
          <cell r="M171" t="str">
            <v>5130/001Other reserves - Balance B/fwd</v>
          </cell>
        </row>
        <row r="172">
          <cell r="M172" t="str">
            <v>5130/002Other reserves - Additions</v>
          </cell>
        </row>
        <row r="173">
          <cell r="M173" t="str">
            <v>5130/003Other reserves - transfer</v>
          </cell>
        </row>
        <row r="174">
          <cell r="M174" t="str">
            <v>5200/000(Retained Income) / Accumulated Loss</v>
          </cell>
        </row>
        <row r="175">
          <cell r="M175" t="str">
            <v>5500/000LONG TERM  INTEREST LIABILITIES</v>
          </cell>
        </row>
        <row r="176">
          <cell r="M176" t="str">
            <v>5500/001Bond 1</v>
          </cell>
        </row>
        <row r="177">
          <cell r="M177" t="str">
            <v>5500/002Bond 2</v>
          </cell>
        </row>
        <row r="178">
          <cell r="M178" t="str">
            <v>5500/003Bond 3</v>
          </cell>
        </row>
        <row r="179">
          <cell r="M179" t="str">
            <v>5500/004HP 1</v>
          </cell>
        </row>
        <row r="180">
          <cell r="M180" t="str">
            <v>5500/005HP 2</v>
          </cell>
        </row>
        <row r="181">
          <cell r="M181" t="str">
            <v>5500/0060</v>
          </cell>
        </row>
        <row r="182">
          <cell r="M182" t="str">
            <v>5500/0070</v>
          </cell>
        </row>
        <row r="183">
          <cell r="M183" t="str">
            <v>5500/0080</v>
          </cell>
        </row>
        <row r="184">
          <cell r="M184" t="str">
            <v>5500/0090</v>
          </cell>
        </row>
        <row r="185">
          <cell r="M185" t="str">
            <v>5500/0100</v>
          </cell>
        </row>
        <row r="186">
          <cell r="M186" t="str">
            <v>5500/0110</v>
          </cell>
        </row>
        <row r="187">
          <cell r="M187" t="str">
            <v>5500/0120</v>
          </cell>
        </row>
        <row r="188">
          <cell r="M188" t="str">
            <v>5500/0130</v>
          </cell>
        </row>
        <row r="189">
          <cell r="M189" t="str">
            <v>5500/0140</v>
          </cell>
        </row>
        <row r="190">
          <cell r="M190" t="str">
            <v>5500/0150</v>
          </cell>
        </row>
        <row r="191">
          <cell r="M191" t="str">
            <v>5520/000Short term portion of long term loans</v>
          </cell>
        </row>
        <row r="192">
          <cell r="M192" t="str">
            <v>5550/000LONG TERM INTEREST FREE LOANS</v>
          </cell>
        </row>
        <row r="193">
          <cell r="M193" t="str">
            <v>5550/001Interest free 1</v>
          </cell>
        </row>
        <row r="194">
          <cell r="M194" t="str">
            <v>5550/002Interest free 2</v>
          </cell>
        </row>
        <row r="195">
          <cell r="M195" t="str">
            <v>5550/003Interest free 3</v>
          </cell>
        </row>
        <row r="196">
          <cell r="M196" t="str">
            <v>5550/004Interest free 4</v>
          </cell>
        </row>
        <row r="197">
          <cell r="M197" t="str">
            <v>5550/005Interest free 5</v>
          </cell>
        </row>
        <row r="198">
          <cell r="M198" t="str">
            <v>5550/006Interest free 6</v>
          </cell>
        </row>
        <row r="199">
          <cell r="M199" t="str">
            <v>5550/007Interest free 7</v>
          </cell>
        </row>
        <row r="200">
          <cell r="M200" t="str">
            <v>5550/008Interest free 8</v>
          </cell>
        </row>
        <row r="201">
          <cell r="M201" t="str">
            <v>5550/009Interest free 9</v>
          </cell>
        </row>
        <row r="202">
          <cell r="M202" t="str">
            <v>5550/010Interest free 10</v>
          </cell>
        </row>
        <row r="203">
          <cell r="M203" t="str">
            <v>5550/011Interest free 11</v>
          </cell>
        </row>
        <row r="204">
          <cell r="M204" t="str">
            <v>5550/012Interest free 12</v>
          </cell>
        </row>
        <row r="205">
          <cell r="M205" t="str">
            <v>5550/013Interest free 13</v>
          </cell>
        </row>
        <row r="206">
          <cell r="M206" t="str">
            <v>5550/014Interest free 14</v>
          </cell>
        </row>
        <row r="207">
          <cell r="M207" t="str">
            <v>5550/015Interest free 15</v>
          </cell>
        </row>
        <row r="208">
          <cell r="M208" t="str">
            <v>5550/016Interest free 16</v>
          </cell>
        </row>
        <row r="209">
          <cell r="M209" t="str">
            <v>5550/017Interest free 17</v>
          </cell>
        </row>
        <row r="210">
          <cell r="M210" t="str">
            <v>5700/000DEFERRED TAX</v>
          </cell>
        </row>
        <row r="211">
          <cell r="M211" t="str">
            <v>5700/010Deferred tax balance  depreciation b/fwd</v>
          </cell>
        </row>
        <row r="212">
          <cell r="M212" t="str">
            <v>5700/020Deferred tax balance  tax loss b/fwd</v>
          </cell>
        </row>
        <row r="213">
          <cell r="M213" t="str">
            <v>5700/030Deferred tax on depreciation for year</v>
          </cell>
        </row>
        <row r="214">
          <cell r="M214" t="str">
            <v>5700/040Deferred tax on tax loss for year</v>
          </cell>
        </row>
        <row r="215">
          <cell r="M215" t="str">
            <v>5700/050Def tax adj  depreciation previous year</v>
          </cell>
        </row>
        <row r="216">
          <cell r="M216" t="str">
            <v>5700/060Def tax adj tax loss previous year</v>
          </cell>
        </row>
        <row r="217">
          <cell r="M217" t="str">
            <v>6100/000LAND &amp; BUILDINGS - COST</v>
          </cell>
        </row>
        <row r="218">
          <cell r="M218" t="str">
            <v>6100/001Land_Buildings - Cost B/fwd</v>
          </cell>
        </row>
        <row r="219">
          <cell r="M219" t="str">
            <v>6100/002Land_Buildings - Additions</v>
          </cell>
        </row>
        <row r="220">
          <cell r="M220" t="str">
            <v>6100/003Land_Buildings - Cost of sales</v>
          </cell>
        </row>
        <row r="221">
          <cell r="M221" t="str">
            <v>6100/020LAND &amp; BUILDINGS - ACC DEPR</v>
          </cell>
        </row>
        <row r="222">
          <cell r="M222" t="str">
            <v>6100/021Land &amp; Buildings - Acc depr B/fwd</v>
          </cell>
        </row>
        <row r="223">
          <cell r="M223" t="str">
            <v>6100/022Land &amp; Buildings - Acc depr this year</v>
          </cell>
        </row>
        <row r="224">
          <cell r="M224" t="str">
            <v>6100/023Land &amp; Buildings - Acc depr on sales</v>
          </cell>
        </row>
        <row r="225">
          <cell r="M225" t="str">
            <v>6100/030LAND &amp; BUILDINGS - VALUATION</v>
          </cell>
        </row>
        <row r="226">
          <cell r="M226" t="str">
            <v>6100/031Land_Buildings - Valuation B/fwd</v>
          </cell>
        </row>
        <row r="227">
          <cell r="M227" t="str">
            <v>6100/032Land_Buildings - Valuation additions</v>
          </cell>
        </row>
        <row r="228">
          <cell r="M228" t="str">
            <v>6100/033Land_Buildings - Valuation reduction</v>
          </cell>
        </row>
        <row r="229">
          <cell r="M229" t="str">
            <v>6150/000PLANT &amp; MACHINERY - COST</v>
          </cell>
        </row>
        <row r="230">
          <cell r="M230" t="str">
            <v>6150/001Plant &amp; machinery - cost b/fwd</v>
          </cell>
        </row>
        <row r="231">
          <cell r="M231" t="str">
            <v>6150/002Plant &amp; machinery - Additions</v>
          </cell>
        </row>
        <row r="232">
          <cell r="M232" t="str">
            <v>6150/003Plant &amp; machinery - Cost of sales</v>
          </cell>
        </row>
        <row r="233">
          <cell r="M233" t="str">
            <v>6150/020PLANT &amp; MACHINERY - ACC DEPR</v>
          </cell>
        </row>
        <row r="234">
          <cell r="M234" t="str">
            <v>6150/021Plant &amp; Machinery - Acc depr b/fwd</v>
          </cell>
        </row>
        <row r="235">
          <cell r="M235" t="str">
            <v>6150/022Plant &amp; machinery - depr this year</v>
          </cell>
        </row>
        <row r="236">
          <cell r="M236" t="str">
            <v>6150/023Plant &amp; machinery - acc depr on sales</v>
          </cell>
        </row>
        <row r="237">
          <cell r="M237" t="str">
            <v>6200/000MOTOR VEHICLES - COST</v>
          </cell>
        </row>
        <row r="238">
          <cell r="M238" t="str">
            <v>6200/001Motor Vehicles - Cost B/fwd</v>
          </cell>
        </row>
        <row r="239">
          <cell r="M239" t="str">
            <v>6200/002Motor Vehicles - Additions</v>
          </cell>
        </row>
        <row r="240">
          <cell r="M240" t="str">
            <v>6200/003Motor Vehicles - Cost of sales</v>
          </cell>
        </row>
        <row r="241">
          <cell r="M241" t="str">
            <v>6200/020MOTOR VEHICLES - ACC DEPR</v>
          </cell>
        </row>
        <row r="242">
          <cell r="M242" t="str">
            <v>6200/021Motor vehicles - Acc depr b/fwd</v>
          </cell>
        </row>
        <row r="243">
          <cell r="M243" t="str">
            <v>6200/022Motor vehicles - Depr this year</v>
          </cell>
        </row>
        <row r="244">
          <cell r="M244" t="str">
            <v>6200/023Motor vehicles - Acc depr on sales</v>
          </cell>
        </row>
        <row r="245">
          <cell r="M245" t="str">
            <v>6250/000ELECTRONIC EQUIPMENT - COST</v>
          </cell>
        </row>
        <row r="246">
          <cell r="M246" t="str">
            <v>6250/001Electronic equipment - Cost b/fwd</v>
          </cell>
        </row>
        <row r="247">
          <cell r="M247" t="str">
            <v>6250/002Electronic equipment - Additions</v>
          </cell>
        </row>
        <row r="248">
          <cell r="M248" t="str">
            <v>6250/003Electronic equipment - Cost of sales</v>
          </cell>
        </row>
        <row r="249">
          <cell r="M249" t="str">
            <v>6250/020ELECTRONIC EQUIPMENT - ACC DEPR</v>
          </cell>
        </row>
        <row r="250">
          <cell r="M250" t="str">
            <v>6250/021Electronic equipment - Acc depr B/fwd</v>
          </cell>
        </row>
        <row r="251">
          <cell r="M251" t="str">
            <v>6250/022Electronic equipment - Depr this year</v>
          </cell>
        </row>
        <row r="252">
          <cell r="M252" t="str">
            <v>6250/023Electronic equipment - Acc depr on sales</v>
          </cell>
        </row>
        <row r="253">
          <cell r="M253" t="str">
            <v>6350/000FURNITURE &amp; FITTINGS - COST</v>
          </cell>
        </row>
        <row r="254">
          <cell r="M254" t="str">
            <v>6350/001Furniture &amp; fittings - Cost B/fwd</v>
          </cell>
        </row>
        <row r="255">
          <cell r="M255" t="str">
            <v>6350/002Furniture &amp; fittings - Additions</v>
          </cell>
        </row>
        <row r="256">
          <cell r="M256" t="str">
            <v>6350/003Furniture &amp; fittings - Cost of sales</v>
          </cell>
        </row>
        <row r="257">
          <cell r="M257" t="str">
            <v>6350/020FURNITURE &amp; FITTINGS - ACC DEPR</v>
          </cell>
        </row>
        <row r="258">
          <cell r="M258" t="str">
            <v>6350/021Furniture &amp; fittings - Acc depr B/fwd</v>
          </cell>
        </row>
        <row r="259">
          <cell r="M259" t="str">
            <v>6350/022Furniture &amp; fittings - Depr this year</v>
          </cell>
        </row>
        <row r="260">
          <cell r="M260" t="str">
            <v>6350/023Furniture &amp; fittings - Acc depr on sales</v>
          </cell>
        </row>
        <row r="261">
          <cell r="M261" t="str">
            <v>7000/000GOODWILL/INTANGIBLE ASSETS</v>
          </cell>
        </row>
        <row r="262">
          <cell r="M262" t="str">
            <v>7000/010Goodwill Cost</v>
          </cell>
        </row>
        <row r="263">
          <cell r="M263" t="str">
            <v>7000/011Prepaid lease agreement - Cost</v>
          </cell>
        </row>
        <row r="264">
          <cell r="M264" t="str">
            <v>7000/015PLA - surplus on revaluation</v>
          </cell>
        </row>
        <row r="265">
          <cell r="M265" t="str">
            <v>7000/020PLA - write down this year</v>
          </cell>
        </row>
        <row r="266">
          <cell r="M266" t="str">
            <v>7000/025PLA - write down previous years</v>
          </cell>
        </row>
        <row r="267">
          <cell r="M267" t="str">
            <v>7100/000INVESTMENTS</v>
          </cell>
        </row>
        <row r="268">
          <cell r="M268" t="str">
            <v>7100/100LISTED INVESTMENTS</v>
          </cell>
        </row>
        <row r="269">
          <cell r="M269" t="str">
            <v>7100/101Listed 1</v>
          </cell>
        </row>
        <row r="270">
          <cell r="M270" t="str">
            <v>7100/102Listed 2</v>
          </cell>
        </row>
        <row r="271">
          <cell r="M271" t="str">
            <v>7100/103Listed 3</v>
          </cell>
        </row>
        <row r="272">
          <cell r="M272" t="str">
            <v>7100/104Listed 4</v>
          </cell>
        </row>
        <row r="273">
          <cell r="M273" t="str">
            <v>7100/105Listed 5</v>
          </cell>
        </row>
        <row r="274">
          <cell r="M274" t="str">
            <v>7100/200OTHER INVESTMENTS</v>
          </cell>
        </row>
        <row r="275">
          <cell r="M275" t="str">
            <v>7100/201Other investments 1</v>
          </cell>
        </row>
        <row r="276">
          <cell r="M276" t="str">
            <v>7100/202Other investments 2</v>
          </cell>
        </row>
        <row r="277">
          <cell r="M277" t="str">
            <v>7100/203Other investments 3</v>
          </cell>
        </row>
        <row r="278">
          <cell r="M278" t="str">
            <v>7100/204Other investments 4</v>
          </cell>
        </row>
        <row r="279">
          <cell r="M279" t="str">
            <v>7100/205Other investments 5</v>
          </cell>
        </row>
        <row r="280">
          <cell r="M280" t="str">
            <v>7450/000CONNECTED COMPANIES</v>
          </cell>
        </row>
        <row r="281">
          <cell r="M281" t="str">
            <v>7450/000Interest bearing</v>
          </cell>
        </row>
        <row r="282">
          <cell r="M282" t="str">
            <v>7450/001Connected 1</v>
          </cell>
        </row>
        <row r="283">
          <cell r="M283" t="str">
            <v>7450/002Connected 2</v>
          </cell>
        </row>
        <row r="284">
          <cell r="M284" t="str">
            <v>7450/000Interest free</v>
          </cell>
        </row>
        <row r="285">
          <cell r="M285" t="str">
            <v>7450/003Connected 3</v>
          </cell>
        </row>
        <row r="286">
          <cell r="M286" t="str">
            <v>7450/004Connected 4</v>
          </cell>
        </row>
        <row r="287">
          <cell r="M287" t="str">
            <v>7450/005Connected 5</v>
          </cell>
        </row>
        <row r="288">
          <cell r="M288" t="str">
            <v>7460/000OTHER NON CURRENT RECEIVABLES</v>
          </cell>
        </row>
        <row r="289">
          <cell r="M289" t="str">
            <v>Interest bearing</v>
          </cell>
        </row>
        <row r="290">
          <cell r="M290" t="str">
            <v>7460/001Other non current 1</v>
          </cell>
        </row>
        <row r="291">
          <cell r="M291" t="str">
            <v>7460/002Other non current 2</v>
          </cell>
        </row>
        <row r="292">
          <cell r="M292" t="str">
            <v>7460/003Other non current 3</v>
          </cell>
        </row>
        <row r="293">
          <cell r="M293" t="str">
            <v>Interest free</v>
          </cell>
        </row>
        <row r="294">
          <cell r="M294" t="str">
            <v>7460/004Other non current 4</v>
          </cell>
        </row>
        <row r="295">
          <cell r="M295" t="str">
            <v>7460/005Other non current 5</v>
          </cell>
        </row>
        <row r="296">
          <cell r="M296" t="str">
            <v>7460/006Other non current 6</v>
          </cell>
        </row>
        <row r="297">
          <cell r="M297" t="str">
            <v>7460/007Other non current 7</v>
          </cell>
        </row>
        <row r="298">
          <cell r="M298" t="str">
            <v>7460/008Other non current 8</v>
          </cell>
        </row>
        <row r="299">
          <cell r="M299" t="str">
            <v>7500/000INVENTORY</v>
          </cell>
        </row>
        <row r="300">
          <cell r="M300" t="str">
            <v>7500/001Raw materials</v>
          </cell>
        </row>
        <row r="301">
          <cell r="M301" t="str">
            <v>7500/002Work in progress</v>
          </cell>
        </row>
        <row r="302">
          <cell r="M302" t="str">
            <v>7500/003Finished goods</v>
          </cell>
        </row>
        <row r="303">
          <cell r="M303" t="str">
            <v>7500/004Trading stock</v>
          </cell>
        </row>
        <row r="304">
          <cell r="M304" t="str">
            <v>8000/000DEBTORS</v>
          </cell>
        </row>
        <row r="305">
          <cell r="M305" t="str">
            <v>8010/000Trade debtors</v>
          </cell>
        </row>
        <row r="306">
          <cell r="M306" t="str">
            <v>8020/000Less: Provision For Doubtful Debts</v>
          </cell>
        </row>
        <row r="307">
          <cell r="M307" t="str">
            <v>8030/000Service deposits</v>
          </cell>
        </row>
        <row r="308">
          <cell r="M308" t="str">
            <v>8200/000Sundry Customers</v>
          </cell>
        </row>
        <row r="309">
          <cell r="M309" t="str">
            <v>8200/010Prepayments</v>
          </cell>
        </row>
        <row r="310">
          <cell r="M310" t="str">
            <v>8200/020Staff Loans</v>
          </cell>
        </row>
        <row r="311">
          <cell r="M311" t="str">
            <v>8400/000BANK ACCOUNTS</v>
          </cell>
        </row>
        <row r="312">
          <cell r="M312" t="str">
            <v>8410/000Bank account 1</v>
          </cell>
        </row>
        <row r="313">
          <cell r="M313" t="str">
            <v>8420/000Bank account 2</v>
          </cell>
        </row>
        <row r="314">
          <cell r="M314" t="str">
            <v>8430/000Bank account 3</v>
          </cell>
        </row>
        <row r="315">
          <cell r="M315" t="str">
            <v>8440/000Bank account 4</v>
          </cell>
        </row>
        <row r="316">
          <cell r="M316" t="str">
            <v>8450/000Bank account 5</v>
          </cell>
        </row>
        <row r="317">
          <cell r="M317" t="str">
            <v>8460/000Bank account 6</v>
          </cell>
        </row>
        <row r="318">
          <cell r="M318" t="str">
            <v>8500/000Cash on hand</v>
          </cell>
        </row>
        <row r="319">
          <cell r="M319" t="str">
            <v>8900/000SHORT TERM LOANS</v>
          </cell>
        </row>
        <row r="320">
          <cell r="M320" t="str">
            <v>8900/001Short term 1</v>
          </cell>
        </row>
        <row r="321">
          <cell r="M321" t="str">
            <v>8900/002Short term 2</v>
          </cell>
        </row>
        <row r="322">
          <cell r="M322" t="str">
            <v>8900/003Short term 3</v>
          </cell>
        </row>
        <row r="323">
          <cell r="M323" t="str">
            <v>8900/004Short term portion of long term loans</v>
          </cell>
        </row>
        <row r="324">
          <cell r="M324" t="str">
            <v>9000/000CREDITORS</v>
          </cell>
        </row>
        <row r="325">
          <cell r="M325" t="str">
            <v>9010/000Trade creditors</v>
          </cell>
        </row>
        <row r="326">
          <cell r="M326" t="str">
            <v>9200/000Sundry Suppliers</v>
          </cell>
        </row>
        <row r="327">
          <cell r="M327" t="str">
            <v>9200/010Audit fee accrual</v>
          </cell>
        </row>
        <row r="328">
          <cell r="M328" t="str">
            <v>9200/020Other Accruals</v>
          </cell>
        </row>
        <row r="329">
          <cell r="M329" t="str">
            <v>9250/000Salary &amp; Wages Control</v>
          </cell>
        </row>
        <row r="330">
          <cell r="M330" t="str">
            <v>9300/000TAXATION</v>
          </cell>
        </row>
        <row r="331">
          <cell r="M331" t="str">
            <v>9300/010Balance b/fwd</v>
          </cell>
        </row>
        <row r="332">
          <cell r="M332" t="str">
            <v>9300/020Tax provision this year</v>
          </cell>
        </row>
        <row r="333">
          <cell r="M333" t="str">
            <v>9300/030Over-/Underprovision previous year</v>
          </cell>
        </row>
        <row r="334">
          <cell r="M334" t="str">
            <v>9300/040Tax paid for previous year provisions</v>
          </cell>
        </row>
        <row r="335">
          <cell r="M335" t="str">
            <v>9300/0501st Provisional Paid</v>
          </cell>
        </row>
        <row r="336">
          <cell r="M336" t="str">
            <v>9300/0602nd Provisional Paid</v>
          </cell>
        </row>
        <row r="337">
          <cell r="M337" t="str">
            <v>9300/0703rd Provisional paid</v>
          </cell>
        </row>
        <row r="338">
          <cell r="M338" t="str">
            <v>9300/090Dividends tax Provision this year</v>
          </cell>
        </row>
        <row r="339">
          <cell r="M339" t="str">
            <v>9350/000Dividends Payable</v>
          </cell>
        </row>
        <row r="340">
          <cell r="M340" t="str">
            <v>9400/000Provision for Future Expenses</v>
          </cell>
        </row>
        <row r="341">
          <cell r="M341" t="str">
            <v>9400/010Provision for Insurance</v>
          </cell>
        </row>
        <row r="342">
          <cell r="M342" t="str">
            <v>9400/020Provision for Salary Bonus</v>
          </cell>
        </row>
        <row r="343">
          <cell r="M343" t="str">
            <v>9500/000VALUE ADDED TAX</v>
          </cell>
        </row>
        <row r="344">
          <cell r="M344" t="str">
            <v>9501/000VAT account</v>
          </cell>
        </row>
        <row r="345">
          <cell r="M345" t="str">
            <v>9510/000----------------------------------------</v>
          </cell>
        </row>
        <row r="346">
          <cell r="M346" t="str">
            <v>9990/000Suspense Account</v>
          </cell>
        </row>
      </sheetData>
      <sheetData sheetId="27"/>
      <sheetData sheetId="28">
        <row r="5">
          <cell r="M5" t="str">
            <v>1000/001Sales</v>
          </cell>
        </row>
        <row r="6">
          <cell r="M6" t="str">
            <v>1000/002Sales 2</v>
          </cell>
        </row>
        <row r="7">
          <cell r="M7" t="str">
            <v>1000/003Rent Received</v>
          </cell>
        </row>
        <row r="8">
          <cell r="M8" t="str">
            <v>2000/000COST OF SALES</v>
          </cell>
        </row>
        <row r="9">
          <cell r="M9" t="str">
            <v>2000/001Opening stock - Raw materials</v>
          </cell>
        </row>
        <row r="10">
          <cell r="M10" t="str">
            <v>2000/002Opening stock - WIP</v>
          </cell>
        </row>
        <row r="11">
          <cell r="M11" t="str">
            <v>2000/003Opening stock - Finished goods</v>
          </cell>
        </row>
        <row r="12">
          <cell r="M12" t="str">
            <v>2000/004Opening stock - Trading stock</v>
          </cell>
        </row>
        <row r="13">
          <cell r="M13" t="str">
            <v>2000/010Purchases</v>
          </cell>
        </row>
        <row r="14">
          <cell r="M14" t="str">
            <v>2000/011ccc</v>
          </cell>
        </row>
        <row r="15">
          <cell r="M15" t="str">
            <v>2000/012</v>
          </cell>
        </row>
        <row r="16">
          <cell r="M16" t="str">
            <v>2000/013</v>
          </cell>
        </row>
        <row r="17">
          <cell r="M17" t="str">
            <v>2000/014</v>
          </cell>
        </row>
        <row r="18">
          <cell r="M18" t="str">
            <v>2000/015</v>
          </cell>
        </row>
        <row r="19">
          <cell r="M19" t="str">
            <v>2000/050Closing stock - Raw materials</v>
          </cell>
        </row>
        <row r="20">
          <cell r="M20" t="str">
            <v>2000/051Closing stock - WIP</v>
          </cell>
        </row>
        <row r="21">
          <cell r="M21" t="str">
            <v>2000/052Closing stock - Finished goods</v>
          </cell>
        </row>
        <row r="22">
          <cell r="M22" t="str">
            <v>2000/053Closing stock - Trading stock</v>
          </cell>
        </row>
        <row r="23">
          <cell r="M23" t="str">
            <v>2050/000OTHER OPERATING INCOME</v>
          </cell>
        </row>
        <row r="24">
          <cell r="M24" t="str">
            <v>2050/001Insurance claims - 0</v>
          </cell>
        </row>
        <row r="25">
          <cell r="M25" t="str">
            <v>2050/002</v>
          </cell>
        </row>
        <row r="26">
          <cell r="M26" t="str">
            <v>2050/003</v>
          </cell>
        </row>
        <row r="27">
          <cell r="M27" t="str">
            <v>2050/004</v>
          </cell>
        </row>
        <row r="28">
          <cell r="M28" t="str">
            <v>2050/005</v>
          </cell>
        </row>
        <row r="29">
          <cell r="M29" t="str">
            <v>2060/000NET (PROFIT)/LOSS OTHER</v>
          </cell>
        </row>
        <row r="30">
          <cell r="M30" t="str">
            <v>2060/001</v>
          </cell>
        </row>
        <row r="31">
          <cell r="M31" t="str">
            <v>2060/002</v>
          </cell>
        </row>
        <row r="32">
          <cell r="M32" t="str">
            <v>2060/003</v>
          </cell>
        </row>
        <row r="33">
          <cell r="M33" t="str">
            <v>2060/004</v>
          </cell>
        </row>
        <row r="34">
          <cell r="M34" t="str">
            <v>2100/000OPERATING EXPENSES</v>
          </cell>
        </row>
        <row r="35">
          <cell r="M35" t="str">
            <v>2100/001Advertising</v>
          </cell>
        </row>
        <row r="36">
          <cell r="M36" t="str">
            <v>2100/010Assets less than R7,000</v>
          </cell>
        </row>
        <row r="37">
          <cell r="M37" t="str">
            <v>2100/020Consumables</v>
          </cell>
        </row>
        <row r="38">
          <cell r="M38" t="str">
            <v>2100/030Depreciation--------------------------------------------------</v>
          </cell>
        </row>
        <row r="39">
          <cell r="M39" t="str">
            <v>2100/031Depr - Land &amp; buildings</v>
          </cell>
        </row>
        <row r="40">
          <cell r="M40" t="str">
            <v>2100/032Depr - Plant &amp; Machinery</v>
          </cell>
        </row>
        <row r="41">
          <cell r="M41" t="str">
            <v>2100/033Depr - Motor vehicles</v>
          </cell>
        </row>
        <row r="42">
          <cell r="M42" t="str">
            <v>2100/040Discounts allowed</v>
          </cell>
        </row>
        <row r="43">
          <cell r="M43" t="str">
            <v>2100/050Electricity and Water</v>
          </cell>
        </row>
        <row r="44">
          <cell r="M44" t="str">
            <v>2100/055Equipment lease</v>
          </cell>
        </row>
        <row r="45">
          <cell r="M45" t="str">
            <v>2100/060Insurance</v>
          </cell>
        </row>
        <row r="46">
          <cell r="M46" t="str">
            <v>2100/071Levies - SDL</v>
          </cell>
        </row>
        <row r="47">
          <cell r="M47" t="str">
            <v>2100/072Levies - other</v>
          </cell>
        </row>
        <row r="48">
          <cell r="M48" t="str">
            <v>2100/080Trade licenses</v>
          </cell>
        </row>
        <row r="49">
          <cell r="M49" t="str">
            <v>2100/090Motor vehicle expenses----------------------------------</v>
          </cell>
        </row>
        <row r="50">
          <cell r="M50" t="str">
            <v>2100/091Motor vehicle expenses - Petrol and oil</v>
          </cell>
        </row>
        <row r="51">
          <cell r="M51" t="str">
            <v>2100/092Motor vehicle expenses - R&amp;M</v>
          </cell>
        </row>
        <row r="52">
          <cell r="M52" t="str">
            <v>2100/093Motor vehicle expenses - Insurance</v>
          </cell>
        </row>
        <row r="53">
          <cell r="M53" t="str">
            <v>2100/094Motor vehicle expenses - licenses</v>
          </cell>
        </row>
        <row r="54">
          <cell r="M54" t="str">
            <v>2100/095Motor vehicle expenses - general</v>
          </cell>
        </row>
        <row r="55">
          <cell r="M55" t="str">
            <v>2100/100Rent paid-------------------------------</v>
          </cell>
        </row>
        <row r="56">
          <cell r="M56" t="str">
            <v>2100/101</v>
          </cell>
        </row>
        <row r="57">
          <cell r="M57" t="str">
            <v>2100/102</v>
          </cell>
        </row>
        <row r="58">
          <cell r="M58" t="str">
            <v>2100/103</v>
          </cell>
        </row>
        <row r="59">
          <cell r="M59" t="str">
            <v>2100/110Repairs and maintenance</v>
          </cell>
        </row>
        <row r="60">
          <cell r="M60" t="str">
            <v>2100/120Salaries</v>
          </cell>
        </row>
        <row r="61">
          <cell r="M61" t="str">
            <v>2100/121UIF - Employer</v>
          </cell>
        </row>
        <row r="62">
          <cell r="M62" t="str">
            <v>2100/122Casual wages</v>
          </cell>
        </row>
        <row r="63">
          <cell r="M63" t="str">
            <v>2100/130Telephone</v>
          </cell>
        </row>
        <row r="64">
          <cell r="M64" t="str">
            <v>2100/135Postage and courier</v>
          </cell>
        </row>
        <row r="65">
          <cell r="M65" t="str">
            <v>2100/140Training</v>
          </cell>
        </row>
        <row r="66">
          <cell r="M66" t="str">
            <v>2100/150Traveling</v>
          </cell>
        </row>
        <row r="67">
          <cell r="M67" t="str">
            <v>2150/001</v>
          </cell>
        </row>
        <row r="68">
          <cell r="M68" t="str">
            <v>2150/002</v>
          </cell>
        </row>
        <row r="69">
          <cell r="M69" t="str">
            <v>2150/003</v>
          </cell>
        </row>
        <row r="70">
          <cell r="M70" t="str">
            <v>2150/004</v>
          </cell>
        </row>
        <row r="71">
          <cell r="M71" t="str">
            <v>2150/005</v>
          </cell>
        </row>
        <row r="72">
          <cell r="M72" t="str">
            <v>2150/006</v>
          </cell>
        </row>
        <row r="73">
          <cell r="M73" t="str">
            <v>2150/007</v>
          </cell>
        </row>
        <row r="74">
          <cell r="M74" t="str">
            <v>2150/008</v>
          </cell>
        </row>
        <row r="75">
          <cell r="M75" t="str">
            <v>2150/009</v>
          </cell>
        </row>
        <row r="76">
          <cell r="M76" t="str">
            <v>2150/010</v>
          </cell>
        </row>
        <row r="77">
          <cell r="M77" t="str">
            <v>2500/000OTHER INCOME</v>
          </cell>
        </row>
        <row r="78">
          <cell r="M78" t="str">
            <v>2710/000Rent Received (Not Main income)</v>
          </cell>
        </row>
        <row r="79">
          <cell r="M79" t="str">
            <v>2750/000Interest Received-----------------------</v>
          </cell>
        </row>
        <row r="80">
          <cell r="M80" t="str">
            <v>2750/001</v>
          </cell>
        </row>
        <row r="81">
          <cell r="M81" t="str">
            <v>2750/002</v>
          </cell>
        </row>
        <row r="82">
          <cell r="M82" t="str">
            <v>2750/003</v>
          </cell>
        </row>
        <row r="83">
          <cell r="M83" t="str">
            <v>2750/004</v>
          </cell>
        </row>
        <row r="84">
          <cell r="M84" t="str">
            <v>2800/000Dividends received----------------------</v>
          </cell>
        </row>
        <row r="85">
          <cell r="M85" t="str">
            <v>2800/001Div's received - SA sources</v>
          </cell>
        </row>
        <row r="86">
          <cell r="M86" t="str">
            <v>2800/002Div's received - Foreign div's</v>
          </cell>
        </row>
        <row r="87">
          <cell r="M87" t="str">
            <v>2810/000(Profit)/Loss on sale of fixed assets</v>
          </cell>
        </row>
        <row r="88">
          <cell r="M88" t="str">
            <v>2820/000Bad debts recovered</v>
          </cell>
        </row>
        <row r="89">
          <cell r="M89" t="str">
            <v>2830/000Other income</v>
          </cell>
        </row>
        <row r="90">
          <cell r="M90" t="str">
            <v>3000/000ADMINISTRATION EXPENSES</v>
          </cell>
        </row>
        <row r="91">
          <cell r="M91" t="str">
            <v>3000/011Audit fees for current year</v>
          </cell>
        </row>
        <row r="92">
          <cell r="M92" t="str">
            <v>3000/012Under provision previous year</v>
          </cell>
        </row>
        <row r="93">
          <cell r="M93" t="str">
            <v>3000/013Overprovision previous year</v>
          </cell>
        </row>
        <row r="94">
          <cell r="M94" t="str">
            <v>3000/014Accounting fees</v>
          </cell>
        </row>
        <row r="95">
          <cell r="M95" t="str">
            <v>3000/020Bank charges</v>
          </cell>
        </row>
        <row r="96">
          <cell r="M96" t="str">
            <v>3000/030Bad debts</v>
          </cell>
        </row>
        <row r="97">
          <cell r="M97" t="str">
            <v>3000/040Cleaning</v>
          </cell>
        </row>
        <row r="98">
          <cell r="M98" t="str">
            <v>3000/050Computer expenses</v>
          </cell>
        </row>
        <row r="99">
          <cell r="M99" t="str">
            <v>3000/055Consulting and Professional fees</v>
          </cell>
        </row>
        <row r="100">
          <cell r="M100" t="str">
            <v>3000/060Depreciation----------------------------</v>
          </cell>
        </row>
        <row r="101">
          <cell r="M101" t="str">
            <v>3000/061Depr - Electronic equipment</v>
          </cell>
        </row>
        <row r="102">
          <cell r="M102" t="str">
            <v>3000/063Depr - Furniture &amp; Fittings</v>
          </cell>
        </row>
        <row r="103">
          <cell r="M103" t="str">
            <v>3000/070Directors' remuneration-----------------</v>
          </cell>
        </row>
        <row r="104">
          <cell r="M104" t="str">
            <v>3000/0710</v>
          </cell>
        </row>
        <row r="105">
          <cell r="M105" t="str">
            <v>3000/0720</v>
          </cell>
        </row>
        <row r="106">
          <cell r="M106" t="str">
            <v>3000/0730</v>
          </cell>
        </row>
        <row r="107">
          <cell r="M107" t="str">
            <v>3000/0740</v>
          </cell>
        </row>
        <row r="108">
          <cell r="M108" t="str">
            <v>3000/0750</v>
          </cell>
        </row>
        <row r="109">
          <cell r="M109" t="str">
            <v>3000/080Donations</v>
          </cell>
        </row>
        <row r="110">
          <cell r="M110" t="str">
            <v>3000/090Entertainment expenses</v>
          </cell>
        </row>
        <row r="111">
          <cell r="M111" t="str">
            <v>3000/095Fines</v>
          </cell>
        </row>
        <row r="112">
          <cell r="M112" t="str">
            <v>3000/100General expenses</v>
          </cell>
        </row>
        <row r="113">
          <cell r="M113" t="str">
            <v>3000/110Legal expenses - Tax deductible</v>
          </cell>
        </row>
        <row r="114">
          <cell r="M114" t="str">
            <v>3000/111Legal expenses - Non deductible</v>
          </cell>
        </row>
        <row r="115">
          <cell r="M115" t="str">
            <v>3000/120Printing and stationary</v>
          </cell>
        </row>
        <row r="116">
          <cell r="M116" t="str">
            <v>3000/130Refreshments</v>
          </cell>
        </row>
        <row r="117">
          <cell r="M117" t="str">
            <v>3000/140Salaries</v>
          </cell>
        </row>
        <row r="118">
          <cell r="M118" t="str">
            <v>3000/141Casual wages</v>
          </cell>
        </row>
        <row r="119">
          <cell r="M119" t="str">
            <v>3000/150Security</v>
          </cell>
        </row>
        <row r="120">
          <cell r="M120" t="str">
            <v>3000/160Subscriptions and Membership fees</v>
          </cell>
        </row>
        <row r="121">
          <cell r="M121" t="str">
            <v>3000/170Penalties &amp; Interest - SARS</v>
          </cell>
        </row>
        <row r="122">
          <cell r="M122" t="str">
            <v>3000/180</v>
          </cell>
        </row>
        <row r="123">
          <cell r="M123" t="str">
            <v>3000/190</v>
          </cell>
        </row>
        <row r="124">
          <cell r="M124" t="str">
            <v>3000/200</v>
          </cell>
        </row>
        <row r="125">
          <cell r="M125" t="str">
            <v>3000/210</v>
          </cell>
        </row>
        <row r="126">
          <cell r="M126" t="str">
            <v>3000/220</v>
          </cell>
        </row>
        <row r="127">
          <cell r="M127" t="str">
            <v>3000/230</v>
          </cell>
        </row>
        <row r="128">
          <cell r="M128" t="str">
            <v>3000/240</v>
          </cell>
        </row>
        <row r="129">
          <cell r="M129" t="str">
            <v>3000/250</v>
          </cell>
        </row>
        <row r="130">
          <cell r="M130" t="str">
            <v>3000/260</v>
          </cell>
        </row>
        <row r="131">
          <cell r="M131" t="str">
            <v>3000/270Amortisation of prepaid lease agreement</v>
          </cell>
        </row>
        <row r="132">
          <cell r="M132" t="str">
            <v>4210/000Pft/Loss on foreign exchange</v>
          </cell>
        </row>
        <row r="133">
          <cell r="M133" t="str">
            <v>4700/000FINANCE COSTS</v>
          </cell>
        </row>
        <row r="134">
          <cell r="M134" t="str">
            <v>4700/010Interest paid---------------------------</v>
          </cell>
        </row>
        <row r="135">
          <cell r="M135" t="str">
            <v>4700/011</v>
          </cell>
        </row>
        <row r="136">
          <cell r="M136" t="str">
            <v>4700/012</v>
          </cell>
        </row>
        <row r="137">
          <cell r="M137" t="str">
            <v>4700/013</v>
          </cell>
        </row>
        <row r="138">
          <cell r="M138" t="str">
            <v>4700/014</v>
          </cell>
        </row>
        <row r="139">
          <cell r="M139" t="str">
            <v>4700/015</v>
          </cell>
        </row>
        <row r="140">
          <cell r="M140" t="str">
            <v>4700/016</v>
          </cell>
        </row>
        <row r="141">
          <cell r="M141" t="str">
            <v>4700/017</v>
          </cell>
        </row>
        <row r="142">
          <cell r="M142" t="str">
            <v>4700/018</v>
          </cell>
        </row>
        <row r="143">
          <cell r="M143" t="str">
            <v>4700/019</v>
          </cell>
        </row>
        <row r="144">
          <cell r="M144" t="str">
            <v>4700/020</v>
          </cell>
        </row>
        <row r="145">
          <cell r="M145" t="str">
            <v>4700/021Hire purchase interest</v>
          </cell>
        </row>
        <row r="146">
          <cell r="M146" t="str">
            <v>4750/000OTHER</v>
          </cell>
        </row>
        <row r="147">
          <cell r="M147" t="str">
            <v>4750/010Loss on Revaluation of Investments</v>
          </cell>
        </row>
        <row r="148">
          <cell r="M148" t="str">
            <v>4800/000NORMAL TAXATION</v>
          </cell>
        </row>
        <row r="149">
          <cell r="M149" t="str">
            <v>4800/001Tax provided this year</v>
          </cell>
        </row>
        <row r="150">
          <cell r="M150" t="str">
            <v>4800/002Tax adjustment previous year</v>
          </cell>
        </row>
        <row r="151">
          <cell r="M151" t="str">
            <v>4820/000DEFERRED TAX</v>
          </cell>
        </row>
        <row r="152">
          <cell r="M152" t="str">
            <v>4820/001Deferred tax this year</v>
          </cell>
        </row>
        <row r="153">
          <cell r="M153" t="str">
            <v>4820/002Deferred tax adjustment previous year</v>
          </cell>
        </row>
        <row r="154">
          <cell r="M154" t="str">
            <v>4850/000Dividends Declared</v>
          </cell>
        </row>
        <row r="155">
          <cell r="M155" t="str">
            <v>4860/000Dividends paid</v>
          </cell>
        </row>
        <row r="159">
          <cell r="M159" t="str">
            <v>5100/000SHARE CAPITAL</v>
          </cell>
        </row>
        <row r="160">
          <cell r="M160" t="str">
            <v>5100/001Share Capital - Balance b/fwd</v>
          </cell>
        </row>
        <row r="161">
          <cell r="M161" t="str">
            <v>5100/002Share Capital - Additions</v>
          </cell>
        </row>
        <row r="162">
          <cell r="M162" t="str">
            <v>5110/000SHARE PREMIUM</v>
          </cell>
        </row>
        <row r="163">
          <cell r="M163" t="str">
            <v>5110/001Share premium - Balance b/fwd</v>
          </cell>
        </row>
        <row r="164">
          <cell r="M164" t="str">
            <v>5110/002Share premium - Additions</v>
          </cell>
        </row>
        <row r="165">
          <cell r="M165" t="str">
            <v>5110/003Share premium - transfer</v>
          </cell>
        </row>
        <row r="166">
          <cell r="M166" t="str">
            <v>5120/000VALUATION RESERVE</v>
          </cell>
        </row>
        <row r="167">
          <cell r="M167" t="str">
            <v>5120/001Valuation reserve - Balance b/fwd</v>
          </cell>
        </row>
        <row r="168">
          <cell r="M168" t="str">
            <v>5120/002Valuation reserve - Additions</v>
          </cell>
        </row>
        <row r="169">
          <cell r="M169" t="str">
            <v>5120/003Valuation reserve - transfer to p/l</v>
          </cell>
        </row>
        <row r="170">
          <cell r="M170" t="str">
            <v>5130/000OTHER RESERVES</v>
          </cell>
        </row>
        <row r="171">
          <cell r="M171" t="str">
            <v>5130/001Other reserves - Balance B/fwd</v>
          </cell>
        </row>
        <row r="172">
          <cell r="M172" t="str">
            <v>5130/002Other reserves - Additions</v>
          </cell>
        </row>
        <row r="173">
          <cell r="M173" t="str">
            <v>5130/003Other reserves - transfer</v>
          </cell>
        </row>
        <row r="174">
          <cell r="M174" t="str">
            <v>5200/000(Retained Income) / Accumulated Loss</v>
          </cell>
        </row>
        <row r="175">
          <cell r="M175" t="str">
            <v>5500/000LONG TERM  INTEREST LIABILITIES</v>
          </cell>
        </row>
        <row r="176">
          <cell r="M176" t="str">
            <v>5500/001Bond 1</v>
          </cell>
        </row>
        <row r="177">
          <cell r="M177" t="str">
            <v>5500/002Bond 2</v>
          </cell>
        </row>
        <row r="178">
          <cell r="M178" t="str">
            <v>5500/003Bond 3</v>
          </cell>
        </row>
        <row r="179">
          <cell r="M179" t="str">
            <v>5500/004HP 1</v>
          </cell>
        </row>
        <row r="180">
          <cell r="M180" t="str">
            <v>5500/005HP 2</v>
          </cell>
        </row>
        <row r="181">
          <cell r="M181" t="str">
            <v>5500/0060</v>
          </cell>
        </row>
        <row r="182">
          <cell r="M182" t="str">
            <v>5500/0070</v>
          </cell>
        </row>
        <row r="183">
          <cell r="M183" t="str">
            <v>5500/0080</v>
          </cell>
        </row>
        <row r="184">
          <cell r="M184" t="str">
            <v>5500/0090</v>
          </cell>
        </row>
        <row r="185">
          <cell r="M185" t="str">
            <v>5500/0100</v>
          </cell>
        </row>
        <row r="186">
          <cell r="M186" t="str">
            <v>5500/0110</v>
          </cell>
        </row>
        <row r="187">
          <cell r="M187" t="str">
            <v>5500/0120</v>
          </cell>
        </row>
        <row r="188">
          <cell r="M188" t="str">
            <v>5500/0130</v>
          </cell>
        </row>
        <row r="189">
          <cell r="M189" t="str">
            <v>5500/0140</v>
          </cell>
        </row>
        <row r="190">
          <cell r="M190" t="str">
            <v>5500/0150</v>
          </cell>
        </row>
        <row r="191">
          <cell r="M191" t="str">
            <v>5520/000Short term portion of long term loans</v>
          </cell>
        </row>
        <row r="192">
          <cell r="M192" t="str">
            <v>5550/000LONG TERM INTEREST FREE LOANS</v>
          </cell>
        </row>
        <row r="193">
          <cell r="M193" t="str">
            <v>5550/001Interest free 1</v>
          </cell>
        </row>
        <row r="194">
          <cell r="M194" t="str">
            <v>5550/002Interest free 2</v>
          </cell>
        </row>
        <row r="195">
          <cell r="M195" t="str">
            <v>5550/003Interest free 3</v>
          </cell>
        </row>
        <row r="196">
          <cell r="M196" t="str">
            <v>5550/004Interest free 4</v>
          </cell>
        </row>
        <row r="197">
          <cell r="M197" t="str">
            <v>5550/005Interest free 5</v>
          </cell>
        </row>
        <row r="198">
          <cell r="M198" t="str">
            <v>5550/006Interest free 6</v>
          </cell>
        </row>
        <row r="199">
          <cell r="M199" t="str">
            <v>5550/007Interest free 7</v>
          </cell>
        </row>
        <row r="200">
          <cell r="M200" t="str">
            <v>5550/008Interest free 8</v>
          </cell>
        </row>
        <row r="201">
          <cell r="M201" t="str">
            <v>5550/009Interest free 9</v>
          </cell>
        </row>
        <row r="202">
          <cell r="M202" t="str">
            <v>5550/010Interest free 10</v>
          </cell>
        </row>
        <row r="203">
          <cell r="M203" t="str">
            <v>5550/011Interest free 11</v>
          </cell>
        </row>
        <row r="204">
          <cell r="M204" t="str">
            <v>5550/012Interest free 12</v>
          </cell>
        </row>
        <row r="205">
          <cell r="M205" t="str">
            <v>5550/013Interest free 13</v>
          </cell>
        </row>
        <row r="206">
          <cell r="M206" t="str">
            <v>5550/014Interest free 14</v>
          </cell>
        </row>
        <row r="207">
          <cell r="M207" t="str">
            <v>5550/015Interest free 15</v>
          </cell>
        </row>
        <row r="208">
          <cell r="M208" t="str">
            <v>5550/016Interest free 16</v>
          </cell>
        </row>
        <row r="209">
          <cell r="M209" t="str">
            <v>5550/017Interest free 17</v>
          </cell>
        </row>
        <row r="210">
          <cell r="M210" t="str">
            <v>5700/000DEFERRED TAX</v>
          </cell>
        </row>
        <row r="211">
          <cell r="M211" t="str">
            <v>5700/010Deferred tax balance  depreciation b/fwd</v>
          </cell>
        </row>
        <row r="212">
          <cell r="M212" t="str">
            <v>5700/020Deferred tax balance  tax loss b/fwd</v>
          </cell>
        </row>
        <row r="213">
          <cell r="M213" t="str">
            <v>5700/030Deferred tax on depreciation for year</v>
          </cell>
        </row>
        <row r="214">
          <cell r="M214" t="str">
            <v>5700/040Deferred tax on tax loss for year</v>
          </cell>
        </row>
        <row r="215">
          <cell r="M215" t="str">
            <v>5700/050Def tax adj  depreciation previous year</v>
          </cell>
        </row>
        <row r="216">
          <cell r="M216" t="str">
            <v>5700/060Def tax adj tax loss previous year</v>
          </cell>
        </row>
        <row r="217">
          <cell r="M217" t="str">
            <v>6100/000LAND &amp; BUILDINGS - COST</v>
          </cell>
        </row>
        <row r="218">
          <cell r="M218" t="str">
            <v>6100/001Land_Buildings - Cost B/fwd</v>
          </cell>
        </row>
        <row r="219">
          <cell r="M219" t="str">
            <v>6100/002Land_Buildings - Additions</v>
          </cell>
        </row>
        <row r="220">
          <cell r="M220" t="str">
            <v>6100/003Land_Buildings - Cost of sales</v>
          </cell>
        </row>
        <row r="221">
          <cell r="M221" t="str">
            <v>6100/020LAND &amp; BUILDINGS - ACC DEPR</v>
          </cell>
        </row>
        <row r="222">
          <cell r="M222" t="str">
            <v>6100/021Land &amp; Buildings - Acc depr B/fwd</v>
          </cell>
        </row>
        <row r="223">
          <cell r="M223" t="str">
            <v>6100/022Land &amp; Buildings - Acc depr this year</v>
          </cell>
        </row>
        <row r="224">
          <cell r="M224" t="str">
            <v>6100/023Land &amp; Buildings - Acc depr on sales</v>
          </cell>
        </row>
        <row r="225">
          <cell r="M225" t="str">
            <v>6100/030LAND &amp; BUILDINGS - VALUATION</v>
          </cell>
        </row>
        <row r="226">
          <cell r="M226" t="str">
            <v>6100/031Land_Buildings - Valuation B/fwd</v>
          </cell>
        </row>
        <row r="227">
          <cell r="M227" t="str">
            <v>6100/032Land_Buildings - Valuation additions</v>
          </cell>
        </row>
        <row r="228">
          <cell r="M228" t="str">
            <v>6100/033Land_Buildings - Valuation reduction</v>
          </cell>
        </row>
        <row r="229">
          <cell r="M229" t="str">
            <v>6150/000PLANT &amp; MACHINERY - COST</v>
          </cell>
        </row>
        <row r="230">
          <cell r="M230" t="str">
            <v>6150/001Plant &amp; machinery - cost b/fwd</v>
          </cell>
        </row>
        <row r="231">
          <cell r="M231" t="str">
            <v>6150/002Plant &amp; machinery - Additions</v>
          </cell>
        </row>
        <row r="232">
          <cell r="M232" t="str">
            <v>6150/003Plant &amp; machinery - Cost of sales</v>
          </cell>
        </row>
        <row r="233">
          <cell r="M233" t="str">
            <v>6150/020PLANT &amp; MACHINERY - ACC DEPR</v>
          </cell>
        </row>
        <row r="234">
          <cell r="M234" t="str">
            <v>6150/021Plant &amp; Machinery - Acc depr b/fwd</v>
          </cell>
        </row>
        <row r="235">
          <cell r="M235" t="str">
            <v>6150/022Plant &amp; machinery - depr this year</v>
          </cell>
        </row>
        <row r="236">
          <cell r="M236" t="str">
            <v>6150/023Plant &amp; machinery - acc depr on sales</v>
          </cell>
        </row>
        <row r="237">
          <cell r="M237" t="str">
            <v>6200/000MOTOR VEHICLES - COST</v>
          </cell>
        </row>
        <row r="238">
          <cell r="M238" t="str">
            <v>6200/001Motor Vehicles - Cost B/fwd</v>
          </cell>
        </row>
        <row r="239">
          <cell r="M239" t="str">
            <v>6200/002Motor Vehicles - Additions</v>
          </cell>
        </row>
        <row r="240">
          <cell r="M240" t="str">
            <v>6200/003Motor Vehicles - Cost of sales</v>
          </cell>
        </row>
        <row r="241">
          <cell r="M241" t="str">
            <v>6200/020MOTOR VEHICLES - ACC DEPR</v>
          </cell>
        </row>
        <row r="242">
          <cell r="M242" t="str">
            <v>6200/021Motor vehicles - Acc depr b/fwd</v>
          </cell>
        </row>
        <row r="243">
          <cell r="M243" t="str">
            <v>6200/022Motor vehicles - Depr this year</v>
          </cell>
        </row>
        <row r="244">
          <cell r="M244" t="str">
            <v>6200/023Motor vehicles - Acc depr on sales</v>
          </cell>
        </row>
        <row r="245">
          <cell r="M245" t="str">
            <v>6250/000ELECTRONIC EQUIPMENT - COST</v>
          </cell>
        </row>
        <row r="246">
          <cell r="M246" t="str">
            <v>6250/001Electronic equipment - Cost b/fwd</v>
          </cell>
        </row>
        <row r="247">
          <cell r="M247" t="str">
            <v>6250/002Electronic equipment - Additions</v>
          </cell>
        </row>
        <row r="248">
          <cell r="M248" t="str">
            <v>6250/003Electronic equipment - Cost of sales</v>
          </cell>
        </row>
        <row r="249">
          <cell r="M249" t="str">
            <v>6250/020ELECTRONIC EQUIPMENT - ACC DEPR</v>
          </cell>
        </row>
        <row r="250">
          <cell r="M250" t="str">
            <v>6250/021Electronic equipment - Acc depr B/fwd</v>
          </cell>
        </row>
        <row r="251">
          <cell r="M251" t="str">
            <v>6250/022Electronic equipment - Depr this year</v>
          </cell>
        </row>
        <row r="252">
          <cell r="M252" t="str">
            <v>6250/023Electronic equipment - Acc depr on sales</v>
          </cell>
        </row>
        <row r="253">
          <cell r="M253" t="str">
            <v>6350/000FURNITURE &amp; FITTINGS - COST</v>
          </cell>
        </row>
        <row r="254">
          <cell r="M254" t="str">
            <v>6350/001Furniture &amp; fittings - Cost B/fwd</v>
          </cell>
        </row>
        <row r="255">
          <cell r="M255" t="str">
            <v>6350/002Furniture &amp; fittings - Additions</v>
          </cell>
        </row>
        <row r="256">
          <cell r="M256" t="str">
            <v>6350/003Furniture &amp; fittings - Cost of sales</v>
          </cell>
        </row>
        <row r="257">
          <cell r="M257" t="str">
            <v>6350/020FURNITURE &amp; FITTINGS - ACC DEPR</v>
          </cell>
        </row>
        <row r="258">
          <cell r="M258" t="str">
            <v>6350/021Furniture &amp; fittings - Acc depr B/fwd</v>
          </cell>
        </row>
        <row r="259">
          <cell r="M259" t="str">
            <v>6350/022Furniture &amp; fittings - Depr this year</v>
          </cell>
        </row>
        <row r="260">
          <cell r="M260" t="str">
            <v>6350/023Furniture &amp; fittings - Acc depr on sales</v>
          </cell>
        </row>
        <row r="261">
          <cell r="M261" t="str">
            <v>7000/000GOODWILL/INTANGIBLE ASSETS</v>
          </cell>
        </row>
        <row r="262">
          <cell r="M262" t="str">
            <v>7000/010Goodwill Cost</v>
          </cell>
        </row>
        <row r="263">
          <cell r="M263" t="str">
            <v>7000/011Prepaid lease agreement - Cost</v>
          </cell>
        </row>
        <row r="264">
          <cell r="M264" t="str">
            <v>7000/015PLA - surplus on revaluation</v>
          </cell>
        </row>
        <row r="265">
          <cell r="M265" t="str">
            <v>7000/020PLA - write down this year</v>
          </cell>
        </row>
        <row r="266">
          <cell r="M266" t="str">
            <v>7000/025PLA - write down previous years</v>
          </cell>
        </row>
        <row r="267">
          <cell r="M267" t="str">
            <v>7100/000INVESTMENTS</v>
          </cell>
        </row>
        <row r="268">
          <cell r="M268" t="str">
            <v>7100/100LISTED INVESTMENTS</v>
          </cell>
        </row>
        <row r="269">
          <cell r="M269" t="str">
            <v>7100/101Listed 1</v>
          </cell>
        </row>
        <row r="270">
          <cell r="M270" t="str">
            <v>7100/102Listed 2</v>
          </cell>
        </row>
        <row r="271">
          <cell r="M271" t="str">
            <v>7100/103Listed 3</v>
          </cell>
        </row>
        <row r="272">
          <cell r="M272" t="str">
            <v>7100/104Listed 4</v>
          </cell>
        </row>
        <row r="273">
          <cell r="M273" t="str">
            <v>7100/105Listed 5</v>
          </cell>
        </row>
        <row r="274">
          <cell r="M274" t="str">
            <v>7100/200OTHER INVESTMENTS</v>
          </cell>
        </row>
        <row r="275">
          <cell r="M275" t="str">
            <v>7100/201Other investments 1</v>
          </cell>
        </row>
        <row r="276">
          <cell r="M276" t="str">
            <v>7100/202Other investments 2</v>
          </cell>
        </row>
        <row r="277">
          <cell r="M277" t="str">
            <v>7100/203Other investments 3</v>
          </cell>
        </row>
        <row r="278">
          <cell r="M278" t="str">
            <v>7100/204Other investments 4</v>
          </cell>
        </row>
        <row r="279">
          <cell r="M279" t="str">
            <v>7100/205Other investments 5</v>
          </cell>
        </row>
        <row r="280">
          <cell r="M280" t="str">
            <v>7450/000CONNECTED COMPANIES</v>
          </cell>
        </row>
        <row r="281">
          <cell r="M281" t="str">
            <v>7450/000Interest bearing</v>
          </cell>
        </row>
        <row r="282">
          <cell r="M282" t="str">
            <v>7450/001Connected 1</v>
          </cell>
        </row>
        <row r="283">
          <cell r="M283" t="str">
            <v>7450/002Connected 2</v>
          </cell>
        </row>
        <row r="284">
          <cell r="M284" t="str">
            <v>7450/000Interest free</v>
          </cell>
        </row>
        <row r="285">
          <cell r="M285" t="str">
            <v>7450/003Connected 3</v>
          </cell>
        </row>
        <row r="286">
          <cell r="M286" t="str">
            <v>7450/004Connected 4</v>
          </cell>
        </row>
        <row r="287">
          <cell r="M287" t="str">
            <v>7450/005Connected 5</v>
          </cell>
        </row>
        <row r="288">
          <cell r="M288" t="str">
            <v>7460/000OTHER NON CURRENT RECEIVABLES</v>
          </cell>
        </row>
        <row r="289">
          <cell r="M289" t="str">
            <v>7460/000Interest bearing</v>
          </cell>
        </row>
        <row r="290">
          <cell r="M290" t="str">
            <v>7460/001Other non current 1</v>
          </cell>
        </row>
        <row r="291">
          <cell r="M291" t="str">
            <v>7460/002Other non current 2</v>
          </cell>
        </row>
        <row r="292">
          <cell r="M292" t="str">
            <v>7460/003Other non current 3</v>
          </cell>
        </row>
        <row r="293">
          <cell r="M293" t="str">
            <v>7460/000Interest free</v>
          </cell>
        </row>
        <row r="294">
          <cell r="M294" t="str">
            <v>7460/004Other non current 4</v>
          </cell>
        </row>
        <row r="295">
          <cell r="M295" t="str">
            <v>7460/005Other non current 5</v>
          </cell>
        </row>
        <row r="296">
          <cell r="M296" t="str">
            <v>7460/006Other non current 6</v>
          </cell>
        </row>
        <row r="297">
          <cell r="M297" t="str">
            <v>7460/007Other non current 7</v>
          </cell>
        </row>
        <row r="298">
          <cell r="M298" t="str">
            <v>7460/008Other non current 8</v>
          </cell>
        </row>
        <row r="299">
          <cell r="M299" t="str">
            <v>7500/000INVENTORY</v>
          </cell>
        </row>
        <row r="300">
          <cell r="M300" t="str">
            <v>7500/001Raw materials</v>
          </cell>
        </row>
        <row r="301">
          <cell r="M301" t="str">
            <v>7500/002Work in progress</v>
          </cell>
        </row>
        <row r="302">
          <cell r="M302" t="str">
            <v>7500/003Finished goods</v>
          </cell>
        </row>
        <row r="303">
          <cell r="M303" t="str">
            <v>7500/004Trading stock</v>
          </cell>
        </row>
        <row r="304">
          <cell r="M304" t="str">
            <v>8000/000DEBTORS</v>
          </cell>
        </row>
        <row r="305">
          <cell r="M305" t="str">
            <v>8010/000Trade debtors</v>
          </cell>
        </row>
        <row r="306">
          <cell r="M306" t="str">
            <v>8020/000Less: Provision For Doubtful Debts</v>
          </cell>
        </row>
        <row r="307">
          <cell r="M307" t="str">
            <v>8030/000Service deposits</v>
          </cell>
        </row>
        <row r="308">
          <cell r="M308" t="str">
            <v>8200/000Sundry Customers</v>
          </cell>
        </row>
        <row r="309">
          <cell r="M309" t="str">
            <v>8200/010Prepayments</v>
          </cell>
        </row>
        <row r="310">
          <cell r="M310" t="str">
            <v>8200/020Staff Loans</v>
          </cell>
        </row>
        <row r="311">
          <cell r="M311" t="str">
            <v>8400/000BANK ACCOUNTS</v>
          </cell>
        </row>
        <row r="312">
          <cell r="M312" t="str">
            <v>8410/000Bank account 1</v>
          </cell>
        </row>
        <row r="313">
          <cell r="M313" t="str">
            <v>8420/000Bank account 2</v>
          </cell>
        </row>
        <row r="314">
          <cell r="M314" t="str">
            <v>8430/000Bank account 3</v>
          </cell>
        </row>
        <row r="315">
          <cell r="M315" t="str">
            <v>8440/000Bank account 4</v>
          </cell>
        </row>
        <row r="316">
          <cell r="M316" t="str">
            <v>8450/000Bank account 5</v>
          </cell>
        </row>
        <row r="317">
          <cell r="M317" t="str">
            <v>8460/000Bank account 6</v>
          </cell>
        </row>
        <row r="318">
          <cell r="M318" t="str">
            <v>8500/000Cash on hand</v>
          </cell>
        </row>
        <row r="319">
          <cell r="M319" t="str">
            <v>8900/000SHORT TERM LOANS</v>
          </cell>
        </row>
        <row r="320">
          <cell r="M320" t="str">
            <v>8900/001Short term 1</v>
          </cell>
        </row>
        <row r="321">
          <cell r="M321" t="str">
            <v>8900/002Short term 2</v>
          </cell>
        </row>
        <row r="322">
          <cell r="M322" t="str">
            <v>8900/003Short term 3</v>
          </cell>
        </row>
        <row r="323">
          <cell r="M323" t="str">
            <v>8900/004Short term portion of long term loans</v>
          </cell>
        </row>
        <row r="324">
          <cell r="M324" t="str">
            <v>9000/000CREDITORS</v>
          </cell>
        </row>
        <row r="325">
          <cell r="M325" t="str">
            <v>9010/000Trade creditors</v>
          </cell>
        </row>
        <row r="326">
          <cell r="M326" t="str">
            <v>9200/000Sundry Suppliers</v>
          </cell>
        </row>
        <row r="327">
          <cell r="M327" t="str">
            <v>9200/010Audit fee accrual</v>
          </cell>
        </row>
        <row r="328">
          <cell r="M328" t="str">
            <v>9200/020Other Accruals</v>
          </cell>
        </row>
        <row r="329">
          <cell r="M329" t="str">
            <v>9250/000Salary &amp; Wages Control</v>
          </cell>
        </row>
        <row r="330">
          <cell r="M330" t="str">
            <v>9300/000TAXATION</v>
          </cell>
        </row>
        <row r="331">
          <cell r="M331" t="str">
            <v>9300/010Balance b/fwd</v>
          </cell>
        </row>
        <row r="332">
          <cell r="M332" t="str">
            <v>9300/020Tax provision this year</v>
          </cell>
        </row>
        <row r="333">
          <cell r="M333" t="str">
            <v>9300/030Over-/Underprovision previous year</v>
          </cell>
        </row>
        <row r="334">
          <cell r="M334" t="str">
            <v>9300/040Tax paid for previous year provisions</v>
          </cell>
        </row>
        <row r="335">
          <cell r="M335" t="str">
            <v>9300/0501st Provisional Paid</v>
          </cell>
        </row>
        <row r="336">
          <cell r="M336" t="str">
            <v>9300/0602nd Provisional Paid</v>
          </cell>
        </row>
        <row r="337">
          <cell r="M337" t="str">
            <v>9300/0703rd Provisional paid</v>
          </cell>
        </row>
        <row r="338">
          <cell r="M338" t="str">
            <v>9300/090Dividends tax Provision this year</v>
          </cell>
        </row>
        <row r="339">
          <cell r="M339" t="str">
            <v>9350/000Dividends Payable</v>
          </cell>
        </row>
        <row r="340">
          <cell r="M340" t="str">
            <v>9400/000Provision for Future Expenses</v>
          </cell>
        </row>
        <row r="341">
          <cell r="M341" t="str">
            <v>9400/010Provision for Insurance</v>
          </cell>
        </row>
        <row r="342">
          <cell r="M342" t="str">
            <v>9400/020Provision for Salary Bonus</v>
          </cell>
        </row>
        <row r="343">
          <cell r="M343" t="str">
            <v>9500/000VALUE ADDED TAX</v>
          </cell>
        </row>
        <row r="344">
          <cell r="M344" t="str">
            <v>9501/000VAT account</v>
          </cell>
        </row>
        <row r="345">
          <cell r="M345" t="str">
            <v>9510/000----------------------------------------</v>
          </cell>
        </row>
        <row r="346">
          <cell r="M346" t="str">
            <v>9990/000Suspense Account</v>
          </cell>
        </row>
      </sheetData>
      <sheetData sheetId="2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ENG"/>
      <sheetName val="ExceptionReport"/>
      <sheetName val="Criteria"/>
      <sheetName val="TrialBalance"/>
      <sheetName val="TB2013"/>
      <sheetName val="GL2013"/>
      <sheetName val="Accruals"/>
      <sheetName val="Summary"/>
      <sheetName val="Journals"/>
      <sheetName val="FixAssetsRegister"/>
      <sheetName val="VAT"/>
      <sheetName val="Customer Accounts"/>
      <sheetName val="Petty Cash"/>
      <sheetName val="Sheet1"/>
      <sheetName val="Bankrecon"/>
      <sheetName val="HPLead"/>
      <sheetName val="HP1 (2)"/>
      <sheetName val="HP1 (8)"/>
      <sheetName val="HP1"/>
      <sheetName val="HP1 (3)"/>
      <sheetName val="HP1 (4)"/>
      <sheetName val="DefTax"/>
      <sheetName val="Analities1"/>
      <sheetName val="Analities2"/>
    </sheetNames>
    <sheetDataSet>
      <sheetData sheetId="0"/>
      <sheetData sheetId="1"/>
      <sheetData sheetId="2"/>
      <sheetData sheetId="3">
        <row r="5">
          <cell r="M5" t="str">
            <v>1000/001Sales</v>
          </cell>
        </row>
        <row r="6">
          <cell r="M6" t="str">
            <v>1000/002Sales 2</v>
          </cell>
        </row>
        <row r="7">
          <cell r="M7" t="str">
            <v>1000/003Rent Received</v>
          </cell>
        </row>
        <row r="8">
          <cell r="M8" t="str">
            <v>2000/000COST OF SALES</v>
          </cell>
        </row>
        <row r="9">
          <cell r="M9" t="str">
            <v>2000/001Opening stock - Raw material</v>
          </cell>
        </row>
        <row r="10">
          <cell r="M10" t="str">
            <v>2000/002Opening stock - WIP</v>
          </cell>
        </row>
        <row r="11">
          <cell r="M11" t="str">
            <v>2000/003Opening stock - Finished goods</v>
          </cell>
        </row>
        <row r="12">
          <cell r="M12" t="str">
            <v>2000/004Opening stock - Trading stock</v>
          </cell>
        </row>
        <row r="13">
          <cell r="M13" t="str">
            <v>2000/010Purchases</v>
          </cell>
        </row>
        <row r="14">
          <cell r="M14" t="str">
            <v>2000/011Subcontractors</v>
          </cell>
        </row>
        <row r="15">
          <cell r="M15" t="str">
            <v>2000/012Galvinising</v>
          </cell>
        </row>
        <row r="16">
          <cell r="M16" t="str">
            <v>2000/013Municipality, Surveyor and Rezoning Fees</v>
          </cell>
        </row>
        <row r="17">
          <cell r="M17" t="str">
            <v>2000/014Open</v>
          </cell>
        </row>
        <row r="18">
          <cell r="M18" t="str">
            <v>2000/015Open</v>
          </cell>
        </row>
        <row r="19">
          <cell r="M19" t="str">
            <v>2000/050Closing stock - Raw materials</v>
          </cell>
        </row>
        <row r="20">
          <cell r="M20" t="str">
            <v>2000/051Closing stock - WIP</v>
          </cell>
        </row>
        <row r="21">
          <cell r="M21" t="str">
            <v>2000/052Closing stock - Finished goods</v>
          </cell>
        </row>
        <row r="22">
          <cell r="M22" t="str">
            <v>2000/053Closing stock - Trading stock</v>
          </cell>
        </row>
        <row r="23">
          <cell r="M23" t="str">
            <v>2050/000OTHER OPERATING INCOME</v>
          </cell>
        </row>
        <row r="24">
          <cell r="M24" t="str">
            <v>2050/001Insurance claims</v>
          </cell>
        </row>
        <row r="25">
          <cell r="M25" t="str">
            <v>2050/002</v>
          </cell>
        </row>
        <row r="26">
          <cell r="M26" t="str">
            <v>2050/003Vending Machine Income</v>
          </cell>
        </row>
        <row r="27">
          <cell r="M27" t="str">
            <v>2050/004</v>
          </cell>
        </row>
        <row r="28">
          <cell r="M28" t="str">
            <v>2050/005</v>
          </cell>
        </row>
        <row r="29">
          <cell r="M29" t="str">
            <v>2100/000OPERATING EXPENSES</v>
          </cell>
        </row>
        <row r="30">
          <cell r="M30" t="str">
            <v>2100/001Advertising</v>
          </cell>
        </row>
        <row r="31">
          <cell r="M31" t="str">
            <v>2100/010Assets written off</v>
          </cell>
        </row>
        <row r="32">
          <cell r="M32" t="str">
            <v>2100/020Consumables</v>
          </cell>
        </row>
        <row r="33">
          <cell r="M33" t="str">
            <v>2100/030Depreciation----------------------------</v>
          </cell>
        </row>
        <row r="34">
          <cell r="M34" t="str">
            <v>2100/031Depr - Land &amp; buildings</v>
          </cell>
        </row>
        <row r="35">
          <cell r="M35" t="str">
            <v>2100/032Depr - Plant &amp; Machinery</v>
          </cell>
        </row>
        <row r="36">
          <cell r="M36" t="str">
            <v>2100/033Depr - Motor vehicles</v>
          </cell>
        </row>
        <row r="37">
          <cell r="M37" t="str">
            <v>2100/034Depr - Electronic equipment</v>
          </cell>
        </row>
        <row r="38">
          <cell r="M38" t="str">
            <v>2100/040Discounts allowed</v>
          </cell>
        </row>
        <row r="39">
          <cell r="M39" t="str">
            <v>2100/050Electricity and Water</v>
          </cell>
        </row>
        <row r="40">
          <cell r="M40" t="str">
            <v>2100/055Equipment lease</v>
          </cell>
        </row>
        <row r="41">
          <cell r="M41" t="str">
            <v>2100/060Insurance</v>
          </cell>
        </row>
        <row r="42">
          <cell r="M42" t="str">
            <v>2100/070Levies - District Municipality</v>
          </cell>
        </row>
        <row r="43">
          <cell r="M43" t="str">
            <v>2100/071Levies - SDL</v>
          </cell>
        </row>
        <row r="44">
          <cell r="M44" t="str">
            <v>2100/072Levies - other</v>
          </cell>
        </row>
        <row r="45">
          <cell r="M45" t="str">
            <v>2100/080Trade licenses</v>
          </cell>
        </row>
        <row r="46">
          <cell r="M46" t="str">
            <v>2100/090Motor vehicle expenses------------------</v>
          </cell>
        </row>
        <row r="47">
          <cell r="M47" t="str">
            <v>2100/091Motor vehicle expenses - Petrol and oil</v>
          </cell>
        </row>
        <row r="48">
          <cell r="M48" t="str">
            <v>2100/092Motor vehicle expenses - R&amp;M</v>
          </cell>
        </row>
        <row r="49">
          <cell r="M49" t="str">
            <v>2100/093Motor vehicle expenses - Insurance</v>
          </cell>
        </row>
        <row r="50">
          <cell r="M50" t="str">
            <v>2100/094Motor vehicle expenses - licenses</v>
          </cell>
        </row>
        <row r="51">
          <cell r="M51" t="str">
            <v>2100/095Motor vehicle expenses - general</v>
          </cell>
        </row>
        <row r="52">
          <cell r="M52" t="str">
            <v>2100/100Rent paid-------------------------------</v>
          </cell>
        </row>
        <row r="53">
          <cell r="M53" t="str">
            <v>2100/101Dorpshuys</v>
          </cell>
        </row>
        <row r="54">
          <cell r="M54" t="str">
            <v>2100/102Occupational rent</v>
          </cell>
        </row>
        <row r="55">
          <cell r="M55" t="str">
            <v>2100/103</v>
          </cell>
        </row>
        <row r="56">
          <cell r="M56" t="str">
            <v>2100/110Repairs and maintenance</v>
          </cell>
        </row>
        <row r="57">
          <cell r="M57" t="str">
            <v>2100/120Salaries</v>
          </cell>
        </row>
        <row r="58">
          <cell r="M58" t="str">
            <v>2100/121UIF - Employer</v>
          </cell>
        </row>
        <row r="59">
          <cell r="M59" t="str">
            <v>2100/122Casual wages</v>
          </cell>
        </row>
        <row r="60">
          <cell r="M60" t="str">
            <v>2100/130Telephone</v>
          </cell>
        </row>
        <row r="61">
          <cell r="M61" t="str">
            <v>2100/135Postage and courier</v>
          </cell>
        </row>
        <row r="62">
          <cell r="M62" t="str">
            <v>2100/140Training</v>
          </cell>
        </row>
        <row r="63">
          <cell r="M63" t="str">
            <v>2100/150Traveling</v>
          </cell>
        </row>
        <row r="64">
          <cell r="M64" t="str">
            <v>2150/000Rates and Taxes</v>
          </cell>
        </row>
        <row r="65">
          <cell r="M65" t="str">
            <v>2200/000Levies</v>
          </cell>
        </row>
        <row r="66">
          <cell r="M66" t="str">
            <v>2400/000Delivery costs</v>
          </cell>
        </row>
        <row r="67">
          <cell r="M67" t="str">
            <v>2400/010Flower and Display</v>
          </cell>
        </row>
        <row r="68">
          <cell r="M68" t="str">
            <v>2400/020Laundry</v>
          </cell>
        </row>
        <row r="69">
          <cell r="M69" t="str">
            <v>2400/030Packaging costs</v>
          </cell>
        </row>
        <row r="70">
          <cell r="M70" t="str">
            <v>2400/040Gas and Wood</v>
          </cell>
        </row>
        <row r="71">
          <cell r="M71" t="str">
            <v>2400/050Packing material</v>
          </cell>
        </row>
        <row r="72">
          <cell r="M72" t="str">
            <v>2400/060Staff clothing</v>
          </cell>
        </row>
        <row r="73">
          <cell r="M73" t="str">
            <v>2400/070Travel - staff</v>
          </cell>
        </row>
        <row r="74">
          <cell r="M74" t="str">
            <v>2500/000OTHER INCOME</v>
          </cell>
        </row>
        <row r="75">
          <cell r="M75" t="str">
            <v>2700/000Blocked</v>
          </cell>
        </row>
        <row r="76">
          <cell r="M76" t="str">
            <v>2710/000Rent Received (Not Main income)</v>
          </cell>
        </row>
        <row r="77">
          <cell r="M77" t="str">
            <v>2750/000Interest Received-----------------------</v>
          </cell>
        </row>
        <row r="78">
          <cell r="M78" t="str">
            <v>2750/001Current account</v>
          </cell>
        </row>
        <row r="79">
          <cell r="M79" t="str">
            <v>2750/002</v>
          </cell>
        </row>
        <row r="80">
          <cell r="M80" t="str">
            <v>2750/003</v>
          </cell>
        </row>
        <row r="81">
          <cell r="M81" t="str">
            <v>2750/004</v>
          </cell>
        </row>
        <row r="82">
          <cell r="M82" t="str">
            <v>2800/000Dividends received----------------------</v>
          </cell>
        </row>
        <row r="83">
          <cell r="M83" t="str">
            <v>2800/001Div's received - SA sources</v>
          </cell>
        </row>
        <row r="84">
          <cell r="M84" t="str">
            <v>2800/002Div's received - Foreign div's</v>
          </cell>
        </row>
        <row r="85">
          <cell r="M85" t="str">
            <v>2810/000Profit/Loss on sale of fixed assets</v>
          </cell>
        </row>
        <row r="86">
          <cell r="M86" t="str">
            <v>2820/000Bad debts recovered</v>
          </cell>
        </row>
        <row r="87">
          <cell r="M87" t="str">
            <v>2830/000Other income</v>
          </cell>
        </row>
        <row r="88">
          <cell r="M88" t="str">
            <v>3000/000ADMINISTRATION EXPENSES</v>
          </cell>
        </row>
        <row r="89">
          <cell r="M89" t="str">
            <v>3000/010Auditor's remuneration------------------</v>
          </cell>
        </row>
        <row r="90">
          <cell r="M90" t="str">
            <v>3000/011Audit fees for current year</v>
          </cell>
        </row>
        <row r="91">
          <cell r="M91" t="str">
            <v>3000/012Under provision previous year</v>
          </cell>
        </row>
        <row r="92">
          <cell r="M92" t="str">
            <v>3000/013Overprovision previous year</v>
          </cell>
        </row>
        <row r="93">
          <cell r="M93" t="str">
            <v>3000/014Accounting fees</v>
          </cell>
        </row>
        <row r="94">
          <cell r="M94" t="str">
            <v>3000/020Bank charges</v>
          </cell>
        </row>
        <row r="95">
          <cell r="M95" t="str">
            <v>3000/030Bad debts</v>
          </cell>
        </row>
        <row r="96">
          <cell r="M96" t="str">
            <v>3000/040Cleaning</v>
          </cell>
        </row>
        <row r="97">
          <cell r="M97" t="str">
            <v>3000/050Computer expenses</v>
          </cell>
        </row>
        <row r="98">
          <cell r="M98" t="str">
            <v>3000/060Depreciation----------------------------</v>
          </cell>
        </row>
        <row r="99">
          <cell r="M99" t="str">
            <v>3000/061Depr - Land &amp; buildings</v>
          </cell>
        </row>
        <row r="100">
          <cell r="M100" t="str">
            <v>3000/062Depr - Motor vehicles</v>
          </cell>
        </row>
        <row r="101">
          <cell r="M101" t="str">
            <v>3000/063Depr - Computer equipment</v>
          </cell>
        </row>
        <row r="102">
          <cell r="M102" t="str">
            <v>3000/064Depr - Office equipment</v>
          </cell>
        </row>
        <row r="103">
          <cell r="M103" t="str">
            <v>3000/065Depr - Furniture &amp; Fittings</v>
          </cell>
        </row>
        <row r="104">
          <cell r="M104" t="str">
            <v>3000/066Depr - Other</v>
          </cell>
        </row>
        <row r="105">
          <cell r="M105" t="str">
            <v>3000/070Directors'/Members' remuneration-----------------</v>
          </cell>
        </row>
        <row r="106">
          <cell r="M106" t="str">
            <v>3000/071</v>
          </cell>
        </row>
        <row r="107">
          <cell r="M107" t="str">
            <v>3000/072H M Vorster</v>
          </cell>
        </row>
        <row r="108">
          <cell r="M108" t="str">
            <v>3000/073</v>
          </cell>
        </row>
        <row r="109">
          <cell r="M109" t="str">
            <v>3000/074</v>
          </cell>
        </row>
        <row r="110">
          <cell r="M110" t="str">
            <v>3000/075</v>
          </cell>
        </row>
        <row r="111">
          <cell r="M111" t="str">
            <v>3000/080Donations</v>
          </cell>
        </row>
        <row r="112">
          <cell r="M112" t="str">
            <v>3000/090Entertainment expenses</v>
          </cell>
        </row>
        <row r="113">
          <cell r="M113" t="str">
            <v>3000/095Fines</v>
          </cell>
        </row>
        <row r="114">
          <cell r="M114" t="str">
            <v>3000/100General expenses</v>
          </cell>
        </row>
        <row r="115">
          <cell r="M115" t="str">
            <v>3000/110Legal expenses - Tax deductible</v>
          </cell>
        </row>
        <row r="116">
          <cell r="M116" t="str">
            <v>3000/111Legal expenses - Non deductible</v>
          </cell>
        </row>
        <row r="117">
          <cell r="M117" t="str">
            <v>3000/120Printing and stationary</v>
          </cell>
        </row>
        <row r="118">
          <cell r="M118" t="str">
            <v>3000/130Refreshments</v>
          </cell>
        </row>
        <row r="119">
          <cell r="M119" t="str">
            <v>3000/140Salaries</v>
          </cell>
        </row>
        <row r="120">
          <cell r="M120" t="str">
            <v>3000/141UIF - Employer</v>
          </cell>
        </row>
        <row r="121">
          <cell r="M121" t="str">
            <v>3000/142Casual wages</v>
          </cell>
        </row>
        <row r="122">
          <cell r="M122" t="str">
            <v>3000/150Security</v>
          </cell>
        </row>
        <row r="123">
          <cell r="M123" t="str">
            <v>3000/160Subscriptions</v>
          </cell>
        </row>
        <row r="124">
          <cell r="M124" t="str">
            <v>3000/170Penalties &amp; Interest - SARS</v>
          </cell>
        </row>
        <row r="125">
          <cell r="M125" t="str">
            <v>3000/180Amortisation of prepaid lease payment</v>
          </cell>
        </row>
        <row r="126">
          <cell r="M126" t="str">
            <v>3000/190CIPRO registration fees</v>
          </cell>
        </row>
        <row r="127">
          <cell r="M127" t="str">
            <v>3000/200Credit card fees</v>
          </cell>
        </row>
        <row r="128">
          <cell r="M128" t="str">
            <v>3000/210</v>
          </cell>
        </row>
        <row r="129">
          <cell r="M129" t="str">
            <v>3000/220</v>
          </cell>
        </row>
        <row r="130">
          <cell r="M130" t="str">
            <v>4210/000Pft/Loss on foreign exchange</v>
          </cell>
        </row>
        <row r="131">
          <cell r="M131" t="str">
            <v>4700/000FINANCE COSTS</v>
          </cell>
        </row>
        <row r="132">
          <cell r="M132" t="str">
            <v>4700/010Interest paid---------------------------</v>
          </cell>
        </row>
        <row r="133">
          <cell r="M133" t="str">
            <v>4700/011Nedbank - Bond</v>
          </cell>
        </row>
        <row r="134">
          <cell r="M134" t="str">
            <v>4700/012Current account</v>
          </cell>
        </row>
        <row r="135">
          <cell r="M135" t="str">
            <v>4700/013FNB - Bond</v>
          </cell>
        </row>
        <row r="136">
          <cell r="M136" t="str">
            <v>4700/014Investec - Bond</v>
          </cell>
        </row>
        <row r="137">
          <cell r="M137" t="str">
            <v>4700/020Hire purchase interest</v>
          </cell>
        </row>
        <row r="138">
          <cell r="M138" t="str">
            <v>4750/000OTHER</v>
          </cell>
        </row>
        <row r="139">
          <cell r="M139" t="str">
            <v>4750/010Loss on Revaluation of Investments</v>
          </cell>
        </row>
        <row r="140">
          <cell r="M140" t="str">
            <v>4800/000NORMAL TAXATION</v>
          </cell>
        </row>
        <row r="141">
          <cell r="M141" t="str">
            <v>4800/001Tax provided this year</v>
          </cell>
        </row>
        <row r="142">
          <cell r="M142" t="str">
            <v>4800/002Tax adjustment previous year</v>
          </cell>
        </row>
        <row r="143">
          <cell r="M143" t="str">
            <v>4800/010Secondary tax on companies</v>
          </cell>
        </row>
        <row r="144">
          <cell r="M144" t="str">
            <v>4820/000DEFERRED TAX</v>
          </cell>
        </row>
        <row r="145">
          <cell r="M145" t="str">
            <v>4820/001Deferred tax this year</v>
          </cell>
        </row>
        <row r="146">
          <cell r="M146" t="str">
            <v>4820/002Deferred tax adjustment previous year</v>
          </cell>
        </row>
        <row r="147">
          <cell r="M147" t="str">
            <v>4850/000Dividends Declared</v>
          </cell>
        </row>
        <row r="148">
          <cell r="M148" t="str">
            <v>4860/000Dividends paid</v>
          </cell>
        </row>
        <row r="151">
          <cell r="M151">
            <v>0</v>
          </cell>
        </row>
        <row r="152">
          <cell r="C152" t="str">
            <v>SHARE CAPITAL</v>
          </cell>
          <cell r="M152" t="str">
            <v>5100/000SHARE CAPITAL</v>
          </cell>
        </row>
        <row r="153">
          <cell r="C153" t="str">
            <v>Share Capital - Balance b/fwd</v>
          </cell>
          <cell r="M153" t="str">
            <v>5100/001Share Capital - Balance b/fwd</v>
          </cell>
        </row>
        <row r="154">
          <cell r="C154" t="str">
            <v>Share Capital - Additions</v>
          </cell>
          <cell r="M154" t="str">
            <v>5100/002Share Capital - Additions</v>
          </cell>
        </row>
        <row r="155">
          <cell r="C155" t="str">
            <v>SHARE PREMIUM</v>
          </cell>
          <cell r="M155" t="str">
            <v>5110/000SHARE PREMIUM</v>
          </cell>
        </row>
        <row r="156">
          <cell r="C156" t="str">
            <v>Share premium - Balance b/fwd</v>
          </cell>
          <cell r="M156" t="str">
            <v>5110/001Share premium - Balance b/fwd</v>
          </cell>
        </row>
        <row r="157">
          <cell r="C157" t="str">
            <v>Share premium - Additions</v>
          </cell>
          <cell r="M157" t="str">
            <v>5110/002Share premium - Additions</v>
          </cell>
        </row>
        <row r="158">
          <cell r="C158" t="str">
            <v>Share premium - transfer</v>
          </cell>
          <cell r="M158" t="str">
            <v>5110/003Share premium - transfer</v>
          </cell>
        </row>
        <row r="159">
          <cell r="C159" t="str">
            <v>VALUATION RESERVE</v>
          </cell>
          <cell r="M159" t="str">
            <v>5120/000VALUATION RESERVE</v>
          </cell>
        </row>
        <row r="160">
          <cell r="C160" t="str">
            <v>Valuation reserve - Balance b/fwd</v>
          </cell>
          <cell r="M160" t="str">
            <v>5120/001Valuation reserve - Balance b/fwd</v>
          </cell>
        </row>
        <row r="161">
          <cell r="C161" t="str">
            <v>Valuation reserve - Additions</v>
          </cell>
          <cell r="M161" t="str">
            <v>5120/002Valuation reserve - Additions</v>
          </cell>
        </row>
        <row r="162">
          <cell r="C162" t="str">
            <v>Valuation reserve - transfer to p/l</v>
          </cell>
          <cell r="M162" t="str">
            <v>5120/003Valuation reserve - transfer to p/l</v>
          </cell>
        </row>
        <row r="163">
          <cell r="C163" t="str">
            <v>OTHER RESERVES</v>
          </cell>
          <cell r="M163" t="str">
            <v>5130/000OTHER RESERVES</v>
          </cell>
        </row>
        <row r="164">
          <cell r="C164" t="str">
            <v>Other reserves - Balance B/fwd</v>
          </cell>
          <cell r="M164" t="str">
            <v>5130/001Other reserves - Balance B/fwd</v>
          </cell>
        </row>
        <row r="165">
          <cell r="C165" t="str">
            <v>Other reserves - Additions</v>
          </cell>
          <cell r="M165" t="str">
            <v>5130/002Other reserves - Additions</v>
          </cell>
        </row>
        <row r="166">
          <cell r="C166" t="str">
            <v>Other reserves - transfer</v>
          </cell>
          <cell r="M166" t="str">
            <v>5130/003Other reserves - transfer</v>
          </cell>
        </row>
        <row r="167">
          <cell r="C167" t="str">
            <v>Retained Income / (Accumulated Loss)</v>
          </cell>
          <cell r="M167" t="str">
            <v>5200/000Retained Income / (Accumulated Loss)</v>
          </cell>
        </row>
        <row r="168">
          <cell r="C168" t="str">
            <v>MEMBERS' LOANS</v>
          </cell>
          <cell r="M168" t="str">
            <v>5420/000MEMBERS' LOANS</v>
          </cell>
        </row>
        <row r="169">
          <cell r="C169" t="str">
            <v>Member 1 - balance b/fwd</v>
          </cell>
          <cell r="M169" t="str">
            <v>5420/010Member 1 - balance b/fwd</v>
          </cell>
        </row>
        <row r="170">
          <cell r="C170" t="str">
            <v>Member 1 - Advance/Repayment in year</v>
          </cell>
          <cell r="M170" t="str">
            <v>5420/011Member 1 - Advance/Repayment in year</v>
          </cell>
        </row>
        <row r="171">
          <cell r="C171" t="str">
            <v>Member 1 - Profits distributed</v>
          </cell>
          <cell r="M171" t="str">
            <v>5420/012Member 1 - Profits distributed</v>
          </cell>
        </row>
        <row r="172">
          <cell r="C172" t="str">
            <v>Member 2 - balance b/fwd</v>
          </cell>
          <cell r="M172" t="str">
            <v>5420/020Member 2 - balance b/fwd</v>
          </cell>
        </row>
        <row r="173">
          <cell r="C173" t="str">
            <v>Member 2 - Advance/Repayment in year</v>
          </cell>
          <cell r="M173" t="str">
            <v>5420/021Member 2 - Advance/Repayment in year</v>
          </cell>
        </row>
        <row r="174">
          <cell r="C174" t="str">
            <v>Member 2 - Profits distributed</v>
          </cell>
          <cell r="M174" t="str">
            <v>5420/022Member 2 - Profits distributed</v>
          </cell>
        </row>
        <row r="175">
          <cell r="C175" t="str">
            <v>Member 3 - balance b/fwd</v>
          </cell>
          <cell r="M175" t="str">
            <v>5420/030Member 3 - balance b/fwd</v>
          </cell>
        </row>
        <row r="176">
          <cell r="C176" t="str">
            <v>Member 3 - Advance/Repayment in year</v>
          </cell>
          <cell r="M176" t="str">
            <v>5420/031Member 3 - Advance/Repayment in year</v>
          </cell>
        </row>
        <row r="177">
          <cell r="C177" t="str">
            <v>Member 3 - Profits distributed</v>
          </cell>
          <cell r="M177" t="str">
            <v>5420/032Member 3 - Profits distributed</v>
          </cell>
        </row>
        <row r="178">
          <cell r="C178" t="str">
            <v>Member 4 - balance b/fwd</v>
          </cell>
          <cell r="M178" t="str">
            <v>5420/040Member 4 - balance b/fwd</v>
          </cell>
        </row>
        <row r="179">
          <cell r="C179" t="str">
            <v>Member 4 - Advance/Repayment in year</v>
          </cell>
          <cell r="M179" t="str">
            <v>5420/041Member 4 - Advance/Repayment in year</v>
          </cell>
        </row>
        <row r="180">
          <cell r="C180" t="str">
            <v>Member 4 - Profits distributed</v>
          </cell>
          <cell r="M180" t="str">
            <v>5420/042Member 4 - Profits distributed</v>
          </cell>
        </row>
        <row r="181">
          <cell r="C181" t="str">
            <v>LONG TERM  INTEREST LIABILITIES</v>
          </cell>
          <cell r="M181" t="str">
            <v>5500/000LONG TERM  INTEREST LIABILITIES</v>
          </cell>
        </row>
        <row r="182">
          <cell r="C182" t="str">
            <v>Nedbank - Bond</v>
          </cell>
          <cell r="M182" t="str">
            <v>5500/001Nedbank - Bond</v>
          </cell>
        </row>
        <row r="183">
          <cell r="C183" t="str">
            <v>First National Bank - Bond</v>
          </cell>
          <cell r="M183" t="str">
            <v>5500/002First National Bank - Bond</v>
          </cell>
        </row>
        <row r="184">
          <cell r="C184" t="str">
            <v>Investec - Bond</v>
          </cell>
          <cell r="M184" t="str">
            <v>5500/003Investec - Bond</v>
          </cell>
        </row>
        <row r="185">
          <cell r="C185" t="str">
            <v>Loan 4 **********</v>
          </cell>
          <cell r="M185" t="str">
            <v>5500/004Loan 4 **********</v>
          </cell>
        </row>
        <row r="186">
          <cell r="C186" t="str">
            <v>Bay Motors</v>
          </cell>
          <cell r="M186" t="str">
            <v>5500/005Bay Motors</v>
          </cell>
        </row>
        <row r="187">
          <cell r="C187" t="str">
            <v>Short term portion of long term loans</v>
          </cell>
          <cell r="M187" t="str">
            <v>5520/000Short term portion of long term loans</v>
          </cell>
        </row>
        <row r="188">
          <cell r="C188" t="str">
            <v>LONG TERM INTEREST FREE LOANS</v>
          </cell>
          <cell r="M188" t="str">
            <v>5550/000LONG TERM INTEREST FREE LOANS</v>
          </cell>
        </row>
        <row r="189">
          <cell r="C189" t="str">
            <v>Quickvest 259 (Pty) Ltd</v>
          </cell>
          <cell r="M189" t="str">
            <v>5550/001Quickvest 259 (Pty) Ltd</v>
          </cell>
        </row>
        <row r="190">
          <cell r="C190" t="str">
            <v>Scarlet Moon Trust</v>
          </cell>
          <cell r="M190" t="str">
            <v>5550/002Scarlet Moon Trust</v>
          </cell>
        </row>
        <row r="191">
          <cell r="C191" t="str">
            <v>Rochstrei Trust</v>
          </cell>
          <cell r="M191" t="str">
            <v>5550/003Rochstrei Trust</v>
          </cell>
        </row>
        <row r="192">
          <cell r="C192" t="str">
            <v>Tembador 100 (Pty) Ltd</v>
          </cell>
          <cell r="M192" t="str">
            <v>5550/004Tembador 100 (Pty) Ltd</v>
          </cell>
        </row>
        <row r="193">
          <cell r="C193" t="str">
            <v>P R Steyn</v>
          </cell>
          <cell r="M193" t="str">
            <v>5550/005P R Steyn</v>
          </cell>
        </row>
        <row r="194">
          <cell r="C194" t="str">
            <v>INSTALLMENT SALE CREDITORS</v>
          </cell>
          <cell r="M194" t="str">
            <v>5600/000INSTALLMENT SALE CREDITORS</v>
          </cell>
        </row>
        <row r="195">
          <cell r="C195" t="str">
            <v>A Wiffen</v>
          </cell>
          <cell r="M195" t="str">
            <v>5600/001A Wiffen</v>
          </cell>
        </row>
        <row r="196">
          <cell r="C196" t="str">
            <v>Tembador 100 (Pty) Ltd</v>
          </cell>
          <cell r="M196" t="str">
            <v>5600/002Tembador 100 (Pty) Ltd</v>
          </cell>
        </row>
        <row r="197">
          <cell r="C197" t="str">
            <v>Point Village Restaurant 1 CC</v>
          </cell>
          <cell r="M197" t="str">
            <v>5600/003Point Village Restaurant 1 CC</v>
          </cell>
        </row>
        <row r="198">
          <cell r="C198" t="str">
            <v>Point Village Restaurant 2 CC</v>
          </cell>
          <cell r="M198" t="str">
            <v>5600/004Point Village Restaurant 2 CC</v>
          </cell>
        </row>
        <row r="199">
          <cell r="C199" t="str">
            <v>CShell 172 (Pty) Ltd</v>
          </cell>
          <cell r="M199" t="str">
            <v>5600/005CShell 172 (Pty) Ltd</v>
          </cell>
        </row>
        <row r="200">
          <cell r="C200" t="str">
            <v>P R Steyn</v>
          </cell>
          <cell r="M200" t="str">
            <v>5600/006P R Steyn</v>
          </cell>
        </row>
        <row r="201">
          <cell r="C201" t="str">
            <v>Scarlet Moon Investments CC (Sea Gypsy)</v>
          </cell>
          <cell r="M201" t="str">
            <v>5600/007Scarlet Moon Investments CC (Sea Gypsy)</v>
          </cell>
        </row>
        <row r="202">
          <cell r="C202" t="str">
            <v>DHL</v>
          </cell>
          <cell r="M202" t="str">
            <v>5600/008DHL</v>
          </cell>
        </row>
        <row r="203">
          <cell r="C203" t="str">
            <v>DEFERRED TAX</v>
          </cell>
          <cell r="M203" t="str">
            <v>5700/000DEFERRED TAX</v>
          </cell>
        </row>
        <row r="204">
          <cell r="C204" t="str">
            <v>Deferred tax balance b/fwd</v>
          </cell>
          <cell r="M204" t="str">
            <v>5700/010Deferred tax balance b/fwd</v>
          </cell>
        </row>
        <row r="205">
          <cell r="C205" t="str">
            <v>Deferred tax on depreciation for year</v>
          </cell>
          <cell r="M205" t="str">
            <v>5700/011Deferred tax on depreciation for year</v>
          </cell>
        </row>
        <row r="206">
          <cell r="C206" t="str">
            <v>Deferred tax on tax loss for year</v>
          </cell>
          <cell r="M206" t="str">
            <v>5700/012Deferred tax on tax loss for year</v>
          </cell>
        </row>
        <row r="207">
          <cell r="C207" t="str">
            <v>Deferred tax adjustment previous year</v>
          </cell>
          <cell r="M207" t="str">
            <v>5700/013Deferred tax adjustment previous year</v>
          </cell>
        </row>
        <row r="208">
          <cell r="C208" t="str">
            <v>LAND &amp; BUILDINGS - COST</v>
          </cell>
          <cell r="M208" t="str">
            <v>6100/000LAND &amp; BUILDINGS - COST</v>
          </cell>
        </row>
        <row r="209">
          <cell r="C209" t="str">
            <v>Land_Buildings - Cost B/fwd</v>
          </cell>
          <cell r="M209" t="str">
            <v>6100/001Land_Buildings - Cost B/fwd</v>
          </cell>
        </row>
        <row r="210">
          <cell r="C210" t="str">
            <v>Land_Buildings - Additions</v>
          </cell>
          <cell r="M210" t="str">
            <v>6100/002Land_Buildings - Additions</v>
          </cell>
        </row>
        <row r="211">
          <cell r="C211" t="str">
            <v>Land_Buildings - Cost of sales</v>
          </cell>
          <cell r="M211" t="str">
            <v>6100/003Land_Buildings - Cost of sales</v>
          </cell>
        </row>
        <row r="212">
          <cell r="C212" t="str">
            <v>LAND &amp; BUILDINGS - ACC DEPR</v>
          </cell>
          <cell r="M212" t="str">
            <v>6100/020LAND &amp; BUILDINGS - ACC DEPR</v>
          </cell>
        </row>
        <row r="213">
          <cell r="C213" t="str">
            <v>Land &amp; Buildings - Acc depr B/fwd</v>
          </cell>
          <cell r="M213" t="str">
            <v>6100/021Land &amp; Buildings - Acc depr B/fwd</v>
          </cell>
        </row>
        <row r="214">
          <cell r="C214" t="str">
            <v>Land &amp; Buildings - Acc depr this year</v>
          </cell>
          <cell r="M214" t="str">
            <v>6100/022Land &amp; Buildings - Acc depr this year</v>
          </cell>
        </row>
        <row r="215">
          <cell r="C215" t="str">
            <v>Land &amp; Buildings - Acc depr on sales</v>
          </cell>
          <cell r="M215" t="str">
            <v>6100/023Land &amp; Buildings - Acc depr on sales</v>
          </cell>
        </row>
        <row r="216">
          <cell r="C216" t="str">
            <v>PLANT &amp; MACHINERY - COST</v>
          </cell>
          <cell r="M216" t="str">
            <v>6150/000PLANT &amp; MACHINERY - COST</v>
          </cell>
        </row>
        <row r="217">
          <cell r="C217" t="str">
            <v>Plant &amp; machinery - cost b/fwd</v>
          </cell>
          <cell r="M217" t="str">
            <v>6150/001Plant &amp; machinery - cost b/fwd</v>
          </cell>
        </row>
        <row r="218">
          <cell r="C218" t="str">
            <v>Plant &amp; machinery - Additions</v>
          </cell>
          <cell r="M218" t="str">
            <v>6150/002Plant &amp; machinery - Additions</v>
          </cell>
        </row>
        <row r="219">
          <cell r="C219" t="str">
            <v>Plant &amp; machinery - Cost of sales</v>
          </cell>
          <cell r="M219" t="str">
            <v>6150/003Plant &amp; machinery - Cost of sales</v>
          </cell>
        </row>
        <row r="220">
          <cell r="C220" t="str">
            <v>PLANT &amp; MACHINERY - ACC DEPR</v>
          </cell>
          <cell r="M220" t="str">
            <v>6150/020PLANT &amp; MACHINERY - ACC DEPR</v>
          </cell>
        </row>
        <row r="221">
          <cell r="C221" t="str">
            <v>Plant &amp; Machinery - Acc depr b/fwd</v>
          </cell>
          <cell r="M221" t="str">
            <v>6150/021Plant &amp; Machinery - Acc depr b/fwd</v>
          </cell>
        </row>
        <row r="222">
          <cell r="C222" t="str">
            <v>Plant &amp; machinery - depr this year</v>
          </cell>
          <cell r="M222" t="str">
            <v>6150/022Plant &amp; machinery - depr this year</v>
          </cell>
        </row>
        <row r="223">
          <cell r="C223" t="str">
            <v>Plant &amp; machinery - acc depr on sales</v>
          </cell>
          <cell r="M223" t="str">
            <v>6150/023Plant &amp; machinery - acc depr on sales</v>
          </cell>
        </row>
        <row r="224">
          <cell r="C224" t="str">
            <v>MOTOR VEHICLES - COST</v>
          </cell>
          <cell r="M224" t="str">
            <v>6200/000MOTOR VEHICLES - COST</v>
          </cell>
        </row>
        <row r="225">
          <cell r="C225" t="str">
            <v>Motor Vehicles - Cost B/fwd</v>
          </cell>
          <cell r="M225" t="str">
            <v>6200/001Motor Vehicles - Cost B/fwd</v>
          </cell>
        </row>
        <row r="226">
          <cell r="C226" t="str">
            <v>Motor Vehicles - Additions</v>
          </cell>
          <cell r="M226" t="str">
            <v>6200/002Motor Vehicles - Additions</v>
          </cell>
        </row>
        <row r="227">
          <cell r="C227" t="str">
            <v>Motor Vehicles - Cost of sales</v>
          </cell>
          <cell r="M227" t="str">
            <v>6200/003Motor Vehicles - Cost of sales</v>
          </cell>
        </row>
        <row r="228">
          <cell r="C228" t="str">
            <v>MOTOR VEHICLES - ACC DEPR</v>
          </cell>
          <cell r="M228" t="str">
            <v>6200/020MOTOR VEHICLES - ACC DEPR</v>
          </cell>
        </row>
        <row r="229">
          <cell r="C229" t="str">
            <v>Motor vehicles - Acc depr b/fwd</v>
          </cell>
          <cell r="M229" t="str">
            <v>6200/021Motor vehicles - Acc depr b/fwd</v>
          </cell>
        </row>
        <row r="230">
          <cell r="C230" t="str">
            <v>Motor vehicles - Depr this year</v>
          </cell>
          <cell r="M230" t="str">
            <v>6200/022Motor vehicles - Depr this year</v>
          </cell>
        </row>
        <row r="231">
          <cell r="C231" t="str">
            <v>Motor vehicles - Acc depr on sales</v>
          </cell>
          <cell r="M231" t="str">
            <v>6200/023Motor vehicles - Acc depr on sales</v>
          </cell>
        </row>
        <row r="232">
          <cell r="C232" t="str">
            <v>ELECTRONIC EQUIPMENT - COST</v>
          </cell>
          <cell r="M232" t="str">
            <v>6250/000ELECTRONIC EQUIPMENT - COST</v>
          </cell>
        </row>
        <row r="233">
          <cell r="C233" t="str">
            <v>Electronic equipment - Cost b/fwd</v>
          </cell>
          <cell r="M233" t="str">
            <v>6250/001Electronic equipment - Cost b/fwd</v>
          </cell>
        </row>
        <row r="234">
          <cell r="C234" t="str">
            <v>Electronic equipment - Additions</v>
          </cell>
          <cell r="M234" t="str">
            <v>6250/002Electronic equipment - Additions</v>
          </cell>
        </row>
        <row r="235">
          <cell r="C235" t="str">
            <v>Electronic equipment - Cost of sales</v>
          </cell>
          <cell r="M235" t="str">
            <v>6250/003Electronic equipment - Cost of sales</v>
          </cell>
        </row>
        <row r="236">
          <cell r="C236" t="str">
            <v>ELECTRONIC EQUIPMENT - ACC DEPR</v>
          </cell>
          <cell r="M236" t="str">
            <v>6250/020ELECTRONIC EQUIPMENT - ACC DEPR</v>
          </cell>
        </row>
        <row r="237">
          <cell r="C237" t="str">
            <v>Electronic equipment - Acc depr B/fwd</v>
          </cell>
          <cell r="M237" t="str">
            <v>6250/021Electronic equipment - Acc depr B/fwd</v>
          </cell>
        </row>
        <row r="238">
          <cell r="C238" t="str">
            <v>Electronic equipment - Depr this year</v>
          </cell>
          <cell r="M238" t="str">
            <v>6250/022Electronic equipment - Depr this year</v>
          </cell>
        </row>
        <row r="239">
          <cell r="C239" t="str">
            <v>Electronic equipment - Acc depr on sales</v>
          </cell>
          <cell r="M239" t="str">
            <v>6250/023Electronic equipment - Acc depr on sales</v>
          </cell>
        </row>
        <row r="240">
          <cell r="C240" t="str">
            <v>OFFICE EQUIPMENT - COST</v>
          </cell>
          <cell r="M240" t="str">
            <v>6300/000OFFICE EQUIPMENT - COST</v>
          </cell>
        </row>
        <row r="241">
          <cell r="C241" t="str">
            <v>Office Equipment - Cost B/fwd</v>
          </cell>
          <cell r="M241" t="str">
            <v>6300/001Office Equipment - Cost B/fwd</v>
          </cell>
        </row>
        <row r="242">
          <cell r="C242" t="str">
            <v>Office Equipment - Additions</v>
          </cell>
          <cell r="M242" t="str">
            <v>6300/002Office Equipment - Additions</v>
          </cell>
        </row>
        <row r="243">
          <cell r="C243" t="str">
            <v>Office Equipment - Cost of sales</v>
          </cell>
          <cell r="M243" t="str">
            <v>6300/003Office Equipment - Cost of sales</v>
          </cell>
        </row>
        <row r="244">
          <cell r="C244" t="str">
            <v>OFFICE EQUIPMENT - ACC DEPR</v>
          </cell>
          <cell r="M244" t="str">
            <v>6300/020OFFICE EQUIPMENT - ACC DEPR</v>
          </cell>
        </row>
        <row r="245">
          <cell r="C245" t="str">
            <v>Office equipment - Acc depr B/fwd</v>
          </cell>
          <cell r="M245" t="str">
            <v>6300/021Office equipment - Acc depr B/fwd</v>
          </cell>
        </row>
        <row r="246">
          <cell r="C246" t="str">
            <v>Office equipment - Depr this year</v>
          </cell>
          <cell r="M246" t="str">
            <v>6300/022Office equipment - Depr this year</v>
          </cell>
        </row>
        <row r="247">
          <cell r="C247" t="str">
            <v>Office equipment - Acc depr on sales</v>
          </cell>
          <cell r="M247" t="str">
            <v>6300/023Office equipment - Acc depr on sales</v>
          </cell>
        </row>
        <row r="248">
          <cell r="C248" t="str">
            <v>FURNITURE &amp; FITTINGS - COST</v>
          </cell>
          <cell r="M248" t="str">
            <v>6350/000FURNITURE &amp; FITTINGS - COST</v>
          </cell>
        </row>
        <row r="249">
          <cell r="C249" t="str">
            <v>Furniture &amp; fittings - Cost B/fwd</v>
          </cell>
          <cell r="M249" t="str">
            <v>6350/001Furniture &amp; fittings - Cost B/fwd</v>
          </cell>
        </row>
        <row r="250">
          <cell r="C250" t="str">
            <v>Furniture &amp; fittings - Additions</v>
          </cell>
          <cell r="M250" t="str">
            <v>6350/002Furniture &amp; fittings - Additions</v>
          </cell>
        </row>
        <row r="251">
          <cell r="C251" t="str">
            <v>Furniture &amp; fittings - Cost of sales</v>
          </cell>
          <cell r="M251" t="str">
            <v>6350/003Furniture &amp; fittings - Cost of sales</v>
          </cell>
        </row>
        <row r="252">
          <cell r="C252" t="str">
            <v>FURNITURE &amp; FITTINGS - ACC DEPR</v>
          </cell>
          <cell r="M252" t="str">
            <v>6350/020FURNITURE &amp; FITTINGS - ACC DEPR</v>
          </cell>
        </row>
        <row r="253">
          <cell r="C253" t="str">
            <v>Furniture &amp; fittings - Acc depr B/fwd</v>
          </cell>
          <cell r="M253" t="str">
            <v>6350/021Furniture &amp; fittings - Acc depr B/fwd</v>
          </cell>
        </row>
        <row r="254">
          <cell r="C254" t="str">
            <v>Furniture &amp; fittings - Depr this year</v>
          </cell>
          <cell r="M254" t="str">
            <v>6350/022Furniture &amp; fittings - Depr this year</v>
          </cell>
        </row>
        <row r="255">
          <cell r="C255" t="str">
            <v>Furniture &amp; fittings - Acc depr on sales</v>
          </cell>
          <cell r="M255" t="str">
            <v>6350/023Furniture &amp; fittings - Acc depr on sales</v>
          </cell>
        </row>
        <row r="256">
          <cell r="C256" t="str">
            <v>OTHER FIXED ASSETS  - COST</v>
          </cell>
          <cell r="M256" t="str">
            <v>6600/000OTHER FIXED ASSETS  - COST</v>
          </cell>
        </row>
        <row r="257">
          <cell r="C257" t="str">
            <v>Other fixed assets - Cost B/fwd</v>
          </cell>
          <cell r="M257" t="str">
            <v>6600/001Other fixed assets - Cost B/fwd</v>
          </cell>
        </row>
        <row r="258">
          <cell r="C258" t="str">
            <v>Other fixed assets - Additions</v>
          </cell>
          <cell r="M258" t="str">
            <v>6600/002Other fixed assets - Additions</v>
          </cell>
        </row>
        <row r="259">
          <cell r="C259" t="str">
            <v>Other fixed assets - Cost of sales</v>
          </cell>
          <cell r="M259" t="str">
            <v>6600/003Other fixed assets - Cost of sales</v>
          </cell>
        </row>
        <row r="260">
          <cell r="C260" t="str">
            <v>OTHER FIXED ASSETS - ACC DEPR</v>
          </cell>
          <cell r="M260" t="str">
            <v>6600/020OTHER FIXED ASSETS - ACC DEPR</v>
          </cell>
        </row>
        <row r="261">
          <cell r="C261" t="str">
            <v>Other fixed assets - Acc depr b/fwd</v>
          </cell>
          <cell r="M261" t="str">
            <v>6600/021Other fixed assets - Acc depr b/fwd</v>
          </cell>
        </row>
        <row r="262">
          <cell r="C262" t="str">
            <v>Other fixed assets - Depr this year</v>
          </cell>
          <cell r="M262" t="str">
            <v>6600/022Other fixed assets - Depr this year</v>
          </cell>
        </row>
        <row r="263">
          <cell r="C263" t="str">
            <v>Other fixed assets - Acc depr on sales</v>
          </cell>
          <cell r="M263" t="str">
            <v>6600/023Other fixed assets - Acc depr on sales</v>
          </cell>
        </row>
        <row r="264">
          <cell r="C264" t="str">
            <v>GOODWILL/INTANGIBLE ASSETS</v>
          </cell>
          <cell r="M264" t="str">
            <v>7000/000GOODWILL/INTANGIBLE ASSETS</v>
          </cell>
        </row>
        <row r="265">
          <cell r="C265" t="str">
            <v>Goodwill Cost</v>
          </cell>
          <cell r="M265" t="str">
            <v>7000/010Goodwill Cost</v>
          </cell>
        </row>
        <row r="266">
          <cell r="C266" t="str">
            <v>Goodwill - surplus on revaluation</v>
          </cell>
          <cell r="M266" t="str">
            <v>7000/015Goodwill - surplus on revaluation</v>
          </cell>
        </row>
        <row r="267">
          <cell r="C267" t="str">
            <v>Goodwill - write down this year</v>
          </cell>
          <cell r="M267" t="str">
            <v>7000/020Goodwill - write down this year</v>
          </cell>
        </row>
        <row r="268">
          <cell r="C268" t="str">
            <v>Goodwill - write down last year</v>
          </cell>
          <cell r="M268" t="str">
            <v>7000/025Goodwill - write down last year</v>
          </cell>
        </row>
        <row r="269">
          <cell r="C269" t="str">
            <v>INVESTMENTS</v>
          </cell>
          <cell r="M269" t="str">
            <v>7100/000INVESTMENTS</v>
          </cell>
        </row>
        <row r="270">
          <cell r="C270" t="str">
            <v>LISTED INVESTMENTS</v>
          </cell>
          <cell r="M270" t="str">
            <v>7100/100LISTED INVESTMENTS</v>
          </cell>
        </row>
        <row r="271">
          <cell r="C271" t="str">
            <v>Listed 1 ************</v>
          </cell>
          <cell r="M271" t="str">
            <v>7100/101Listed 1 ************</v>
          </cell>
        </row>
        <row r="272">
          <cell r="C272" t="str">
            <v>Listed 2 *************</v>
          </cell>
          <cell r="M272" t="str">
            <v>7100/102Listed 2 *************</v>
          </cell>
        </row>
        <row r="273">
          <cell r="C273" t="str">
            <v>Listed 3 ***************</v>
          </cell>
          <cell r="M273" t="str">
            <v>7100/103Listed 3 ***************</v>
          </cell>
        </row>
        <row r="274">
          <cell r="C274" t="str">
            <v>Listed 4 ************</v>
          </cell>
          <cell r="M274" t="str">
            <v>7100/104Listed 4 ************</v>
          </cell>
        </row>
        <row r="275">
          <cell r="C275" t="str">
            <v>Listed 5 ************</v>
          </cell>
          <cell r="M275" t="str">
            <v>7100/105Listed 5 ************</v>
          </cell>
        </row>
        <row r="276">
          <cell r="C276" t="str">
            <v>OTHER INVESTMENTS</v>
          </cell>
          <cell r="M276" t="str">
            <v>7100/200OTHER INVESTMENTS</v>
          </cell>
        </row>
        <row r="277">
          <cell r="C277" t="str">
            <v>ABSA - Money Market Account</v>
          </cell>
          <cell r="M277" t="str">
            <v>7100/201ABSA - Money Market Account</v>
          </cell>
        </row>
        <row r="278">
          <cell r="C278" t="str">
            <v>Farm</v>
          </cell>
          <cell r="M278" t="str">
            <v>7100/202Farm</v>
          </cell>
        </row>
        <row r="279">
          <cell r="C279" t="str">
            <v>Other investment 3 ************</v>
          </cell>
          <cell r="M279" t="str">
            <v>7100/203Other investment 3 ************</v>
          </cell>
        </row>
        <row r="280">
          <cell r="C280" t="str">
            <v>Other investment 4 ************</v>
          </cell>
          <cell r="M280" t="str">
            <v>7100/204Other investment 4 ************</v>
          </cell>
        </row>
        <row r="281">
          <cell r="C281" t="str">
            <v>Other investment 5 *************</v>
          </cell>
          <cell r="M281" t="str">
            <v>7100/205Other investment 5 *************</v>
          </cell>
        </row>
        <row r="282">
          <cell r="C282" t="str">
            <v>CONNECTED COMPANIES</v>
          </cell>
          <cell r="M282" t="str">
            <v>7450/000CONNECTED COMPANIES</v>
          </cell>
        </row>
        <row r="283">
          <cell r="C283" t="str">
            <v>Clifton Dunes Investments 111 (Pty) Ltd</v>
          </cell>
          <cell r="M283" t="str">
            <v>7450/001Clifton Dunes Investments 111 (Pty) Ltd</v>
          </cell>
        </row>
        <row r="284">
          <cell r="C284" t="str">
            <v>Connected co 2 **********</v>
          </cell>
          <cell r="M284" t="str">
            <v>7450/002Connected co 2 **********</v>
          </cell>
        </row>
        <row r="285">
          <cell r="C285" t="str">
            <v>Connected co 3 **********</v>
          </cell>
          <cell r="M285" t="str">
            <v>7450/003Connected co 3 **********</v>
          </cell>
        </row>
        <row r="286">
          <cell r="C286" t="str">
            <v>Connected co 4 ***********</v>
          </cell>
          <cell r="M286" t="str">
            <v>7450/004Connected co 4 ***********</v>
          </cell>
        </row>
        <row r="287">
          <cell r="C287" t="str">
            <v>Connected co 5 ***********</v>
          </cell>
          <cell r="M287" t="str">
            <v>7450/005Connected co 5 ***********</v>
          </cell>
        </row>
        <row r="288">
          <cell r="C288" t="str">
            <v>OTHER NON CURRENT RECEIVABLES</v>
          </cell>
          <cell r="M288" t="str">
            <v>7460/000OTHER NON CURRENT RECEIVABLES</v>
          </cell>
        </row>
        <row r="289">
          <cell r="C289" t="str">
            <v>K Harris - Loan</v>
          </cell>
          <cell r="M289" t="str">
            <v>7460/001K Harris - Loan</v>
          </cell>
        </row>
        <row r="290">
          <cell r="C290" t="str">
            <v>Tembador 100 (Pty) Ltd</v>
          </cell>
          <cell r="M290" t="str">
            <v>7460/002Tembador 100 (Pty) Ltd</v>
          </cell>
        </row>
        <row r="291">
          <cell r="C291" t="str">
            <v>A Wiffen</v>
          </cell>
          <cell r="M291" t="str">
            <v>7460/003A Wiffen</v>
          </cell>
        </row>
        <row r="292">
          <cell r="C292" t="str">
            <v>Wel van Pas Trust</v>
          </cell>
          <cell r="M292" t="str">
            <v>7460/006Wel van Pas Trust</v>
          </cell>
        </row>
        <row r="293">
          <cell r="C293" t="str">
            <v>Wouter de Wet Family Trust</v>
          </cell>
          <cell r="M293" t="str">
            <v>7460/007Wouter de Wet Family Trust</v>
          </cell>
        </row>
        <row r="294">
          <cell r="C294" t="str">
            <v>Barbara Bosch Family Trust</v>
          </cell>
          <cell r="M294" t="str">
            <v>7460/008Barbara Bosch Family Trust</v>
          </cell>
        </row>
        <row r="295">
          <cell r="C295" t="str">
            <v>J Wiese</v>
          </cell>
          <cell r="M295" t="str">
            <v>7460/009J Wiese</v>
          </cell>
        </row>
        <row r="296">
          <cell r="C296" t="str">
            <v>INVENTORY</v>
          </cell>
          <cell r="M296" t="str">
            <v>7500/000INVENTORY</v>
          </cell>
        </row>
        <row r="297">
          <cell r="C297" t="str">
            <v>Raw materials</v>
          </cell>
          <cell r="M297" t="str">
            <v>7500/001Raw materials</v>
          </cell>
        </row>
        <row r="298">
          <cell r="C298" t="str">
            <v>Work in progress</v>
          </cell>
          <cell r="M298" t="str">
            <v>7500/002Work in progress</v>
          </cell>
        </row>
        <row r="299">
          <cell r="C299" t="str">
            <v>Finished goods</v>
          </cell>
          <cell r="M299" t="str">
            <v>7500/003Finished goods</v>
          </cell>
        </row>
        <row r="300">
          <cell r="C300" t="str">
            <v>Trading stock</v>
          </cell>
          <cell r="M300" t="str">
            <v>7500/004Trading stock</v>
          </cell>
        </row>
        <row r="301">
          <cell r="C301" t="str">
            <v>DEBTORS</v>
          </cell>
          <cell r="M301" t="str">
            <v>8000/000DEBTORS</v>
          </cell>
        </row>
        <row r="302">
          <cell r="C302" t="str">
            <v>Trade debtors</v>
          </cell>
          <cell r="M302" t="str">
            <v>8010/000Trade debtors</v>
          </cell>
        </row>
        <row r="303">
          <cell r="C303" t="str">
            <v>Service deposits</v>
          </cell>
          <cell r="M303" t="str">
            <v>8020/000Service deposits</v>
          </cell>
        </row>
        <row r="304">
          <cell r="C304" t="str">
            <v>Less: Provision For Doubtful Debts</v>
          </cell>
          <cell r="M304" t="str">
            <v>8050/000Less: Provision For Doubtful Debts</v>
          </cell>
        </row>
        <row r="305">
          <cell r="C305" t="str">
            <v>Sundry Customers</v>
          </cell>
          <cell r="M305" t="str">
            <v>8200/000Sundry Customers</v>
          </cell>
        </row>
        <row r="306">
          <cell r="C306" t="str">
            <v>Prepayments</v>
          </cell>
          <cell r="M306" t="str">
            <v>8200/010Prepayments</v>
          </cell>
        </row>
        <row r="307">
          <cell r="C307" t="str">
            <v>Staff Loans</v>
          </cell>
          <cell r="M307" t="str">
            <v>8200/020Staff Loans</v>
          </cell>
        </row>
        <row r="308">
          <cell r="C308" t="str">
            <v>BANK ACCOUNTS</v>
          </cell>
          <cell r="M308" t="str">
            <v>8400/000BANK ACCOUNTS</v>
          </cell>
        </row>
        <row r="309">
          <cell r="C309" t="str">
            <v>ABSA - Current Account Cshell 172</v>
          </cell>
          <cell r="M309" t="str">
            <v>8410/000ABSA - Current Account Cshell 172</v>
          </cell>
        </row>
        <row r="310">
          <cell r="C310" t="str">
            <v>ABSA - Current Account Bay Motors</v>
          </cell>
          <cell r="M310" t="str">
            <v>8420/000ABSA - Current Account Bay Motors</v>
          </cell>
        </row>
        <row r="311">
          <cell r="C311" t="str">
            <v>Standard Bank</v>
          </cell>
          <cell r="M311" t="str">
            <v>8430/000Standard Bank</v>
          </cell>
        </row>
        <row r="312">
          <cell r="C312" t="str">
            <v>Bank account 4 **********</v>
          </cell>
          <cell r="M312" t="str">
            <v>8440/000Bank account 4 **********</v>
          </cell>
        </row>
        <row r="313">
          <cell r="C313" t="str">
            <v>Bank account 5 **********</v>
          </cell>
          <cell r="M313" t="str">
            <v>8450/000Bank account 5 **********</v>
          </cell>
        </row>
        <row r="314">
          <cell r="C314" t="str">
            <v>Bank account 6 ***********</v>
          </cell>
          <cell r="M314" t="str">
            <v>8460/000Bank account 6 ***********</v>
          </cell>
        </row>
        <row r="315">
          <cell r="C315" t="str">
            <v>Cash on hand</v>
          </cell>
          <cell r="M315" t="str">
            <v>8500/000Cash on hand</v>
          </cell>
        </row>
        <row r="316">
          <cell r="C316" t="str">
            <v>Petty Cash</v>
          </cell>
          <cell r="M316" t="str">
            <v>8550/000Petty Cash</v>
          </cell>
        </row>
        <row r="317">
          <cell r="C317" t="str">
            <v>SHORT TERM LOANS</v>
          </cell>
          <cell r="M317" t="str">
            <v>8900/000SHORT TERM LOANS</v>
          </cell>
        </row>
        <row r="318">
          <cell r="C318" t="str">
            <v>Equipment Creditor</v>
          </cell>
          <cell r="M318" t="str">
            <v>8900/001Equipment Creditor</v>
          </cell>
        </row>
        <row r="319">
          <cell r="C319" t="str">
            <v>Short term 2 *******</v>
          </cell>
          <cell r="M319" t="str">
            <v>8900/002Short term 2 *******</v>
          </cell>
        </row>
        <row r="320">
          <cell r="C320" t="str">
            <v>Short term 3 *********</v>
          </cell>
          <cell r="M320" t="str">
            <v>8900/003Short term 3 *********</v>
          </cell>
        </row>
        <row r="321">
          <cell r="C321" t="str">
            <v>Short term portion of long term loans</v>
          </cell>
          <cell r="M321" t="str">
            <v>8900/004Short term portion of long term loans</v>
          </cell>
        </row>
        <row r="322">
          <cell r="C322" t="str">
            <v>CREDITORS</v>
          </cell>
          <cell r="M322" t="str">
            <v>9000/000CREDITORS</v>
          </cell>
        </row>
        <row r="323">
          <cell r="C323" t="str">
            <v>Trade creditors</v>
          </cell>
          <cell r="M323" t="str">
            <v>9010/000Trade creditors</v>
          </cell>
        </row>
        <row r="324">
          <cell r="C324" t="str">
            <v>Sundry Suppliers</v>
          </cell>
          <cell r="M324" t="str">
            <v>9200/000Sundry Suppliers</v>
          </cell>
        </row>
        <row r="325">
          <cell r="C325" t="str">
            <v>Accounting / Audit Fee Accrual</v>
          </cell>
          <cell r="M325" t="str">
            <v>9200/010Accounting / Audit Fee Accrual</v>
          </cell>
        </row>
        <row r="326">
          <cell r="C326" t="str">
            <v>Other Accruals</v>
          </cell>
          <cell r="M326" t="str">
            <v>9200/020Other Accruals</v>
          </cell>
        </row>
        <row r="327">
          <cell r="C327" t="str">
            <v>Salary &amp; Wages Control</v>
          </cell>
          <cell r="M327" t="str">
            <v>9250/000Salary &amp; Wages Control</v>
          </cell>
        </row>
        <row r="328">
          <cell r="C328" t="str">
            <v>TAXATION</v>
          </cell>
          <cell r="M328" t="str">
            <v>9300/000TAXATION</v>
          </cell>
        </row>
        <row r="329">
          <cell r="C329" t="str">
            <v>Balance b/fwd</v>
          </cell>
          <cell r="M329" t="str">
            <v>9300/010Balance b/fwd</v>
          </cell>
        </row>
        <row r="330">
          <cell r="C330" t="str">
            <v>Tax provision this year</v>
          </cell>
          <cell r="M330" t="str">
            <v>9300/020Tax provision this year</v>
          </cell>
        </row>
        <row r="331">
          <cell r="C331" t="str">
            <v>Over-/Underprovision previous year</v>
          </cell>
          <cell r="M331" t="str">
            <v>9300/030Over-/Underprovision previous year</v>
          </cell>
        </row>
        <row r="332">
          <cell r="C332" t="str">
            <v>Tax paid for previous year provisions</v>
          </cell>
          <cell r="M332" t="str">
            <v>9300/040Tax paid for previous year provisions</v>
          </cell>
        </row>
        <row r="333">
          <cell r="C333" t="str">
            <v>1st Provisional Paid</v>
          </cell>
          <cell r="M333" t="str">
            <v>9300/0501st Provisional Paid</v>
          </cell>
        </row>
        <row r="334">
          <cell r="C334" t="str">
            <v>2nd Provisional Paid</v>
          </cell>
          <cell r="M334" t="str">
            <v>9300/0602nd Provisional Paid</v>
          </cell>
        </row>
        <row r="335">
          <cell r="C335" t="str">
            <v>3rd Provisional paid</v>
          </cell>
          <cell r="M335" t="str">
            <v>9300/0703rd Provisional paid</v>
          </cell>
        </row>
        <row r="336">
          <cell r="C336" t="str">
            <v>STC paid for last year provision</v>
          </cell>
          <cell r="M336" t="str">
            <v>9300/080STC paid for last year provision</v>
          </cell>
        </row>
        <row r="337">
          <cell r="C337" t="str">
            <v>STC Provision this year</v>
          </cell>
          <cell r="M337" t="str">
            <v>9300/090STC Provision this year</v>
          </cell>
        </row>
        <row r="338">
          <cell r="C338" t="str">
            <v>Tax paid on Foreign Dividends</v>
          </cell>
          <cell r="M338" t="str">
            <v>9300/100Tax paid on Foreign Dividends</v>
          </cell>
        </row>
        <row r="339">
          <cell r="C339" t="str">
            <v>Dividends Payable</v>
          </cell>
          <cell r="M339" t="str">
            <v>9350/000Dividends Payable</v>
          </cell>
        </row>
        <row r="340">
          <cell r="C340" t="str">
            <v>Provision for Future Expenses</v>
          </cell>
          <cell r="M340" t="str">
            <v>9400/000Provision for Future Expenses</v>
          </cell>
        </row>
        <row r="341">
          <cell r="C341" t="str">
            <v>Provision for Insurance</v>
          </cell>
          <cell r="M341" t="str">
            <v>9400/010Provision for Insurance</v>
          </cell>
        </row>
        <row r="342">
          <cell r="C342" t="str">
            <v>Provision for Salary Bonus</v>
          </cell>
          <cell r="M342" t="str">
            <v>9400/020Provision for Salary Bonus</v>
          </cell>
        </row>
        <row r="343">
          <cell r="C343" t="str">
            <v>VALUE ADDED TAX</v>
          </cell>
          <cell r="M343" t="str">
            <v>9500/000VALUE ADDED TAX</v>
          </cell>
        </row>
        <row r="344">
          <cell r="C344" t="str">
            <v>VAT account</v>
          </cell>
          <cell r="M344" t="str">
            <v>9501/000VAT account</v>
          </cell>
        </row>
        <row r="345">
          <cell r="C345" t="str">
            <v>----------------------------------------</v>
          </cell>
          <cell r="M345" t="str">
            <v>9510/000----------------------------------------</v>
          </cell>
        </row>
        <row r="346">
          <cell r="C346" t="str">
            <v>Opening Balance / Suspense Account</v>
          </cell>
          <cell r="M346" t="str">
            <v>9990/000Opening Balance / Suspense Account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ENG"/>
      <sheetName val="StateENGFinal"/>
      <sheetName val="Criteria"/>
      <sheetName val="ExceptionReport"/>
      <sheetName val="TrialBalance"/>
      <sheetName val="VAT"/>
      <sheetName val="Journals"/>
      <sheetName val="TB2018"/>
      <sheetName val="GL2018"/>
      <sheetName val="FixAssetsRegister"/>
      <sheetName val="A Wiffen"/>
      <sheetName val="Loan Account1"/>
      <sheetName val="Trade Receivables"/>
      <sheetName val="Service deposits"/>
      <sheetName val="Prepayments"/>
      <sheetName val="Staff loans"/>
      <sheetName val="Sundry debtors"/>
      <sheetName val="Bank balances"/>
      <sheetName val="Cash on hand"/>
      <sheetName val="Trade payables"/>
      <sheetName val="Sundry suppliers"/>
      <sheetName val="Accounting fees"/>
      <sheetName val="Other accruals"/>
      <sheetName val="Salary control"/>
      <sheetName val="HPLead"/>
      <sheetName val="HP1"/>
      <sheetName val="StateENGA"/>
      <sheetName val="TrialBalanceA"/>
      <sheetName val="JournalsA"/>
      <sheetName val="StateENGB"/>
      <sheetName val="TrialBalanceB"/>
      <sheetName val="JournalsB"/>
      <sheetName val="A_Wiffen4"/>
      <sheetName val="Loan_Account14"/>
      <sheetName val="Trade_Receivables4"/>
      <sheetName val="Service_deposits4"/>
      <sheetName val="Staff_loans4"/>
      <sheetName val="Sundry_debtors4"/>
      <sheetName val="Bank_balances4"/>
      <sheetName val="Cash_on_hand4"/>
      <sheetName val="Trade_payables4"/>
      <sheetName val="Sundry_suppliers4"/>
      <sheetName val="Accounting_fees4"/>
      <sheetName val="Other_accruals4"/>
      <sheetName val="Salary_control4"/>
      <sheetName val="A_Wiffen2"/>
      <sheetName val="Loan_Account12"/>
      <sheetName val="Trade_Receivables2"/>
      <sheetName val="Service_deposits2"/>
      <sheetName val="Staff_loans2"/>
      <sheetName val="Sundry_debtors2"/>
      <sheetName val="Bank_balances2"/>
      <sheetName val="Cash_on_hand2"/>
      <sheetName val="Trade_payables2"/>
      <sheetName val="Sundry_suppliers2"/>
      <sheetName val="Accounting_fees2"/>
      <sheetName val="Other_accruals2"/>
      <sheetName val="Salary_control2"/>
      <sheetName val="A_Wiffen"/>
      <sheetName val="Loan_Account1"/>
      <sheetName val="Trade_Receivables"/>
      <sheetName val="Service_deposits"/>
      <sheetName val="Staff_loans"/>
      <sheetName val="Sundry_debtors"/>
      <sheetName val="Bank_balances"/>
      <sheetName val="Cash_on_hand"/>
      <sheetName val="Trade_payables"/>
      <sheetName val="Sundry_suppliers"/>
      <sheetName val="Accounting_fees"/>
      <sheetName val="Other_accruals"/>
      <sheetName val="Salary_control"/>
      <sheetName val="A_Wiffen1"/>
      <sheetName val="Loan_Account11"/>
      <sheetName val="Trade_Receivables1"/>
      <sheetName val="Service_deposits1"/>
      <sheetName val="Staff_loans1"/>
      <sheetName val="Sundry_debtors1"/>
      <sheetName val="Bank_balances1"/>
      <sheetName val="Cash_on_hand1"/>
      <sheetName val="Trade_payables1"/>
      <sheetName val="Sundry_suppliers1"/>
      <sheetName val="Accounting_fees1"/>
      <sheetName val="Other_accruals1"/>
      <sheetName val="Salary_control1"/>
      <sheetName val="A_Wiffen3"/>
      <sheetName val="Loan_Account13"/>
      <sheetName val="Trade_Receivables3"/>
      <sheetName val="Service_deposits3"/>
      <sheetName val="Staff_loans3"/>
      <sheetName val="Sundry_debtors3"/>
      <sheetName val="Bank_balances3"/>
      <sheetName val="Cash_on_hand3"/>
      <sheetName val="Trade_payables3"/>
      <sheetName val="Sundry_suppliers3"/>
      <sheetName val="Accounting_fees3"/>
      <sheetName val="Other_accruals3"/>
      <sheetName val="Salary_control3"/>
      <sheetName val="A_Wiffen8"/>
      <sheetName val="Loan_Account18"/>
      <sheetName val="Trade_Receivables8"/>
      <sheetName val="Service_deposits8"/>
      <sheetName val="Staff_loans8"/>
      <sheetName val="Sundry_debtors8"/>
      <sheetName val="Bank_balances8"/>
      <sheetName val="Cash_on_hand8"/>
      <sheetName val="Trade_payables8"/>
      <sheetName val="Sundry_suppliers8"/>
      <sheetName val="Accounting_fees8"/>
      <sheetName val="Other_accruals8"/>
      <sheetName val="Salary_control8"/>
      <sheetName val="A_Wiffen5"/>
      <sheetName val="Loan_Account15"/>
      <sheetName val="Trade_Receivables5"/>
      <sheetName val="Service_deposits5"/>
      <sheetName val="Staff_loans5"/>
      <sheetName val="Sundry_debtors5"/>
      <sheetName val="Bank_balances5"/>
      <sheetName val="Cash_on_hand5"/>
      <sheetName val="Trade_payables5"/>
      <sheetName val="Sundry_suppliers5"/>
      <sheetName val="Accounting_fees5"/>
      <sheetName val="Other_accruals5"/>
      <sheetName val="Salary_control5"/>
      <sheetName val="A_Wiffen6"/>
      <sheetName val="Loan_Account16"/>
      <sheetName val="Trade_Receivables6"/>
      <sheetName val="Service_deposits6"/>
      <sheetName val="Staff_loans6"/>
      <sheetName val="Sundry_debtors6"/>
      <sheetName val="Bank_balances6"/>
      <sheetName val="Cash_on_hand6"/>
      <sheetName val="Trade_payables6"/>
      <sheetName val="Sundry_suppliers6"/>
      <sheetName val="Accounting_fees6"/>
      <sheetName val="Other_accruals6"/>
      <sheetName val="Salary_control6"/>
      <sheetName val="A_Wiffen7"/>
      <sheetName val="Loan_Account17"/>
      <sheetName val="Trade_Receivables7"/>
      <sheetName val="Service_deposits7"/>
      <sheetName val="Staff_loans7"/>
      <sheetName val="Sundry_debtors7"/>
      <sheetName val="Bank_balances7"/>
      <sheetName val="Cash_on_hand7"/>
      <sheetName val="Trade_payables7"/>
      <sheetName val="Sundry_suppliers7"/>
      <sheetName val="Accounting_fees7"/>
      <sheetName val="Other_accruals7"/>
      <sheetName val="Salary_control7"/>
      <sheetName val="A_Wiffen9"/>
      <sheetName val="Loan_Account19"/>
      <sheetName val="Trade_Receivables9"/>
      <sheetName val="Service_deposits9"/>
      <sheetName val="Staff_loans9"/>
      <sheetName val="Sundry_debtors9"/>
      <sheetName val="Bank_balances9"/>
      <sheetName val="Cash_on_hand9"/>
      <sheetName val="Trade_payables9"/>
      <sheetName val="Sundry_suppliers9"/>
      <sheetName val="Accounting_fees9"/>
      <sheetName val="Other_accruals9"/>
      <sheetName val="Salary_control9"/>
      <sheetName val="A_Wiffen10"/>
      <sheetName val="Loan_Account110"/>
      <sheetName val="Trade_Receivables10"/>
      <sheetName val="Service_deposits10"/>
      <sheetName val="Staff_loans10"/>
      <sheetName val="Sundry_debtors10"/>
      <sheetName val="Bank_balances10"/>
      <sheetName val="Cash_on_hand10"/>
      <sheetName val="Trade_payables10"/>
      <sheetName val="Sundry_suppliers10"/>
      <sheetName val="Accounting_fees10"/>
      <sheetName val="Other_accruals10"/>
      <sheetName val="Salary_control10"/>
      <sheetName val="A_Wiffen11"/>
      <sheetName val="Loan_Account111"/>
      <sheetName val="Trade_Receivables11"/>
      <sheetName val="Service_deposits11"/>
      <sheetName val="Staff_loans11"/>
      <sheetName val="Sundry_debtors11"/>
      <sheetName val="Bank_balances11"/>
      <sheetName val="Cash_on_hand11"/>
      <sheetName val="Trade_payables11"/>
      <sheetName val="Sundry_suppliers11"/>
      <sheetName val="Accounting_fees11"/>
      <sheetName val="Other_accruals11"/>
      <sheetName val="Salary_control11"/>
      <sheetName val="A_Wiffen12"/>
      <sheetName val="Loan_Account112"/>
      <sheetName val="Trade_Receivables12"/>
      <sheetName val="Service_deposits12"/>
      <sheetName val="Staff_loans12"/>
      <sheetName val="Sundry_debtors12"/>
      <sheetName val="Bank_balances12"/>
      <sheetName val="Cash_on_hand12"/>
      <sheetName val="Trade_payables12"/>
      <sheetName val="Sundry_suppliers12"/>
      <sheetName val="Accounting_fees12"/>
      <sheetName val="Other_accruals12"/>
      <sheetName val="Salary_control12"/>
      <sheetName val="A_Wiffen13"/>
      <sheetName val="Loan_Account113"/>
      <sheetName val="Trade_Receivables13"/>
      <sheetName val="Service_deposits13"/>
      <sheetName val="Staff_loans13"/>
      <sheetName val="Sundry_debtors13"/>
      <sheetName val="Bank_balances13"/>
      <sheetName val="Cash_on_hand13"/>
      <sheetName val="Trade_payables13"/>
      <sheetName val="Sundry_suppliers13"/>
      <sheetName val="Accounting_fees13"/>
      <sheetName val="Other_accruals13"/>
      <sheetName val="Salary_control13"/>
      <sheetName val="A_Wiffen14"/>
      <sheetName val="Loan_Account114"/>
      <sheetName val="Trade_Receivables14"/>
      <sheetName val="Service_deposits14"/>
      <sheetName val="Staff_loans14"/>
      <sheetName val="Sundry_debtors14"/>
      <sheetName val="Bank_balances14"/>
      <sheetName val="Cash_on_hand14"/>
      <sheetName val="Trade_payables14"/>
      <sheetName val="Sundry_suppliers14"/>
      <sheetName val="Accounting_fees14"/>
      <sheetName val="Other_accruals14"/>
      <sheetName val="Salary_control14"/>
      <sheetName val="A_Wiffen17"/>
      <sheetName val="Loan_Account117"/>
      <sheetName val="Trade_Receivables17"/>
      <sheetName val="Service_deposits17"/>
      <sheetName val="Staff_loans17"/>
      <sheetName val="Sundry_debtors17"/>
      <sheetName val="Bank_balances17"/>
      <sheetName val="Cash_on_hand17"/>
      <sheetName val="Trade_payables17"/>
      <sheetName val="Sundry_suppliers17"/>
      <sheetName val="Accounting_fees17"/>
      <sheetName val="Other_accruals17"/>
      <sheetName val="Salary_control17"/>
      <sheetName val="A_Wiffen16"/>
      <sheetName val="Loan_Account116"/>
      <sheetName val="Trade_Receivables16"/>
      <sheetName val="Service_deposits16"/>
      <sheetName val="Staff_loans16"/>
      <sheetName val="Sundry_debtors16"/>
      <sheetName val="Bank_balances16"/>
      <sheetName val="Cash_on_hand16"/>
      <sheetName val="Trade_payables16"/>
      <sheetName val="Sundry_suppliers16"/>
      <sheetName val="Accounting_fees16"/>
      <sheetName val="Other_accruals16"/>
      <sheetName val="Salary_control16"/>
      <sheetName val="A_Wiffen15"/>
      <sheetName val="Loan_Account115"/>
      <sheetName val="Trade_Receivables15"/>
      <sheetName val="Service_deposits15"/>
      <sheetName val="Staff_loans15"/>
      <sheetName val="Sundry_debtors15"/>
      <sheetName val="Bank_balances15"/>
      <sheetName val="Cash_on_hand15"/>
      <sheetName val="Trade_payables15"/>
      <sheetName val="Sundry_suppliers15"/>
      <sheetName val="Accounting_fees15"/>
      <sheetName val="Other_accruals15"/>
      <sheetName val="Salary_control15"/>
      <sheetName val="A_Wiffen18"/>
      <sheetName val="Loan_Account118"/>
      <sheetName val="Trade_Receivables18"/>
      <sheetName val="Service_deposits18"/>
      <sheetName val="Staff_loans18"/>
      <sheetName val="Sundry_debtors18"/>
      <sheetName val="Bank_balances18"/>
      <sheetName val="Cash_on_hand18"/>
      <sheetName val="Trade_payables18"/>
      <sheetName val="Sundry_suppliers18"/>
      <sheetName val="Accounting_fees18"/>
      <sheetName val="Other_accruals18"/>
      <sheetName val="Salary_control18"/>
      <sheetName val="A_Wiffen19"/>
      <sheetName val="Loan_Account119"/>
      <sheetName val="Trade_Receivables19"/>
      <sheetName val="Service_deposits19"/>
      <sheetName val="Staff_loans19"/>
      <sheetName val="Sundry_debtors19"/>
      <sheetName val="Bank_balances19"/>
      <sheetName val="Cash_on_hand19"/>
      <sheetName val="Trade_payables19"/>
      <sheetName val="Sundry_suppliers19"/>
      <sheetName val="Accounting_fees19"/>
      <sheetName val="Other_accruals19"/>
      <sheetName val="Salary_control19"/>
      <sheetName val="A_Wiffen20"/>
      <sheetName val="Loan_Account120"/>
      <sheetName val="Trade_Receivables20"/>
      <sheetName val="Service_deposits20"/>
      <sheetName val="Staff_loans20"/>
      <sheetName val="Sundry_debtors20"/>
      <sheetName val="Bank_balances20"/>
      <sheetName val="Cash_on_hand20"/>
      <sheetName val="Trade_payables20"/>
      <sheetName val="Sundry_suppliers20"/>
      <sheetName val="Accounting_fees20"/>
      <sheetName val="Other_accruals20"/>
      <sheetName val="Salary_control20"/>
      <sheetName val="A_Wiffen21"/>
      <sheetName val="Loan_Account121"/>
      <sheetName val="Trade_Receivables21"/>
      <sheetName val="Service_deposits21"/>
      <sheetName val="Staff_loans21"/>
      <sheetName val="Sundry_debtors21"/>
      <sheetName val="Bank_balances21"/>
      <sheetName val="Cash_on_hand21"/>
      <sheetName val="Trade_payables21"/>
      <sheetName val="Sundry_suppliers21"/>
      <sheetName val="Accounting_fees21"/>
      <sheetName val="Other_accruals21"/>
      <sheetName val="Salary_control21"/>
      <sheetName val="A_Wiffen22"/>
      <sheetName val="Loan_Account122"/>
      <sheetName val="Trade_Receivables22"/>
      <sheetName val="Service_deposits22"/>
      <sheetName val="Staff_loans22"/>
      <sheetName val="Sundry_debtors22"/>
      <sheetName val="Bank_balances22"/>
      <sheetName val="Cash_on_hand22"/>
      <sheetName val="Trade_payables22"/>
      <sheetName val="Sundry_suppliers22"/>
      <sheetName val="Accounting_fees22"/>
      <sheetName val="Other_accruals22"/>
      <sheetName val="Salary_control22"/>
      <sheetName val="A_Wiffen23"/>
      <sheetName val="Loan_Account123"/>
      <sheetName val="Trade_Receivables23"/>
      <sheetName val="Service_deposits23"/>
      <sheetName val="Staff_loans23"/>
      <sheetName val="Sundry_debtors23"/>
      <sheetName val="Bank_balances23"/>
      <sheetName val="Cash_on_hand23"/>
      <sheetName val="Trade_payables23"/>
      <sheetName val="Sundry_suppliers23"/>
      <sheetName val="Accounting_fees23"/>
      <sheetName val="Other_accruals23"/>
      <sheetName val="Salary_control23"/>
      <sheetName val="A_Wiffen24"/>
      <sheetName val="Loan_Account124"/>
      <sheetName val="Trade_Receivables24"/>
      <sheetName val="Service_deposits24"/>
      <sheetName val="Staff_loans24"/>
      <sheetName val="Sundry_debtors24"/>
      <sheetName val="Bank_balances24"/>
      <sheetName val="Cash_on_hand24"/>
      <sheetName val="Trade_payables24"/>
      <sheetName val="Sundry_suppliers24"/>
      <sheetName val="Accounting_fees24"/>
      <sheetName val="Other_accruals24"/>
      <sheetName val="Salary_control24"/>
      <sheetName val="A_Wiffen25"/>
      <sheetName val="Loan_Account125"/>
      <sheetName val="Trade_Receivables25"/>
      <sheetName val="Service_deposits25"/>
      <sheetName val="Staff_loans25"/>
      <sheetName val="Sundry_debtors25"/>
      <sheetName val="Bank_balances25"/>
      <sheetName val="Cash_on_hand25"/>
      <sheetName val="Trade_payables25"/>
      <sheetName val="Sundry_suppliers25"/>
      <sheetName val="Accounting_fees25"/>
      <sheetName val="Other_accruals25"/>
      <sheetName val="Salary_control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L5" t="str">
            <v>1000/001Sales</v>
          </cell>
        </row>
      </sheetData>
      <sheetData sheetId="28"/>
      <sheetData sheetId="29"/>
      <sheetData sheetId="30">
        <row r="5">
          <cell r="L5" t="str">
            <v>1000/001Sales</v>
          </cell>
        </row>
        <row r="159">
          <cell r="L159" t="str">
            <v>5105/000MEMBERS' CONTRIBUTIONS</v>
          </cell>
        </row>
        <row r="160">
          <cell r="L160" t="str">
            <v>5105/001A Wiffen</v>
          </cell>
        </row>
        <row r="161">
          <cell r="L161" t="str">
            <v>5105/002</v>
          </cell>
        </row>
        <row r="162">
          <cell r="L162" t="str">
            <v>5105/003</v>
          </cell>
        </row>
        <row r="163">
          <cell r="L163" t="str">
            <v>5105/004</v>
          </cell>
        </row>
        <row r="164">
          <cell r="L164" t="str">
            <v>5120/000VALUATION RESERVE</v>
          </cell>
        </row>
        <row r="165">
          <cell r="L165" t="str">
            <v>5120/001Valuation reserve - Balance b/fwd</v>
          </cell>
        </row>
        <row r="166">
          <cell r="L166" t="str">
            <v>5120/002Valuation reserve - Additions</v>
          </cell>
        </row>
        <row r="167">
          <cell r="L167" t="str">
            <v>5120/003Valuation reserve - transfer to p/l</v>
          </cell>
        </row>
        <row r="168">
          <cell r="L168" t="str">
            <v>5130/000OTHER RESERVES</v>
          </cell>
        </row>
        <row r="169">
          <cell r="L169" t="str">
            <v>5130/001Other reserves - Balance B/fwd</v>
          </cell>
        </row>
        <row r="170">
          <cell r="L170" t="str">
            <v>5130/002Other reserves - Additions</v>
          </cell>
        </row>
        <row r="171">
          <cell r="L171" t="str">
            <v>5130/003Other reserves - transfer</v>
          </cell>
        </row>
        <row r="172">
          <cell r="L172" t="str">
            <v>5200/000Retained Income / (Accumulated Loss)</v>
          </cell>
        </row>
        <row r="173">
          <cell r="L173" t="str">
            <v>5420/000MEMBERS' LOANS</v>
          </cell>
        </row>
        <row r="174">
          <cell r="L174" t="str">
            <v>5420/010Member 1 - balance b/fwd</v>
          </cell>
        </row>
        <row r="175">
          <cell r="L175" t="str">
            <v>5420/011Member 1 - Advance/Repayment in year</v>
          </cell>
        </row>
        <row r="176">
          <cell r="L176" t="str">
            <v>5420/012Member 1 - Profits distributed</v>
          </cell>
        </row>
        <row r="177">
          <cell r="L177" t="str">
            <v>5420/020Member 2 - balance b/fwd</v>
          </cell>
        </row>
        <row r="178">
          <cell r="L178" t="str">
            <v>5420/021Member 2 - Advance/Repayment in year</v>
          </cell>
        </row>
        <row r="179">
          <cell r="L179" t="str">
            <v>5420/022Member 2 - Profits distributed</v>
          </cell>
        </row>
        <row r="180">
          <cell r="L180" t="str">
            <v>5420/030Member 3 - balance b/fwd</v>
          </cell>
        </row>
        <row r="181">
          <cell r="L181" t="str">
            <v>5420/031Member 3 - Advance/Repayment in year</v>
          </cell>
        </row>
        <row r="182">
          <cell r="L182" t="str">
            <v>5420/032Member 3 - Profits distributed</v>
          </cell>
        </row>
        <row r="183">
          <cell r="L183" t="str">
            <v>5420/040Member 4 - balance b/fwd</v>
          </cell>
        </row>
        <row r="184">
          <cell r="L184" t="str">
            <v>5420/041Member 4 - Advance/Repayment in year</v>
          </cell>
        </row>
        <row r="185">
          <cell r="L185" t="str">
            <v>5420/042Member 4 - Profits distributed</v>
          </cell>
        </row>
        <row r="186">
          <cell r="L186" t="str">
            <v>5500/000LONG TERM  INTEREST LIABILITIES</v>
          </cell>
        </row>
        <row r="187">
          <cell r="L187" t="str">
            <v>5500/001</v>
          </cell>
        </row>
        <row r="188">
          <cell r="L188" t="str">
            <v>5500/002BBBBBBB</v>
          </cell>
        </row>
        <row r="189">
          <cell r="L189" t="str">
            <v>5500/003</v>
          </cell>
        </row>
        <row r="190">
          <cell r="L190" t="str">
            <v>5500/004cccccccccccc</v>
          </cell>
        </row>
        <row r="191">
          <cell r="L191" t="str">
            <v>5500/005</v>
          </cell>
        </row>
        <row r="192">
          <cell r="L192" t="str">
            <v>5500/005</v>
          </cell>
        </row>
        <row r="193">
          <cell r="L193" t="str">
            <v>5500/005</v>
          </cell>
        </row>
        <row r="194">
          <cell r="L194" t="str">
            <v>5500/005</v>
          </cell>
        </row>
        <row r="195">
          <cell r="L195" t="str">
            <v>5500/005</v>
          </cell>
        </row>
        <row r="196">
          <cell r="L196" t="str">
            <v>5500/005</v>
          </cell>
        </row>
        <row r="197">
          <cell r="L197" t="str">
            <v>5500/005</v>
          </cell>
        </row>
        <row r="198">
          <cell r="L198" t="str">
            <v>5500/005</v>
          </cell>
        </row>
        <row r="199">
          <cell r="L199" t="str">
            <v>5500/005</v>
          </cell>
        </row>
        <row r="200">
          <cell r="L200" t="str">
            <v>5520/000Short term portion of long term loans</v>
          </cell>
        </row>
        <row r="201">
          <cell r="L201" t="str">
            <v>5550/000LONG TERM INTEREST FREE LOANS</v>
          </cell>
        </row>
        <row r="202">
          <cell r="L202" t="str">
            <v>5550/001</v>
          </cell>
        </row>
        <row r="203">
          <cell r="L203" t="str">
            <v>5550/002</v>
          </cell>
        </row>
        <row r="204">
          <cell r="L204" t="str">
            <v>5550/003</v>
          </cell>
        </row>
        <row r="205">
          <cell r="L205" t="str">
            <v>5550/004</v>
          </cell>
        </row>
        <row r="206">
          <cell r="L206" t="str">
            <v>5550/005</v>
          </cell>
        </row>
        <row r="207">
          <cell r="L207" t="str">
            <v>5600/001</v>
          </cell>
        </row>
        <row r="208">
          <cell r="L208" t="str">
            <v>5600/002</v>
          </cell>
        </row>
        <row r="209">
          <cell r="L209" t="str">
            <v>5600/003</v>
          </cell>
        </row>
        <row r="210">
          <cell r="L210" t="str">
            <v>5600/004</v>
          </cell>
        </row>
        <row r="211">
          <cell r="L211" t="str">
            <v>5600/005</v>
          </cell>
        </row>
        <row r="212">
          <cell r="L212" t="str">
            <v>5600/006</v>
          </cell>
        </row>
        <row r="213">
          <cell r="L213" t="str">
            <v>5600/007</v>
          </cell>
        </row>
        <row r="214">
          <cell r="L214" t="str">
            <v>5600/008</v>
          </cell>
        </row>
        <row r="215">
          <cell r="L215" t="str">
            <v>5600/008</v>
          </cell>
        </row>
        <row r="216">
          <cell r="L216" t="str">
            <v>5600/008</v>
          </cell>
        </row>
        <row r="217">
          <cell r="L217" t="str">
            <v>5600/008</v>
          </cell>
        </row>
        <row r="218">
          <cell r="L218" t="str">
            <v>5600/008</v>
          </cell>
        </row>
        <row r="219">
          <cell r="L219" t="str">
            <v>5700/000DEFERRED TAX</v>
          </cell>
        </row>
        <row r="220">
          <cell r="L220" t="str">
            <v>5700/010Deferred tax balance on depreciation b/fwd</v>
          </cell>
        </row>
        <row r="221">
          <cell r="L221" t="str">
            <v>5700/010Deferred tax balance on tax loss b/fwd</v>
          </cell>
        </row>
        <row r="222">
          <cell r="L222" t="str">
            <v>5700/011Deferred tax on depreciation for year</v>
          </cell>
        </row>
        <row r="223">
          <cell r="L223" t="str">
            <v>5700/012Deferred tax on tax loss for year</v>
          </cell>
        </row>
        <row r="224">
          <cell r="L224" t="str">
            <v>5700/013Deferred tax adjustment previous year depreciation</v>
          </cell>
        </row>
        <row r="225">
          <cell r="L225" t="str">
            <v>5700/013Deferred tax adjustment previous year tax loss</v>
          </cell>
        </row>
        <row r="226">
          <cell r="L226" t="str">
            <v>6100/000LAND &amp; BUILDINGS - COST</v>
          </cell>
        </row>
        <row r="227">
          <cell r="L227" t="str">
            <v>6100/001Land_Buildings - Cost B/fwd</v>
          </cell>
        </row>
        <row r="228">
          <cell r="L228" t="str">
            <v>6100/002Land_Buildings - Additions</v>
          </cell>
        </row>
        <row r="229">
          <cell r="L229" t="str">
            <v>6100/003Land_Buildings - Cost of sales</v>
          </cell>
        </row>
        <row r="230">
          <cell r="L230" t="str">
            <v>6100/020LAND &amp; BUILDINGS - ACC DEPR</v>
          </cell>
        </row>
        <row r="231">
          <cell r="L231" t="str">
            <v>6100/021Land &amp; Buildings - Acc depr B/fwd</v>
          </cell>
        </row>
        <row r="232">
          <cell r="L232" t="str">
            <v>6100/022Land &amp; Buildings - Acc depr this year</v>
          </cell>
        </row>
        <row r="233">
          <cell r="L233" t="str">
            <v>6100/023Land &amp; Buildings - Acc depr on sales</v>
          </cell>
        </row>
        <row r="234">
          <cell r="L234" t="str">
            <v>6150/000PLANT &amp; MACHINERY - COST</v>
          </cell>
        </row>
        <row r="235">
          <cell r="L235" t="str">
            <v>6150/001Plant &amp; machinery - cost b/fwd</v>
          </cell>
        </row>
        <row r="236">
          <cell r="L236" t="str">
            <v>6150/002Plant &amp; machinery - Additions</v>
          </cell>
        </row>
        <row r="237">
          <cell r="L237" t="str">
            <v>6150/003Plant &amp; machinery - Cost of sales</v>
          </cell>
        </row>
        <row r="238">
          <cell r="L238" t="str">
            <v>6150/020PLANT &amp; MACHINERY - ACC DEPR</v>
          </cell>
        </row>
        <row r="239">
          <cell r="L239" t="str">
            <v>6150/021Plant &amp; Machinery - Acc depr b/fwd</v>
          </cell>
        </row>
        <row r="240">
          <cell r="L240" t="str">
            <v>6150/022Plant &amp; machinery - depr this year</v>
          </cell>
        </row>
        <row r="241">
          <cell r="L241" t="str">
            <v>6150/023Plant &amp; machinery - acc depr on sales</v>
          </cell>
        </row>
        <row r="242">
          <cell r="L242" t="str">
            <v>6200/000MOTOR VEHICLES - COST</v>
          </cell>
        </row>
        <row r="243">
          <cell r="L243" t="str">
            <v>6200/001Motor Vehicles - Cost B/fwd</v>
          </cell>
        </row>
        <row r="244">
          <cell r="L244" t="str">
            <v>6200/002Motor Vehicles - Additions</v>
          </cell>
        </row>
        <row r="245">
          <cell r="L245" t="str">
            <v>6200/003Motor Vehicles - Cost of sales</v>
          </cell>
        </row>
        <row r="246">
          <cell r="L246" t="str">
            <v>6200/020MOTOR VEHICLES - ACC DEPR</v>
          </cell>
        </row>
        <row r="247">
          <cell r="L247" t="str">
            <v>6200/021Motor vehicles - Acc depr b/fwd</v>
          </cell>
        </row>
        <row r="248">
          <cell r="L248" t="str">
            <v>6200/022Motor vehicles - Depr this year</v>
          </cell>
        </row>
        <row r="249">
          <cell r="L249" t="str">
            <v>6200/023Motor vehicles - Acc depr on sales</v>
          </cell>
        </row>
        <row r="250">
          <cell r="L250" t="str">
            <v>6250/000ELECTRONIC EQUIPMENT - COST</v>
          </cell>
        </row>
        <row r="251">
          <cell r="L251" t="str">
            <v>6250/001Electronic equipment - Cost b/fwd</v>
          </cell>
        </row>
        <row r="252">
          <cell r="L252" t="str">
            <v>6250/002Electronic equipment - Additions</v>
          </cell>
        </row>
        <row r="253">
          <cell r="L253" t="str">
            <v>6250/003Electronic equipment - Cost of sales</v>
          </cell>
        </row>
        <row r="254">
          <cell r="L254" t="str">
            <v>6250/020ELECTRONIC EQUIPMENT - ACC DEPR</v>
          </cell>
        </row>
        <row r="255">
          <cell r="L255" t="str">
            <v>6250/021Electronic equipment - Acc depr B/fwd</v>
          </cell>
        </row>
        <row r="256">
          <cell r="L256" t="str">
            <v>6250/022Electronic equipment - Depr this year</v>
          </cell>
        </row>
        <row r="257">
          <cell r="L257" t="str">
            <v>6250/023Electronic equipment - Acc depr on sales</v>
          </cell>
        </row>
        <row r="258">
          <cell r="L258" t="str">
            <v>6300/000OFFICE EQUIPMENT - COST</v>
          </cell>
        </row>
        <row r="259">
          <cell r="L259" t="str">
            <v>6300/001Office Equipment - Cost B/fwd</v>
          </cell>
        </row>
        <row r="260">
          <cell r="L260" t="str">
            <v>6300/002Office Equipment - Additions</v>
          </cell>
        </row>
        <row r="261">
          <cell r="L261" t="str">
            <v>6300/003Office Equipment - Cost of sales</v>
          </cell>
        </row>
        <row r="262">
          <cell r="L262" t="str">
            <v>6300/020OFFICE EQUIPMENT - ACC DEPR</v>
          </cell>
        </row>
        <row r="263">
          <cell r="L263" t="str">
            <v>6300/021Office equipment - Acc depr B/fwd</v>
          </cell>
        </row>
        <row r="264">
          <cell r="L264" t="str">
            <v>6300/022Office equipment - Depr this year</v>
          </cell>
        </row>
        <row r="265">
          <cell r="L265" t="str">
            <v>6300/023Office equipment - Acc depr on sales</v>
          </cell>
        </row>
        <row r="266">
          <cell r="L266" t="str">
            <v>6350/000FURNITURE &amp; FITTINGS - COST</v>
          </cell>
        </row>
        <row r="267">
          <cell r="L267" t="str">
            <v>6350/001Furniture &amp; fittings - Cost B/fwd</v>
          </cell>
        </row>
        <row r="268">
          <cell r="L268" t="str">
            <v>6350/002Furniture &amp; fittings - Additions</v>
          </cell>
        </row>
        <row r="269">
          <cell r="L269" t="str">
            <v>6350/003Furniture &amp; fittings - Cost of sales</v>
          </cell>
        </row>
        <row r="270">
          <cell r="L270" t="str">
            <v>6350/020FURNITURE &amp; FITTINGS - ACC DEPR</v>
          </cell>
        </row>
        <row r="271">
          <cell r="L271" t="str">
            <v>6350/021Furniture &amp; fittings - Acc depr B/fwd</v>
          </cell>
        </row>
        <row r="272">
          <cell r="L272" t="str">
            <v>6350/022Furniture &amp; fittings - Depr this year</v>
          </cell>
        </row>
        <row r="273">
          <cell r="L273" t="str">
            <v>6350/023Furniture &amp; fittings - Acc depr on sales</v>
          </cell>
        </row>
        <row r="274">
          <cell r="L274" t="str">
            <v>6600/000OTHER FIXED ASSETS  - COST</v>
          </cell>
        </row>
        <row r="275">
          <cell r="L275" t="str">
            <v>6600/001Other fixed assets - Cost B/fwd</v>
          </cell>
        </row>
        <row r="276">
          <cell r="L276" t="str">
            <v>6600/002Other fixed assets - Additions</v>
          </cell>
        </row>
        <row r="277">
          <cell r="L277" t="str">
            <v>6600/003Other fixed assets - Cost of sales</v>
          </cell>
        </row>
        <row r="278">
          <cell r="L278" t="str">
            <v>6600/020OTHER FIXED ASSETS - ACC DEPR</v>
          </cell>
        </row>
        <row r="279">
          <cell r="L279" t="str">
            <v>6600/021Other fixed assets - Acc depr b/fwd</v>
          </cell>
        </row>
        <row r="280">
          <cell r="L280" t="str">
            <v>6600/022Other fixed assets - Depr this year</v>
          </cell>
        </row>
        <row r="281">
          <cell r="L281" t="str">
            <v>6600/023Other fixed assets - Acc depr on sales</v>
          </cell>
        </row>
        <row r="282">
          <cell r="L282" t="str">
            <v>7000/000GOODWILL/INTANGIBLE ASSETS</v>
          </cell>
        </row>
        <row r="283">
          <cell r="L283" t="str">
            <v>7000/010Goodwill Cost</v>
          </cell>
        </row>
        <row r="284">
          <cell r="L284" t="str">
            <v>7000/015Goodwill - surplus on revaluation</v>
          </cell>
        </row>
        <row r="285">
          <cell r="L285" t="str">
            <v>7000/020Goodwill - write down this year</v>
          </cell>
        </row>
        <row r="286">
          <cell r="L286" t="str">
            <v>7000/025Goodwill - write down last year</v>
          </cell>
        </row>
        <row r="287">
          <cell r="L287" t="str">
            <v>7100/000INVESTMENTS</v>
          </cell>
        </row>
        <row r="288">
          <cell r="L288" t="str">
            <v>7100/100LISTED INVESTMENTS</v>
          </cell>
        </row>
        <row r="289">
          <cell r="L289" t="str">
            <v>7100/101Listed 1 ************</v>
          </cell>
        </row>
        <row r="290">
          <cell r="L290" t="str">
            <v>7100/102Listed 2 *************</v>
          </cell>
        </row>
        <row r="291">
          <cell r="L291" t="str">
            <v>7100/103Listed 3 ***************</v>
          </cell>
        </row>
        <row r="292">
          <cell r="L292" t="str">
            <v>7100/104Listed 4 ************</v>
          </cell>
        </row>
        <row r="293">
          <cell r="L293" t="str">
            <v>7100/105Listed 5 ************</v>
          </cell>
        </row>
        <row r="294">
          <cell r="L294" t="str">
            <v>7100/200OTHER INVESTMENTS</v>
          </cell>
        </row>
        <row r="295">
          <cell r="L295" t="str">
            <v>7100/201</v>
          </cell>
        </row>
        <row r="296">
          <cell r="L296" t="str">
            <v>7100/202</v>
          </cell>
        </row>
        <row r="297">
          <cell r="L297" t="str">
            <v>7100/203Other investment 3 ************</v>
          </cell>
        </row>
        <row r="298">
          <cell r="L298" t="str">
            <v>7100/204Other investment 4 ************</v>
          </cell>
        </row>
        <row r="299">
          <cell r="L299" t="str">
            <v>7100/205Other investment 5 *************</v>
          </cell>
        </row>
        <row r="300">
          <cell r="L300" t="str">
            <v>7450/000CONNECTED COMPANIES</v>
          </cell>
        </row>
        <row r="301">
          <cell r="L301" t="str">
            <v>7450/001Connected co 1 **********</v>
          </cell>
        </row>
        <row r="302">
          <cell r="L302" t="str">
            <v>7450/002Connected co 2 **********</v>
          </cell>
        </row>
        <row r="303">
          <cell r="L303" t="str">
            <v>7450/003Connected co 3 **********</v>
          </cell>
        </row>
        <row r="304">
          <cell r="L304" t="str">
            <v>7450/004Connected co 4 ***********</v>
          </cell>
        </row>
        <row r="305">
          <cell r="L305" t="str">
            <v>7450/005Connected co 5 ***********</v>
          </cell>
        </row>
        <row r="306">
          <cell r="L306" t="str">
            <v>7460/000OTHER NON CURRENT RECEIVABLES</v>
          </cell>
        </row>
        <row r="307">
          <cell r="L307" t="str">
            <v>7460/001</v>
          </cell>
        </row>
        <row r="308">
          <cell r="L308" t="str">
            <v>7460/002</v>
          </cell>
        </row>
        <row r="309">
          <cell r="L309" t="str">
            <v>7460/003</v>
          </cell>
        </row>
        <row r="310">
          <cell r="L310" t="str">
            <v>7460/006</v>
          </cell>
        </row>
        <row r="311">
          <cell r="L311" t="str">
            <v>7460/007</v>
          </cell>
        </row>
        <row r="312">
          <cell r="L312" t="str">
            <v>7460/008</v>
          </cell>
        </row>
        <row r="313">
          <cell r="L313" t="str">
            <v>7460/009</v>
          </cell>
        </row>
        <row r="314">
          <cell r="L314" t="str">
            <v>7460/009</v>
          </cell>
        </row>
        <row r="315">
          <cell r="L315" t="str">
            <v>7500/000INVENTORY</v>
          </cell>
        </row>
        <row r="316">
          <cell r="L316" t="str">
            <v>7500/001Raw materials</v>
          </cell>
        </row>
        <row r="317">
          <cell r="L317" t="str">
            <v>7500/002Work in progress</v>
          </cell>
        </row>
        <row r="318">
          <cell r="L318" t="str">
            <v>7500/003Finished goods</v>
          </cell>
        </row>
        <row r="319">
          <cell r="L319" t="str">
            <v>7500/004Trading stock</v>
          </cell>
        </row>
        <row r="320">
          <cell r="L320" t="str">
            <v>8000/000DEBTORS</v>
          </cell>
        </row>
        <row r="321">
          <cell r="L321" t="str">
            <v>8010/000Trade debtors</v>
          </cell>
        </row>
        <row r="322">
          <cell r="L322" t="str">
            <v>8020/000Service deposits</v>
          </cell>
        </row>
        <row r="323">
          <cell r="L323" t="str">
            <v>8050/000Less: Provision For Doubtful Debts</v>
          </cell>
        </row>
        <row r="324">
          <cell r="L324" t="str">
            <v>8200/000Sundry Customers</v>
          </cell>
        </row>
        <row r="325">
          <cell r="L325" t="str">
            <v>8200/010Prepayments</v>
          </cell>
        </row>
        <row r="326">
          <cell r="L326" t="str">
            <v>8200/020Staff Loans</v>
          </cell>
        </row>
        <row r="327">
          <cell r="L327" t="str">
            <v>8400/000BANK ACCOUNTS</v>
          </cell>
        </row>
        <row r="328">
          <cell r="L328" t="str">
            <v>8410/000ABSA - Current account</v>
          </cell>
        </row>
        <row r="329">
          <cell r="L329" t="str">
            <v>8420/000</v>
          </cell>
        </row>
        <row r="330">
          <cell r="L330" t="str">
            <v>8430/000</v>
          </cell>
        </row>
        <row r="331">
          <cell r="L331" t="str">
            <v>8440/000</v>
          </cell>
        </row>
        <row r="332">
          <cell r="L332" t="str">
            <v>8450/000</v>
          </cell>
        </row>
        <row r="333">
          <cell r="L333" t="str">
            <v>8460/000</v>
          </cell>
        </row>
        <row r="334">
          <cell r="L334" t="str">
            <v>8500/000Cash on hand</v>
          </cell>
        </row>
        <row r="335">
          <cell r="L335" t="str">
            <v>8550/000Petty Cash</v>
          </cell>
        </row>
        <row r="336">
          <cell r="L336" t="str">
            <v>8900/000SHORT TERM LOANS</v>
          </cell>
        </row>
        <row r="337">
          <cell r="L337" t="str">
            <v>8900/001Equipment Creditor</v>
          </cell>
        </row>
        <row r="338">
          <cell r="L338" t="str">
            <v>8900/002Short term 2 *******</v>
          </cell>
        </row>
        <row r="339">
          <cell r="L339" t="str">
            <v>8900/003Short term 3 *********</v>
          </cell>
        </row>
        <row r="340">
          <cell r="L340" t="str">
            <v>8900/004Short term portion of long term loans</v>
          </cell>
        </row>
        <row r="341">
          <cell r="L341" t="str">
            <v>9000/000CREDITORS</v>
          </cell>
        </row>
        <row r="342">
          <cell r="L342" t="str">
            <v>9010/000Trade creditors</v>
          </cell>
        </row>
        <row r="343">
          <cell r="L343" t="str">
            <v>9200/000Sundry Suppliers</v>
          </cell>
        </row>
        <row r="344">
          <cell r="L344" t="str">
            <v>9200/010Accounting / Audit Fee Accrual</v>
          </cell>
        </row>
        <row r="345">
          <cell r="L345" t="str">
            <v>9200/020Other Accruals</v>
          </cell>
        </row>
        <row r="346">
          <cell r="L346" t="str">
            <v>9250/000Salary &amp; Wages Control</v>
          </cell>
        </row>
        <row r="347">
          <cell r="L347" t="str">
            <v>9300/000TAXATION</v>
          </cell>
        </row>
        <row r="348">
          <cell r="L348" t="str">
            <v>9300/010Balance b/fwd</v>
          </cell>
        </row>
        <row r="349">
          <cell r="L349" t="str">
            <v>9300/020Tax provision this year</v>
          </cell>
        </row>
        <row r="350">
          <cell r="L350" t="str">
            <v>9300/030Over-/Underprovision previous year</v>
          </cell>
        </row>
        <row r="351">
          <cell r="L351" t="str">
            <v>9300/040Tax paid for previous year provisions</v>
          </cell>
        </row>
        <row r="352">
          <cell r="L352" t="str">
            <v>9300/0501st Provisional Paid</v>
          </cell>
        </row>
        <row r="353">
          <cell r="L353" t="str">
            <v>9300/0602nd Provisional Paid</v>
          </cell>
        </row>
        <row r="354">
          <cell r="L354" t="str">
            <v>9300/0703rd Provisional paid</v>
          </cell>
        </row>
        <row r="355">
          <cell r="L355" t="str">
            <v>9300/080STC paid for last year provision</v>
          </cell>
        </row>
        <row r="356">
          <cell r="L356" t="str">
            <v>9300/090STC Provision this year</v>
          </cell>
        </row>
        <row r="357">
          <cell r="L357" t="str">
            <v>9300/100Tax paid on Foreign Dividends</v>
          </cell>
        </row>
        <row r="358">
          <cell r="L358" t="str">
            <v>9350/000Dividends Payable</v>
          </cell>
        </row>
        <row r="359">
          <cell r="L359" t="str">
            <v>9400/000Provision for Future Expenses</v>
          </cell>
        </row>
        <row r="360">
          <cell r="L360" t="str">
            <v>9400/010Provision for Insurance</v>
          </cell>
        </row>
        <row r="361">
          <cell r="L361" t="str">
            <v>9400/020Provision for Salary Bonus</v>
          </cell>
        </row>
        <row r="362">
          <cell r="L362" t="str">
            <v>9500/000VALUE ADDED TAX</v>
          </cell>
        </row>
        <row r="363">
          <cell r="L363" t="str">
            <v>9501/000VAT account</v>
          </cell>
        </row>
        <row r="364">
          <cell r="L364" t="str">
            <v>9510/000----------------------------------------</v>
          </cell>
        </row>
        <row r="365">
          <cell r="L365" t="str">
            <v>9990/000Opening Balance / Suspense Account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TrialBalance"/>
      <sheetName val="Criteria"/>
      <sheetName val="Journals"/>
      <sheetName val="opsom"/>
      <sheetName val="DirRem"/>
      <sheetName val="VAT"/>
      <sheetName val="StateENG"/>
      <sheetName val="StateENGFinal"/>
      <sheetName val="FixAssetsRegister"/>
      <sheetName val="HPLead"/>
      <sheetName val="HP1 (2)"/>
      <sheetName val="Notas1"/>
      <sheetName val="DefTax"/>
      <sheetName val="ExceptionReport"/>
      <sheetName val="OBalanse"/>
      <sheetName val="Analities1"/>
      <sheetName val="Analities2"/>
      <sheetName val="FixAssets"/>
      <sheetName val="Goodwill"/>
      <sheetName val="Investments"/>
      <sheetName val="NonCurR"/>
      <sheetName val="Inventory"/>
      <sheetName val="Receivables"/>
      <sheetName val="CashBank"/>
      <sheetName val="bank2"/>
      <sheetName val="Reserves"/>
      <sheetName val="InterestBor"/>
      <sheetName val="InterestFree"/>
      <sheetName val="Creditors"/>
      <sheetName val="ShortLOans"/>
      <sheetName val="Tax"/>
      <sheetName val="Index"/>
      <sheetName val="Sales"/>
      <sheetName val="Salesrecon"/>
      <sheetName val="Rent"/>
      <sheetName val="HP1_(2)"/>
    </sheetNames>
    <sheetDataSet>
      <sheetData sheetId="0" refreshError="1"/>
      <sheetData sheetId="1">
        <row r="5">
          <cell r="K5" t="str">
            <v>1000/001Sales</v>
          </cell>
        </row>
        <row r="6">
          <cell r="K6" t="str">
            <v>1000/002Sales 2</v>
          </cell>
        </row>
        <row r="7">
          <cell r="K7" t="str">
            <v>1000/003Rent Received</v>
          </cell>
        </row>
        <row r="8">
          <cell r="K8" t="str">
            <v>2000/000COST OF SALES</v>
          </cell>
        </row>
        <row r="9">
          <cell r="K9" t="str">
            <v>2000/001Opening stock - Raw material</v>
          </cell>
        </row>
        <row r="10">
          <cell r="K10" t="str">
            <v>2000/002Opening stock - WIP</v>
          </cell>
        </row>
        <row r="11">
          <cell r="K11" t="str">
            <v>2000/003Opening stock - Finished goods</v>
          </cell>
        </row>
        <row r="12">
          <cell r="K12" t="str">
            <v>2000/004Opening stock - Trading stock</v>
          </cell>
        </row>
        <row r="13">
          <cell r="K13" t="str">
            <v>2000/010Purchases</v>
          </cell>
        </row>
        <row r="14">
          <cell r="K14" t="str">
            <v>2000/011Transport and Repair costs</v>
          </cell>
        </row>
        <row r="15">
          <cell r="K15" t="str">
            <v>2000/012Spares and tyres</v>
          </cell>
        </row>
        <row r="16">
          <cell r="K16" t="str">
            <v>2000/013Open</v>
          </cell>
        </row>
        <row r="17">
          <cell r="K17" t="str">
            <v>2000/014Open</v>
          </cell>
        </row>
        <row r="18">
          <cell r="K18" t="str">
            <v>2000/015Open</v>
          </cell>
        </row>
        <row r="19">
          <cell r="K19" t="str">
            <v>2000/050Closing stock - Raw materials</v>
          </cell>
        </row>
        <row r="20">
          <cell r="K20" t="str">
            <v>2000/051Closing stock - WIP</v>
          </cell>
        </row>
        <row r="21">
          <cell r="K21" t="str">
            <v>2000/052Closing stock - Finished goods</v>
          </cell>
        </row>
        <row r="22">
          <cell r="K22" t="str">
            <v>2000/053Closing stock - Trading stock</v>
          </cell>
        </row>
        <row r="23">
          <cell r="K23" t="str">
            <v>2050/000OTHER OPERATING INCOME</v>
          </cell>
        </row>
        <row r="24">
          <cell r="K24" t="str">
            <v>2050/001</v>
          </cell>
        </row>
        <row r="25">
          <cell r="K25" t="str">
            <v>2050/002</v>
          </cell>
        </row>
        <row r="26">
          <cell r="K26" t="str">
            <v>2050/003</v>
          </cell>
        </row>
        <row r="27">
          <cell r="K27" t="str">
            <v>2050/004</v>
          </cell>
        </row>
        <row r="28">
          <cell r="K28" t="str">
            <v>2050/005</v>
          </cell>
        </row>
        <row r="29">
          <cell r="K29" t="str">
            <v>2100/000OPERATING EXPENSES</v>
          </cell>
        </row>
        <row r="30">
          <cell r="K30" t="str">
            <v>2100/001Advertising</v>
          </cell>
        </row>
        <row r="31">
          <cell r="K31" t="str">
            <v>2100/010Assets written off</v>
          </cell>
        </row>
        <row r="32">
          <cell r="K32" t="str">
            <v>2100/020Consumables</v>
          </cell>
        </row>
        <row r="33">
          <cell r="K33" t="str">
            <v>2100/030Depreciation----------------------------</v>
          </cell>
        </row>
        <row r="34">
          <cell r="K34" t="str">
            <v>2100/031Depr - Land &amp; buildings</v>
          </cell>
        </row>
        <row r="35">
          <cell r="K35" t="str">
            <v>2100/032Depr - Plant &amp; Machinery</v>
          </cell>
        </row>
        <row r="36">
          <cell r="K36" t="str">
            <v>2100/033Depr - Motor vehicles</v>
          </cell>
        </row>
        <row r="37">
          <cell r="K37" t="str">
            <v>2100/034Depr - Electronic equipment</v>
          </cell>
        </row>
        <row r="38">
          <cell r="K38" t="str">
            <v>2100/040Discounts allowed</v>
          </cell>
        </row>
        <row r="39">
          <cell r="K39" t="str">
            <v>2100/050Electricity and Water</v>
          </cell>
        </row>
        <row r="40">
          <cell r="K40" t="str">
            <v>2100/055Equipment lease</v>
          </cell>
        </row>
        <row r="41">
          <cell r="K41" t="str">
            <v>2100/060Insurance</v>
          </cell>
        </row>
        <row r="42">
          <cell r="K42" t="str">
            <v>2100/070Levies - District Municipality</v>
          </cell>
        </row>
        <row r="43">
          <cell r="K43" t="str">
            <v>2100/071Levies - SDL</v>
          </cell>
        </row>
        <row r="44">
          <cell r="K44" t="str">
            <v>2100/072Levies - other</v>
          </cell>
        </row>
        <row r="45">
          <cell r="K45" t="str">
            <v>2100/080Trade licenses</v>
          </cell>
        </row>
        <row r="46">
          <cell r="K46" t="str">
            <v>2100/090Motor vehicle expenses------------------</v>
          </cell>
        </row>
        <row r="47">
          <cell r="K47" t="str">
            <v>2100/091Motor vehicle expenses - Petrol and oil</v>
          </cell>
        </row>
        <row r="48">
          <cell r="K48" t="str">
            <v>2100/092Motor vehicle expenses - R&amp;M</v>
          </cell>
        </row>
        <row r="49">
          <cell r="K49" t="str">
            <v>2100/093Motor vehicle expenses - Insurance</v>
          </cell>
        </row>
        <row r="50">
          <cell r="K50" t="str">
            <v>2100/094Motor vehicle expenses - licenses</v>
          </cell>
        </row>
        <row r="51">
          <cell r="K51" t="str">
            <v>2100/095Motor vehicle expenses - general</v>
          </cell>
        </row>
        <row r="52">
          <cell r="K52" t="str">
            <v>2100/100Rent paid-------------------------------</v>
          </cell>
        </row>
        <row r="53">
          <cell r="K53" t="str">
            <v>2100/101Premises</v>
          </cell>
        </row>
        <row r="54">
          <cell r="K54" t="str">
            <v>2100/102</v>
          </cell>
        </row>
        <row r="55">
          <cell r="K55" t="str">
            <v>2100/103</v>
          </cell>
        </row>
        <row r="56">
          <cell r="K56" t="str">
            <v>2100/110Repairs and maintenance</v>
          </cell>
        </row>
        <row r="57">
          <cell r="K57" t="str">
            <v>2100/120Salaries</v>
          </cell>
        </row>
        <row r="58">
          <cell r="K58" t="str">
            <v>2100/121UIF - Employer</v>
          </cell>
        </row>
        <row r="59">
          <cell r="K59" t="str">
            <v>2100/122Casual wages</v>
          </cell>
        </row>
        <row r="60">
          <cell r="K60" t="str">
            <v>2100/130Telephone</v>
          </cell>
        </row>
        <row r="61">
          <cell r="K61" t="str">
            <v>2100/135Postage</v>
          </cell>
        </row>
        <row r="62">
          <cell r="K62" t="str">
            <v>2100/140Training</v>
          </cell>
        </row>
        <row r="63">
          <cell r="K63" t="str">
            <v>2100/150Traveling</v>
          </cell>
        </row>
        <row r="64">
          <cell r="K64" t="str">
            <v>2150/000Roadworthy tests</v>
          </cell>
        </row>
        <row r="65">
          <cell r="K65" t="str">
            <v>2200/000Registration and plates</v>
          </cell>
        </row>
        <row r="66">
          <cell r="K66" t="str">
            <v>2400/000W/C/A</v>
          </cell>
        </row>
        <row r="67">
          <cell r="K67" t="str">
            <v>2400/010Staff welfare</v>
          </cell>
        </row>
        <row r="68">
          <cell r="K68" t="str">
            <v>2400/020Handtools</v>
          </cell>
        </row>
        <row r="69">
          <cell r="K69" t="str">
            <v>2400/030Open</v>
          </cell>
        </row>
        <row r="70">
          <cell r="K70" t="str">
            <v>2500/000OTHER INCOME</v>
          </cell>
        </row>
        <row r="71">
          <cell r="K71" t="str">
            <v>2700/000Blocked</v>
          </cell>
        </row>
        <row r="72">
          <cell r="K72" t="str">
            <v>2710/000Rent Received (Not Main income)</v>
          </cell>
        </row>
        <row r="73">
          <cell r="K73" t="str">
            <v>2750/000Interest Received-----------------------</v>
          </cell>
        </row>
        <row r="74">
          <cell r="K74" t="str">
            <v>2750/001First National Bank</v>
          </cell>
        </row>
        <row r="75">
          <cell r="K75" t="str">
            <v>2750/002</v>
          </cell>
        </row>
        <row r="76">
          <cell r="K76" t="str">
            <v>2750/003</v>
          </cell>
        </row>
        <row r="77">
          <cell r="K77" t="str">
            <v>2750/004</v>
          </cell>
        </row>
        <row r="78">
          <cell r="K78" t="str">
            <v>2800/000Dividends received----------------------</v>
          </cell>
        </row>
        <row r="79">
          <cell r="K79" t="str">
            <v>2800/001Div's received - SA sources</v>
          </cell>
        </row>
        <row r="80">
          <cell r="K80" t="str">
            <v>2800/002Div's received - Foreign div's</v>
          </cell>
        </row>
        <row r="81">
          <cell r="K81" t="str">
            <v>2810/000Profit/Loss on sale of fixed assets</v>
          </cell>
        </row>
        <row r="82">
          <cell r="K82" t="str">
            <v>2820/000Bad debts recovered</v>
          </cell>
        </row>
        <row r="83">
          <cell r="K83" t="str">
            <v>2830/000Other income</v>
          </cell>
        </row>
        <row r="84">
          <cell r="K84" t="str">
            <v>3000/000ADMINISTRATION EXPENSES</v>
          </cell>
        </row>
        <row r="85">
          <cell r="K85" t="str">
            <v>3000/010Auditor's remuneration------------------</v>
          </cell>
        </row>
        <row r="86">
          <cell r="K86" t="str">
            <v>3000/011Audit fees for current year</v>
          </cell>
        </row>
        <row r="87">
          <cell r="K87" t="str">
            <v>3000/012Under provision previous year</v>
          </cell>
        </row>
        <row r="88">
          <cell r="K88" t="str">
            <v>3000/013Overprovision previous year</v>
          </cell>
        </row>
        <row r="89">
          <cell r="K89" t="str">
            <v>3000/014Accounting fees</v>
          </cell>
        </row>
        <row r="90">
          <cell r="K90" t="str">
            <v>3000/020Bank charges</v>
          </cell>
        </row>
        <row r="91">
          <cell r="K91" t="str">
            <v>3000/030Bad debts</v>
          </cell>
        </row>
        <row r="92">
          <cell r="K92" t="str">
            <v>3000/040Cleaning</v>
          </cell>
        </row>
        <row r="93">
          <cell r="K93" t="str">
            <v>3000/050Computer expenses</v>
          </cell>
        </row>
        <row r="94">
          <cell r="K94" t="str">
            <v>3000/060Depreciation----------------------------</v>
          </cell>
        </row>
        <row r="95">
          <cell r="K95" t="str">
            <v>3000/061Depr - Land &amp; buildings</v>
          </cell>
        </row>
        <row r="96">
          <cell r="K96" t="str">
            <v>3000/062Depr - Motor vehicles</v>
          </cell>
        </row>
        <row r="97">
          <cell r="K97" t="str">
            <v>3000/063Depr - Computer equipment</v>
          </cell>
        </row>
        <row r="98">
          <cell r="K98" t="str">
            <v>3000/064Depr - Office equipment</v>
          </cell>
        </row>
        <row r="99">
          <cell r="K99" t="str">
            <v>3000/065Depr - Furniture &amp; Fittings</v>
          </cell>
        </row>
        <row r="100">
          <cell r="K100" t="str">
            <v>3000/066Depr - Other</v>
          </cell>
        </row>
        <row r="101">
          <cell r="K101" t="str">
            <v>3000/070Directors'/Members' remuneration-----------------</v>
          </cell>
        </row>
        <row r="102">
          <cell r="K102" t="str">
            <v>3000/071S J Renfield</v>
          </cell>
        </row>
        <row r="103">
          <cell r="K103" t="str">
            <v>3000/072H F D M Valentim</v>
          </cell>
        </row>
        <row r="104">
          <cell r="K104" t="str">
            <v>3000/073</v>
          </cell>
        </row>
        <row r="105">
          <cell r="K105" t="str">
            <v>3000/074</v>
          </cell>
        </row>
        <row r="106">
          <cell r="K106" t="str">
            <v>3000/075</v>
          </cell>
        </row>
        <row r="107">
          <cell r="K107" t="str">
            <v>3000/080Donations</v>
          </cell>
        </row>
        <row r="108">
          <cell r="K108" t="str">
            <v>3000/090Entertainment expenses</v>
          </cell>
        </row>
        <row r="109">
          <cell r="K109" t="str">
            <v>3000/095Fines</v>
          </cell>
        </row>
        <row r="110">
          <cell r="K110" t="str">
            <v>3000/100General expenses</v>
          </cell>
        </row>
        <row r="111">
          <cell r="K111" t="str">
            <v>3000/110Legal expenses - Tax deductible</v>
          </cell>
        </row>
        <row r="112">
          <cell r="K112" t="str">
            <v>3000/111Legal expenses - Non deductible</v>
          </cell>
        </row>
        <row r="113">
          <cell r="K113" t="str">
            <v>3000/120Printing and stationary</v>
          </cell>
        </row>
        <row r="114">
          <cell r="K114" t="str">
            <v>3000/130Refreshments</v>
          </cell>
        </row>
        <row r="115">
          <cell r="K115" t="str">
            <v>3000/140Salaries</v>
          </cell>
        </row>
        <row r="116">
          <cell r="K116" t="str">
            <v>3000/141UIF - Employer</v>
          </cell>
        </row>
        <row r="117">
          <cell r="K117" t="str">
            <v>3000/142Casual wages</v>
          </cell>
        </row>
        <row r="118">
          <cell r="K118" t="str">
            <v>3000/150Security</v>
          </cell>
        </row>
        <row r="119">
          <cell r="K119" t="str">
            <v>3000/160Subscriptions</v>
          </cell>
        </row>
        <row r="120">
          <cell r="K120" t="str">
            <v>3000/170Penalties &amp; Interest - SARS</v>
          </cell>
        </row>
        <row r="121">
          <cell r="K121" t="str">
            <v>3000/180Commission paid</v>
          </cell>
        </row>
        <row r="122">
          <cell r="K122" t="str">
            <v>3000/190Car Rental</v>
          </cell>
        </row>
        <row r="123">
          <cell r="K123" t="str">
            <v>3000/200</v>
          </cell>
        </row>
        <row r="124">
          <cell r="K124" t="str">
            <v>3000/210</v>
          </cell>
        </row>
        <row r="125">
          <cell r="K125" t="str">
            <v>3000/220</v>
          </cell>
        </row>
        <row r="126">
          <cell r="K126" t="str">
            <v>4210/000Pft/Loss on foreign exchange</v>
          </cell>
        </row>
        <row r="127">
          <cell r="K127" t="str">
            <v>4700/000FINANCE COSTS</v>
          </cell>
        </row>
        <row r="128">
          <cell r="K128" t="str">
            <v>4700/010Interest paid---------------------------</v>
          </cell>
        </row>
        <row r="129">
          <cell r="K129" t="str">
            <v>4700/011Standard Bank</v>
          </cell>
        </row>
        <row r="130">
          <cell r="K130" t="str">
            <v>4700/012</v>
          </cell>
        </row>
        <row r="131">
          <cell r="K131" t="str">
            <v>4700/013</v>
          </cell>
        </row>
        <row r="132">
          <cell r="K132" t="str">
            <v>4700/014Revenue Service</v>
          </cell>
        </row>
        <row r="133">
          <cell r="K133" t="str">
            <v>4700/020Hire purchase interest</v>
          </cell>
        </row>
        <row r="134">
          <cell r="K134" t="str">
            <v>4750/000OTHER</v>
          </cell>
        </row>
        <row r="135">
          <cell r="K135" t="str">
            <v>4750/010Loss on Revaluation of Investments</v>
          </cell>
        </row>
        <row r="136">
          <cell r="K136" t="str">
            <v>4800/000NORMAL TAXATION</v>
          </cell>
        </row>
        <row r="137">
          <cell r="K137" t="str">
            <v>4800/001Tax provided this year</v>
          </cell>
        </row>
        <row r="138">
          <cell r="K138" t="str">
            <v>4800/002Tax adjustment previous year</v>
          </cell>
        </row>
        <row r="139">
          <cell r="K139" t="str">
            <v>4800/010Secondary tax on companies</v>
          </cell>
        </row>
        <row r="140">
          <cell r="K140" t="str">
            <v>4820/000DEFERRED TAX</v>
          </cell>
        </row>
        <row r="141">
          <cell r="K141" t="str">
            <v>4820/001Deferred tax this year</v>
          </cell>
        </row>
        <row r="142">
          <cell r="K142" t="str">
            <v>4820/002Deferred tax adjustment previous year</v>
          </cell>
        </row>
        <row r="143">
          <cell r="K143" t="str">
            <v>4850/000Dividends Declared</v>
          </cell>
        </row>
        <row r="144">
          <cell r="K144" t="str">
            <v>4860/000Dividends paid</v>
          </cell>
        </row>
        <row r="147">
          <cell r="K147">
            <v>0</v>
          </cell>
        </row>
        <row r="148">
          <cell r="K148" t="str">
            <v>5100/000SHARE CAPITAL</v>
          </cell>
        </row>
        <row r="149">
          <cell r="K149" t="str">
            <v>5100/001Share Capital - Balance b/fwd</v>
          </cell>
        </row>
        <row r="150">
          <cell r="K150" t="str">
            <v>5100/002Share Capital - Additions</v>
          </cell>
        </row>
        <row r="151">
          <cell r="K151" t="str">
            <v>5105/000MEMBERS' CONTRIBUTIONS</v>
          </cell>
        </row>
        <row r="152">
          <cell r="K152" t="str">
            <v>5105/001S J Renfield</v>
          </cell>
        </row>
        <row r="153">
          <cell r="K153" t="str">
            <v>5105/002H F D M Valentim</v>
          </cell>
        </row>
        <row r="154">
          <cell r="K154" t="str">
            <v>5105/003Member 3*******</v>
          </cell>
        </row>
        <row r="155">
          <cell r="K155" t="str">
            <v>5105/004Member 4*******</v>
          </cell>
        </row>
        <row r="156">
          <cell r="K156" t="str">
            <v>5110/000SHARE PREMIUM</v>
          </cell>
        </row>
        <row r="157">
          <cell r="K157" t="str">
            <v>5110/001Share premium - Balance b/fwd</v>
          </cell>
        </row>
        <row r="158">
          <cell r="K158" t="str">
            <v>5110/002Share premium - Additions</v>
          </cell>
        </row>
        <row r="159">
          <cell r="K159" t="str">
            <v>5110/003Share premium - transfer</v>
          </cell>
        </row>
        <row r="160">
          <cell r="K160" t="str">
            <v>5120/000VALUATION RESERVE</v>
          </cell>
        </row>
        <row r="161">
          <cell r="K161" t="str">
            <v>5120/001Valuation reserve - Balance b/fwd</v>
          </cell>
        </row>
        <row r="162">
          <cell r="K162" t="str">
            <v>5120/002Valuation reserve - Additions</v>
          </cell>
        </row>
        <row r="163">
          <cell r="K163" t="str">
            <v>5120/003Valuation reserve - transfer to p/l</v>
          </cell>
        </row>
        <row r="164">
          <cell r="K164" t="str">
            <v>5130/000OTHER RESERVES</v>
          </cell>
        </row>
        <row r="165">
          <cell r="K165" t="str">
            <v>5130/001Other reserves - Balance B/fwd</v>
          </cell>
        </row>
        <row r="166">
          <cell r="K166" t="str">
            <v>5130/002Other reserves - Additions</v>
          </cell>
        </row>
        <row r="167">
          <cell r="K167" t="str">
            <v>5130/003Other reserves - transfer</v>
          </cell>
        </row>
        <row r="168">
          <cell r="K168" t="str">
            <v>5200/000Retained Income / (Accumulated Loss)</v>
          </cell>
        </row>
        <row r="169">
          <cell r="K169" t="str">
            <v>5400/000SHAREHOLDERS' LOANS</v>
          </cell>
        </row>
        <row r="170">
          <cell r="K170" t="str">
            <v>5400/001Shareholder 1 *************</v>
          </cell>
        </row>
        <row r="171">
          <cell r="K171" t="str">
            <v>5400/002Shareholder 2 ***********</v>
          </cell>
        </row>
        <row r="172">
          <cell r="K172" t="str">
            <v>5400/003Shareholder 3 ***********</v>
          </cell>
        </row>
        <row r="173">
          <cell r="K173" t="str">
            <v>5400/004Shareholder 4 *********</v>
          </cell>
        </row>
        <row r="174">
          <cell r="K174" t="str">
            <v>5400/005Shareholder 5 *********</v>
          </cell>
        </row>
        <row r="175">
          <cell r="K175" t="str">
            <v>5420/000MEMBERS' LOANS</v>
          </cell>
        </row>
        <row r="176">
          <cell r="K176" t="str">
            <v>5420/010Member 1 - balance b/fwd</v>
          </cell>
        </row>
        <row r="177">
          <cell r="K177" t="str">
            <v>5420/011Member 1 - Advance/Repayment in year</v>
          </cell>
        </row>
        <row r="178">
          <cell r="K178" t="str">
            <v>5420/012Member 1 - Profits distributed</v>
          </cell>
        </row>
        <row r="179">
          <cell r="K179" t="str">
            <v>5420/020Member 2 - balance b/fwd</v>
          </cell>
        </row>
        <row r="180">
          <cell r="K180" t="str">
            <v>5420/021Member 2 - Advance/Repayment in year</v>
          </cell>
        </row>
        <row r="181">
          <cell r="K181" t="str">
            <v>5420/022Member 2 - Profits distributed</v>
          </cell>
        </row>
        <row r="182">
          <cell r="K182" t="str">
            <v>5420/030Member 3 - balance b/fwd</v>
          </cell>
        </row>
        <row r="183">
          <cell r="K183" t="str">
            <v>5420/031Member 3 - Advance/Repayment in year</v>
          </cell>
        </row>
        <row r="184">
          <cell r="K184" t="str">
            <v>5420/032Member 3 - Profits distributed</v>
          </cell>
        </row>
        <row r="185">
          <cell r="K185" t="str">
            <v>5420/040Member 4 - balance b/fwd</v>
          </cell>
        </row>
        <row r="186">
          <cell r="K186" t="str">
            <v>5420/041Member 4 - Advance/Repayment in year</v>
          </cell>
        </row>
        <row r="187">
          <cell r="K187" t="str">
            <v>5420/042Member 4 - Profits distributed</v>
          </cell>
        </row>
        <row r="188">
          <cell r="K188" t="str">
            <v>5450/000DIRECTORS' LOANS</v>
          </cell>
        </row>
        <row r="189">
          <cell r="K189" t="str">
            <v>5450/001Director 1 **********</v>
          </cell>
        </row>
        <row r="190">
          <cell r="K190" t="str">
            <v>5450/002Director 2 **********</v>
          </cell>
        </row>
        <row r="191">
          <cell r="K191" t="str">
            <v>5450/003Director 3 *************</v>
          </cell>
        </row>
        <row r="192">
          <cell r="K192" t="str">
            <v>5450/004Director 4 **************</v>
          </cell>
        </row>
        <row r="193">
          <cell r="K193" t="str">
            <v>5450/005Director 5 **********</v>
          </cell>
        </row>
        <row r="194">
          <cell r="K194" t="str">
            <v>5460/000BENEFICIARY LOANS</v>
          </cell>
        </row>
        <row r="195">
          <cell r="K195" t="str">
            <v>5460/001B/ficiary 1 - Balance B/fwd</v>
          </cell>
        </row>
        <row r="196">
          <cell r="K196" t="str">
            <v>5460/002B/ficiary 1 - Distribution in year</v>
          </cell>
        </row>
        <row r="197">
          <cell r="K197" t="str">
            <v>5460/005B/ficiary 2 - Balance B/fwd</v>
          </cell>
        </row>
        <row r="198">
          <cell r="K198" t="str">
            <v>5460/006B/ficiary 2 - Distribution in year</v>
          </cell>
        </row>
        <row r="199">
          <cell r="K199" t="str">
            <v>5460/010B/ficiary 3 - Balance B/fwd</v>
          </cell>
        </row>
        <row r="200">
          <cell r="K200" t="str">
            <v>5460/011B/ficiary 3 - Distribution in year</v>
          </cell>
        </row>
        <row r="201">
          <cell r="K201" t="str">
            <v>5460/015B/ficiary 4 - Balance B/fwd</v>
          </cell>
        </row>
        <row r="202">
          <cell r="K202" t="str">
            <v>5460/016B/ficiary 4 - Distribution in year</v>
          </cell>
        </row>
        <row r="203">
          <cell r="K203" t="str">
            <v>5460/015B/ficiary 5 - Balance B/fwd</v>
          </cell>
        </row>
        <row r="204">
          <cell r="K204" t="str">
            <v>5460/016B/ficiary 5 - Distribution in year</v>
          </cell>
        </row>
        <row r="205">
          <cell r="K205" t="str">
            <v>5500/000LONG TERM  INTEREST LIABILITIES</v>
          </cell>
        </row>
        <row r="206">
          <cell r="K206" t="str">
            <v>5500/001Loan 1 ***********</v>
          </cell>
        </row>
        <row r="207">
          <cell r="K207" t="str">
            <v>5500/002Loan 2 ***********</v>
          </cell>
        </row>
        <row r="208">
          <cell r="K208" t="str">
            <v>5500/003Loan 3 *********</v>
          </cell>
        </row>
        <row r="209">
          <cell r="K209" t="str">
            <v>5500/004Loan 4 **********</v>
          </cell>
        </row>
        <row r="210">
          <cell r="K210" t="str">
            <v>5500/005Loan 5 *********</v>
          </cell>
        </row>
        <row r="211">
          <cell r="K211" t="str">
            <v>5520/000Short term portion of long term loans</v>
          </cell>
        </row>
        <row r="212">
          <cell r="K212" t="str">
            <v>5550/000LONG TERM INTEREST FREE LOANS</v>
          </cell>
        </row>
        <row r="213">
          <cell r="K213" t="str">
            <v>5550/001J Millard</v>
          </cell>
        </row>
        <row r="214">
          <cell r="K214" t="str">
            <v>5550/002Interest free 2 ***********</v>
          </cell>
        </row>
        <row r="215">
          <cell r="K215" t="str">
            <v>5550/003Interest free 3 ***********</v>
          </cell>
        </row>
        <row r="216">
          <cell r="K216" t="str">
            <v>5550/004Interest free 4 **********</v>
          </cell>
        </row>
        <row r="217">
          <cell r="K217" t="str">
            <v>5550/005Interest free 5 *********</v>
          </cell>
        </row>
        <row r="218">
          <cell r="K218" t="str">
            <v>5600/000INSTALLMENT SALE CREDITORS</v>
          </cell>
        </row>
        <row r="219">
          <cell r="K219" t="str">
            <v>5600/001Wesbank</v>
          </cell>
        </row>
        <row r="220">
          <cell r="K220" t="str">
            <v>5600/002Installment sale 2 **************</v>
          </cell>
        </row>
        <row r="221">
          <cell r="K221" t="str">
            <v>5600/003Installment sale 3 **************</v>
          </cell>
        </row>
        <row r="222">
          <cell r="K222" t="str">
            <v>5600/004Installment sale 4 **************</v>
          </cell>
        </row>
        <row r="223">
          <cell r="K223" t="str">
            <v>5600/005Installment sale 5 **************</v>
          </cell>
        </row>
        <row r="224">
          <cell r="K224" t="str">
            <v>5700/000DEFERRED TAX</v>
          </cell>
        </row>
        <row r="225">
          <cell r="K225" t="str">
            <v>5700/010Deferred tax balance b/fwd</v>
          </cell>
        </row>
        <row r="226">
          <cell r="K226" t="str">
            <v>5700/011Deferred tax on depreciation for year</v>
          </cell>
        </row>
        <row r="227">
          <cell r="K227" t="str">
            <v>5700/012Deferred tax on tax loss for year</v>
          </cell>
        </row>
        <row r="228">
          <cell r="K228" t="str">
            <v>5700/013Deferred tax adjustment previous year</v>
          </cell>
        </row>
        <row r="229">
          <cell r="K229" t="str">
            <v>6100/000LAND &amp; BUILDINGS - COST</v>
          </cell>
        </row>
        <row r="230">
          <cell r="K230" t="str">
            <v>6100/001Land_Buildings - Cost B/fwd</v>
          </cell>
        </row>
        <row r="231">
          <cell r="K231" t="str">
            <v>6100/002Land_Buildings - Additions</v>
          </cell>
        </row>
        <row r="232">
          <cell r="K232" t="str">
            <v>6100/003Land_Buildings - Cost of sales</v>
          </cell>
        </row>
        <row r="233">
          <cell r="K233" t="str">
            <v>6100/020LAND &amp; BUILDINGS - ACC DEPR</v>
          </cell>
        </row>
        <row r="234">
          <cell r="K234" t="str">
            <v>6100/021Land &amp; Buildings - Acc depr B/fwd</v>
          </cell>
        </row>
        <row r="235">
          <cell r="K235" t="str">
            <v>6100/022Land &amp; Buildings - Acc depr this year</v>
          </cell>
        </row>
        <row r="236">
          <cell r="K236" t="str">
            <v>6100/023Land &amp; Buildings - Acc depr on sales</v>
          </cell>
        </row>
        <row r="237">
          <cell r="K237" t="str">
            <v>6150/000PLANT &amp; MACHINERY - COST</v>
          </cell>
        </row>
        <row r="238">
          <cell r="K238" t="str">
            <v>6150/001Plant &amp; machinery - cost b/fwd</v>
          </cell>
        </row>
        <row r="239">
          <cell r="K239" t="str">
            <v>6150/002Plant &amp; machinery - Additions</v>
          </cell>
        </row>
        <row r="240">
          <cell r="K240" t="str">
            <v>6150/003Plant &amp; machinery - Cost of sales</v>
          </cell>
        </row>
        <row r="241">
          <cell r="K241" t="str">
            <v>6150/020PLANT &amp; MACHINERY - ACC DEPR</v>
          </cell>
        </row>
        <row r="242">
          <cell r="K242" t="str">
            <v>6150/021Plant &amp; Machinery - Acc depr b/fwd</v>
          </cell>
        </row>
        <row r="243">
          <cell r="K243" t="str">
            <v>6150/022Plant &amp; machinery - depr this year</v>
          </cell>
        </row>
        <row r="244">
          <cell r="K244" t="str">
            <v>6150/023Plant &amp; machinery - acc depr on sales</v>
          </cell>
        </row>
        <row r="245">
          <cell r="K245" t="str">
            <v>6200/000MOTOR VEHICLES - COST</v>
          </cell>
        </row>
        <row r="246">
          <cell r="K246" t="str">
            <v>6200/001Motor Vehicles - Cost B/fwd</v>
          </cell>
        </row>
        <row r="247">
          <cell r="K247" t="str">
            <v>6200/002Motor Vehicles - Additions</v>
          </cell>
        </row>
        <row r="248">
          <cell r="K248" t="str">
            <v>6200/003Motor Vehicles - Cost of sales</v>
          </cell>
        </row>
        <row r="249">
          <cell r="K249" t="str">
            <v>6200/020MOTOR VEHICLES - ACC DEPR</v>
          </cell>
        </row>
        <row r="250">
          <cell r="K250" t="str">
            <v>6200/021Motor vehicles - Acc depr b/fwd</v>
          </cell>
        </row>
        <row r="251">
          <cell r="K251" t="str">
            <v>6200/022Motor vehicles - Depr this year</v>
          </cell>
        </row>
        <row r="252">
          <cell r="K252" t="str">
            <v>6200/023Motor vehicles - Acc depr on sales</v>
          </cell>
        </row>
        <row r="253">
          <cell r="K253" t="str">
            <v>6250/000ELECTRONIC EQUIPMENT - COST</v>
          </cell>
        </row>
        <row r="254">
          <cell r="K254" t="str">
            <v>6250/001Electronic equipment - Cost b/fwd</v>
          </cell>
        </row>
        <row r="255">
          <cell r="K255" t="str">
            <v>6250/002Electronic equipment - Additions</v>
          </cell>
        </row>
        <row r="256">
          <cell r="K256" t="str">
            <v>6250/003Electronic equipment - Cost of sales</v>
          </cell>
        </row>
        <row r="257">
          <cell r="K257" t="str">
            <v>6250/020ELECTRONIC EQUIPMENT - ACC DEPR</v>
          </cell>
        </row>
        <row r="258">
          <cell r="K258" t="str">
            <v>6250/021Electronic equipment - Acc depr B/fwd</v>
          </cell>
        </row>
        <row r="259">
          <cell r="K259" t="str">
            <v>6250/022Electronic equipment - Depr this year</v>
          </cell>
        </row>
        <row r="260">
          <cell r="K260" t="str">
            <v>6250/023Electronic equipment - Acc depr on sales</v>
          </cell>
        </row>
        <row r="261">
          <cell r="K261" t="str">
            <v>6300/000OFFICE EQUIPMENT - COST</v>
          </cell>
        </row>
        <row r="262">
          <cell r="K262" t="str">
            <v>6300/001Office Equipment - Cost B/fwd</v>
          </cell>
        </row>
        <row r="263">
          <cell r="K263" t="str">
            <v>6300/002Office Equipment - Additions</v>
          </cell>
        </row>
        <row r="264">
          <cell r="K264" t="str">
            <v>6300/003Office Equipment - Cost of sales</v>
          </cell>
        </row>
        <row r="265">
          <cell r="K265" t="str">
            <v>6300/020OFFICE EQUIPMENT - ACC DEPR</v>
          </cell>
        </row>
        <row r="266">
          <cell r="K266" t="str">
            <v>6300/021Office equipment - Acc depr B/fwd</v>
          </cell>
        </row>
        <row r="267">
          <cell r="K267" t="str">
            <v>6300/022Office equipment - Depr this year</v>
          </cell>
        </row>
        <row r="268">
          <cell r="K268" t="str">
            <v>6300/023Office equipment - Acc depr on sales</v>
          </cell>
        </row>
        <row r="269">
          <cell r="K269" t="str">
            <v>6350/000FURNITURE &amp; FITTINGS - COST</v>
          </cell>
        </row>
        <row r="270">
          <cell r="K270" t="str">
            <v>6350/001Furniture &amp; fittings - Cost B/fwd</v>
          </cell>
        </row>
        <row r="271">
          <cell r="K271" t="str">
            <v>6350/002Furniture &amp; fittings - Additions</v>
          </cell>
        </row>
        <row r="272">
          <cell r="K272" t="str">
            <v>6350/003Furniture &amp; fittings - Cost of sales</v>
          </cell>
        </row>
        <row r="273">
          <cell r="K273" t="str">
            <v>6350/020FURNITURE &amp; FITTINGS - ACC DEPR</v>
          </cell>
        </row>
        <row r="274">
          <cell r="K274" t="str">
            <v>6350/021Furniture &amp; fittings - Acc depr B/fwd</v>
          </cell>
        </row>
        <row r="275">
          <cell r="K275" t="str">
            <v>6350/022Furniture &amp; fittings - Depr this year</v>
          </cell>
        </row>
        <row r="276">
          <cell r="K276" t="str">
            <v>6350/023Furniture &amp; fittings - Acc depr on sales</v>
          </cell>
        </row>
        <row r="277">
          <cell r="K277" t="str">
            <v>6600/000OTHER FIXED ASSETS  - COST</v>
          </cell>
        </row>
        <row r="278">
          <cell r="K278" t="str">
            <v>6600/001Other fixed assets - Cost B/fwd</v>
          </cell>
        </row>
        <row r="279">
          <cell r="K279" t="str">
            <v>6600/002Other fixed assets - Additions</v>
          </cell>
        </row>
        <row r="280">
          <cell r="K280" t="str">
            <v>6600/003Other fixed assets - Cost of sales</v>
          </cell>
        </row>
        <row r="281">
          <cell r="K281" t="str">
            <v>6600/020OTHER FIXED ASSETS - ACC DEPR</v>
          </cell>
        </row>
        <row r="282">
          <cell r="K282" t="str">
            <v>6600/021Other fixed assets - Acc depr b/fwd</v>
          </cell>
        </row>
        <row r="283">
          <cell r="K283" t="str">
            <v>6600/022Other fixed assets - Depr this year</v>
          </cell>
        </row>
        <row r="284">
          <cell r="K284" t="str">
            <v>6600/023Other fixed assets - Acc depr on sales</v>
          </cell>
        </row>
        <row r="285">
          <cell r="K285" t="str">
            <v>7000/000GOODWILL/INTANGIBLE ASSETS</v>
          </cell>
        </row>
        <row r="286">
          <cell r="K286" t="str">
            <v>7000/010Goodwill Cost</v>
          </cell>
        </row>
        <row r="287">
          <cell r="K287" t="str">
            <v>7000/015Goodwill - surplus on revaluation</v>
          </cell>
        </row>
        <row r="288">
          <cell r="K288" t="str">
            <v>7000/020Goodwill - write down this year</v>
          </cell>
        </row>
        <row r="289">
          <cell r="K289" t="str">
            <v>7000/025Goodwill - write down last year</v>
          </cell>
        </row>
        <row r="290">
          <cell r="K290" t="str">
            <v>7100/000INVESTMENTS</v>
          </cell>
        </row>
        <row r="291">
          <cell r="K291" t="str">
            <v>7100/100LISTED INVESTMENTS</v>
          </cell>
        </row>
        <row r="292">
          <cell r="K292" t="str">
            <v>7100/101Listed 1 ************</v>
          </cell>
        </row>
        <row r="293">
          <cell r="K293" t="str">
            <v>7100/102Listed 2 *************</v>
          </cell>
        </row>
        <row r="294">
          <cell r="K294" t="str">
            <v>7100/103Listed 3 ***************</v>
          </cell>
        </row>
        <row r="295">
          <cell r="K295" t="str">
            <v>7100/104Listed 4 ************</v>
          </cell>
        </row>
        <row r="296">
          <cell r="K296" t="str">
            <v>7100/105Listed 5 ************</v>
          </cell>
        </row>
        <row r="297">
          <cell r="K297" t="str">
            <v>7100/200OTHER INVESTMENTS</v>
          </cell>
        </row>
        <row r="298">
          <cell r="K298" t="str">
            <v>7100/201Other investment 1 ************</v>
          </cell>
        </row>
        <row r="299">
          <cell r="K299" t="str">
            <v>7100/202Other investment 2 ************</v>
          </cell>
        </row>
        <row r="300">
          <cell r="K300" t="str">
            <v>7100/203Other investment 3 ************</v>
          </cell>
        </row>
        <row r="301">
          <cell r="K301" t="str">
            <v>7100/204Other investment 4 ************</v>
          </cell>
        </row>
        <row r="302">
          <cell r="K302" t="str">
            <v>7100/205Other investment 5 *************</v>
          </cell>
        </row>
        <row r="303">
          <cell r="K303" t="str">
            <v>7200/000SHARES IN SUBSIDIARY COMPANIES</v>
          </cell>
        </row>
        <row r="304">
          <cell r="K304" t="str">
            <v>7200/001Subsidiary 1 ***********</v>
          </cell>
        </row>
        <row r="305">
          <cell r="K305" t="str">
            <v>7200/002Subsidiary 2 **************</v>
          </cell>
        </row>
        <row r="306">
          <cell r="K306" t="str">
            <v>7400/000LOANS SUBSIDIARY CO'S</v>
          </cell>
        </row>
        <row r="307">
          <cell r="K307" t="str">
            <v>7400/001Subsidiary 1 **********</v>
          </cell>
        </row>
        <row r="308">
          <cell r="K308" t="str">
            <v>7400/002Subsidiary 2 **********</v>
          </cell>
        </row>
        <row r="309">
          <cell r="K309" t="str">
            <v>7450/000CONNECTED COMPANIES</v>
          </cell>
        </row>
        <row r="310">
          <cell r="K310" t="str">
            <v>7450/001Connected co 1 **********</v>
          </cell>
        </row>
        <row r="311">
          <cell r="K311" t="str">
            <v>7450/002Connected co 2 **********</v>
          </cell>
        </row>
        <row r="312">
          <cell r="K312" t="str">
            <v>7450/003Connected co 3 **********</v>
          </cell>
        </row>
        <row r="313">
          <cell r="K313" t="str">
            <v>7450/004Connected co 4 ***********</v>
          </cell>
        </row>
        <row r="314">
          <cell r="K314" t="str">
            <v>7450/005Connected co 5 ***********</v>
          </cell>
        </row>
        <row r="315">
          <cell r="K315" t="str">
            <v>7460/000OTHER NON CURRENT RECEIVABLES</v>
          </cell>
        </row>
        <row r="316">
          <cell r="K316" t="str">
            <v>7460/001Interest free 1 ***********</v>
          </cell>
        </row>
        <row r="317">
          <cell r="K317" t="str">
            <v>7460/002Interest free 2 ***********</v>
          </cell>
        </row>
        <row r="318">
          <cell r="K318" t="str">
            <v>7460/003Interest free 3 ***********</v>
          </cell>
        </row>
        <row r="319">
          <cell r="K319" t="str">
            <v>7460/006Interest bearing 1 ***********</v>
          </cell>
        </row>
        <row r="320">
          <cell r="K320" t="str">
            <v>7460/007Interest bearing 2 ***********</v>
          </cell>
        </row>
        <row r="321">
          <cell r="K321" t="str">
            <v>7500/000INVENTORY</v>
          </cell>
        </row>
        <row r="322">
          <cell r="K322" t="str">
            <v>7500/001Raw materials</v>
          </cell>
        </row>
        <row r="323">
          <cell r="K323" t="str">
            <v>7500/002Work in progress</v>
          </cell>
        </row>
        <row r="324">
          <cell r="K324" t="str">
            <v>7500/003Finished goods</v>
          </cell>
        </row>
        <row r="325">
          <cell r="K325" t="str">
            <v>7500/004Trading stock</v>
          </cell>
        </row>
        <row r="326">
          <cell r="K326" t="str">
            <v>7700/000----------------------------------------</v>
          </cell>
        </row>
        <row r="327">
          <cell r="K327" t="str">
            <v>8000/000DEBTORS</v>
          </cell>
        </row>
        <row r="328">
          <cell r="K328" t="str">
            <v>8010/000Trade debtors</v>
          </cell>
        </row>
        <row r="329">
          <cell r="K329" t="str">
            <v>8020/000Service deposits</v>
          </cell>
        </row>
        <row r="330">
          <cell r="K330" t="str">
            <v>8050/000Less: Provision For Doubtful Debts</v>
          </cell>
        </row>
        <row r="331">
          <cell r="K331" t="str">
            <v>8100/000----------------------------------------</v>
          </cell>
        </row>
        <row r="332">
          <cell r="K332" t="str">
            <v>8200/000Sundry Customers</v>
          </cell>
        </row>
        <row r="333">
          <cell r="K333" t="str">
            <v>8200/010Prepayments</v>
          </cell>
        </row>
        <row r="334">
          <cell r="K334" t="str">
            <v>8200/020Staff Loans</v>
          </cell>
        </row>
        <row r="335">
          <cell r="K335" t="str">
            <v>8400/000BANK ACCOUNTS</v>
          </cell>
        </row>
        <row r="336">
          <cell r="K336" t="str">
            <v>8410/000First National Bank</v>
          </cell>
        </row>
        <row r="337">
          <cell r="K337" t="str">
            <v>8420/000Bank account 2 **********</v>
          </cell>
        </row>
        <row r="338">
          <cell r="K338" t="str">
            <v>8430/000Bank account 3 **********</v>
          </cell>
        </row>
        <row r="339">
          <cell r="K339" t="str">
            <v>8440/000Bank account 4 **********</v>
          </cell>
        </row>
        <row r="340">
          <cell r="K340" t="str">
            <v>8450/000Bank account 5 **********</v>
          </cell>
        </row>
        <row r="341">
          <cell r="K341" t="str">
            <v>8460/000Bank account 6 ***********</v>
          </cell>
        </row>
        <row r="342">
          <cell r="K342" t="str">
            <v>8500/000Cash on hand</v>
          </cell>
        </row>
        <row r="343">
          <cell r="K343" t="str">
            <v>8550/000Petty Cash</v>
          </cell>
        </row>
        <row r="344">
          <cell r="K344" t="str">
            <v>8900/000SHORT TERM LOANS</v>
          </cell>
        </row>
        <row r="345">
          <cell r="K345" t="str">
            <v>8900/001Short term 1 *******</v>
          </cell>
        </row>
        <row r="346">
          <cell r="K346" t="str">
            <v>8900/002Short term 2 *******</v>
          </cell>
        </row>
        <row r="347">
          <cell r="K347" t="str">
            <v>8900/003Short term 3 *********</v>
          </cell>
        </row>
        <row r="348">
          <cell r="K348" t="str">
            <v>8900/004Short term portion of long term loans</v>
          </cell>
        </row>
        <row r="349">
          <cell r="K349" t="str">
            <v>9000/000CREDITORS</v>
          </cell>
        </row>
        <row r="350">
          <cell r="K350" t="str">
            <v>9010/000Trade creditors</v>
          </cell>
        </row>
        <row r="351">
          <cell r="K351" t="str">
            <v>9100/000----------------------------------------</v>
          </cell>
        </row>
        <row r="352">
          <cell r="K352" t="str">
            <v>9200/000Sundry Suppliers</v>
          </cell>
        </row>
        <row r="353">
          <cell r="K353" t="str">
            <v>9200/010Accounting / Audit Fee Accrual</v>
          </cell>
        </row>
        <row r="354">
          <cell r="K354" t="str">
            <v>9200/020Other Accruals</v>
          </cell>
        </row>
        <row r="355">
          <cell r="K355" t="str">
            <v>9250/000Salary &amp; Wages Control</v>
          </cell>
        </row>
        <row r="356">
          <cell r="K356" t="str">
            <v>9300/000TAXATION</v>
          </cell>
        </row>
        <row r="357">
          <cell r="K357" t="str">
            <v>9300/010Balance b/fwd</v>
          </cell>
        </row>
        <row r="358">
          <cell r="K358" t="str">
            <v>9300/020Tax provision this year</v>
          </cell>
        </row>
        <row r="359">
          <cell r="K359" t="str">
            <v>9300/030Over-/Underprovision previous year</v>
          </cell>
        </row>
        <row r="360">
          <cell r="K360" t="str">
            <v>9300/040Tax paid for previous year provisions</v>
          </cell>
        </row>
        <row r="361">
          <cell r="K361" t="str">
            <v>9300/0501st Provisional Paid</v>
          </cell>
        </row>
        <row r="362">
          <cell r="K362" t="str">
            <v>9300/0602nd Provisional Paid</v>
          </cell>
        </row>
        <row r="363">
          <cell r="K363" t="str">
            <v>9300/0703rd Provisional paid</v>
          </cell>
        </row>
        <row r="364">
          <cell r="K364" t="str">
            <v>9300/080STC paid for last year provision</v>
          </cell>
        </row>
        <row r="365">
          <cell r="K365" t="str">
            <v>9300/090STC Provision this year</v>
          </cell>
        </row>
        <row r="366">
          <cell r="K366" t="str">
            <v>9300/100Tax paid on Foreign Dividends</v>
          </cell>
        </row>
        <row r="367">
          <cell r="K367" t="str">
            <v>9350/000Dividends Payable</v>
          </cell>
        </row>
        <row r="368">
          <cell r="K368" t="str">
            <v>9400/000Provision for Future Expenses</v>
          </cell>
        </row>
        <row r="369">
          <cell r="K369" t="str">
            <v>9400/010Provision for Insurance</v>
          </cell>
        </row>
        <row r="370">
          <cell r="K370" t="str">
            <v>9400/020Provision for Salary Bonus</v>
          </cell>
        </row>
        <row r="371">
          <cell r="K371" t="str">
            <v>9500/000VALUE ADDED TAX</v>
          </cell>
        </row>
        <row r="372">
          <cell r="K372" t="str">
            <v>9501/000VAT account</v>
          </cell>
        </row>
        <row r="373">
          <cell r="K373" t="str">
            <v>9510/000----------------------------------------</v>
          </cell>
        </row>
        <row r="374">
          <cell r="K374" t="str">
            <v>9990/000Opening Balance / Suspense Account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ceptionReport"/>
      <sheetName val="TrialBalance"/>
      <sheetName val="Criteria"/>
      <sheetName val="SUMMARY2"/>
      <sheetName val="Journals"/>
      <sheetName val="VAT"/>
      <sheetName val="VAT (Jan)"/>
      <sheetName val="FixAssetsRegister"/>
      <sheetName val="Bankrecon"/>
      <sheetName val="StateENG"/>
      <sheetName val="StateENGFinal"/>
      <sheetName val="HPLead"/>
      <sheetName val="HP1"/>
      <sheetName val="HP1 (3)"/>
      <sheetName val="HP1 (4)"/>
      <sheetName val="DefTax"/>
      <sheetName val="Analities1"/>
      <sheetName val="Analities2"/>
      <sheetName val="SUMMARY"/>
      <sheetName val="OBalanse"/>
      <sheetName val="StateENG (2)"/>
      <sheetName val="HP1 (8)"/>
      <sheetName val="TaxFixAssetsRegister"/>
      <sheetName val="Notas1"/>
      <sheetName val="StateAFR"/>
      <sheetName val="NotulesAFR"/>
      <sheetName val="NotulesENG"/>
      <sheetName val="Notas2"/>
      <sheetName val="Notas3"/>
      <sheetName val="Ouditverskille"/>
      <sheetName val="FixAssets"/>
      <sheetName val="Goodwill"/>
      <sheetName val="Investments"/>
      <sheetName val="NonCurR"/>
      <sheetName val="Inventory"/>
      <sheetName val="Receivables"/>
      <sheetName val="CashBank"/>
      <sheetName val="bank2"/>
      <sheetName val="ShareCap"/>
      <sheetName val="Shareprem"/>
      <sheetName val="Reserves"/>
      <sheetName val="InterestBor"/>
      <sheetName val="HP2 (2)"/>
      <sheetName val="HP2"/>
      <sheetName val="InterestFree"/>
      <sheetName val="Creditors"/>
      <sheetName val="ShortLOans"/>
      <sheetName val="Tax"/>
      <sheetName val="Index"/>
      <sheetName val="Sales"/>
      <sheetName val="VAT_(Jan)"/>
      <sheetName val="HP1_(3)"/>
      <sheetName val="HP1_(4)"/>
      <sheetName val="StateENG_(2)"/>
      <sheetName val="HP1_(8)"/>
      <sheetName val="HP2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fseasy.co.za/" TargetMode="External"/><Relationship Id="rId1" Type="http://schemas.openxmlformats.org/officeDocument/2006/relationships/hyperlink" Target="mailto:support@fseasy.co.za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mailto:-@sum(TrialBalance!A119:A125" TargetMode="External"/><Relationship Id="rId18" Type="http://schemas.openxmlformats.org/officeDocument/2006/relationships/hyperlink" Target="mailto:=@IF(U501+V501=1,%22GROSS%20PROFIT/(LOSS)%22,IF((U501+V501=2),%22GROSS%20PROFIT%22,%22GROSS%20LOSS%22))" TargetMode="External"/><Relationship Id="rId26" Type="http://schemas.openxmlformats.org/officeDocument/2006/relationships/hyperlink" Target="mailto:=@IF(U501+V501=1,%22GROSS%20PROFIT/(LOSS)%22,IF((U501+V501=2),%22GROSS%20PROFIT%22,%22GROSS%20LOSS%22))" TargetMode="External"/><Relationship Id="rId39" Type="http://schemas.openxmlformats.org/officeDocument/2006/relationships/hyperlink" Target="mailto:=@IF(U501+V501=1,%22GROSS%20PROFIT/(LOSS)%22,IF((U501+V501=2),%22GROSS%20PROFIT%22,%22GROSS%20LOSS%22))" TargetMode="External"/><Relationship Id="rId21" Type="http://schemas.openxmlformats.org/officeDocument/2006/relationships/hyperlink" Target="mailto:=@IF(U501+V501=1,%22GROSS%20PROFIT/(LOSS)%22,IF((U501+V501=2),%22GROSS%20PROFIT%22,%22GROSS%20LOSS%22))" TargetMode="External"/><Relationship Id="rId34" Type="http://schemas.openxmlformats.org/officeDocument/2006/relationships/hyperlink" Target="mailto:=@IF(U501+V501=1,%22GROSS%20PROFIT/(LOSS)%22,IF((U501+V501=2),%22GROSS%20PROFIT%22,%22GROSS%20LOSS%22))" TargetMode="External"/><Relationship Id="rId42" Type="http://schemas.openxmlformats.org/officeDocument/2006/relationships/hyperlink" Target="mailto:=@IF(U501+V501=1,%22GROSS%20PROFIT/(LOSS)%22,IF((U501+V501=2),%22GROSS%20PROFIT%22,%22GROSS%20LOSS%22))" TargetMode="External"/><Relationship Id="rId47" Type="http://schemas.openxmlformats.org/officeDocument/2006/relationships/hyperlink" Target="mailto:=@IF(U501+V501=1,%22GROSS%20PROFIT/(LOSS)%22,IF((U501+V501=2),%22GROSS%20PROFIT%22,%22GROSS%20LOSS%22))" TargetMode="External"/><Relationship Id="rId50" Type="http://schemas.openxmlformats.org/officeDocument/2006/relationships/hyperlink" Target="mailto:=@IF(U501+V501=1,%22GROSS%20PROFIT/(LOSS)%22,IF((U501+V501=2),%22GROSS%20PROFIT%22,%22GROSS%20LOSS%22))" TargetMode="External"/><Relationship Id="rId55" Type="http://schemas.openxmlformats.org/officeDocument/2006/relationships/hyperlink" Target="mailto:=@IF(U501+V501=1,%22GROSS%20PROFIT/(LOSS)%22,IF((U501+V501=2),%22GROSS%20PROFIT%22,%22GROSS%20LOSS%22))" TargetMode="External"/><Relationship Id="rId7" Type="http://schemas.openxmlformats.org/officeDocument/2006/relationships/hyperlink" Target="mailto:=@IF(U501+V501=1,%22GROSS%20PROFIT/(LOSS)%22,IF((U501+V501=2),%22GROSS%20PROFIT%22,%22GROSS%20LOSS%22))" TargetMode="External"/><Relationship Id="rId2" Type="http://schemas.openxmlformats.org/officeDocument/2006/relationships/hyperlink" Target="mailto:=@IF(U501+V501=1,%22GROSS%20PROFIT/(LOSS)%22,IF((U501+V501=2),%22GROSS%20PROFIT%22,%22GROSS%20LOSS%22))" TargetMode="External"/><Relationship Id="rId16" Type="http://schemas.openxmlformats.org/officeDocument/2006/relationships/hyperlink" Target="mailto:=@IF(U501+V501=1,%22GROSS%20PROFIT/(LOSS)%22,IF((U501+V501=2),%22GROSS%20PROFIT%22,%22GROSS%20LOSS%22))" TargetMode="External"/><Relationship Id="rId29" Type="http://schemas.openxmlformats.org/officeDocument/2006/relationships/hyperlink" Target="mailto:=@IF(U501+V501=1,%22GROSS%20PROFIT/(LOSS)%22,IF((U501+V501=2),%22GROSS%20PROFIT%22,%22GROSS%20LOSS%22))" TargetMode="External"/><Relationship Id="rId11" Type="http://schemas.openxmlformats.org/officeDocument/2006/relationships/hyperlink" Target="mailto:-TrialBalance!A146-@sum(TrialBalance!A5:A127)" TargetMode="External"/><Relationship Id="rId24" Type="http://schemas.openxmlformats.org/officeDocument/2006/relationships/hyperlink" Target="mailto:=@IF(U501+V501=1,%22GROSS%20PROFIT/(LOSS)%22,IF((U501+V501=2),%22GROSS%20PROFIT%22,%22GROSS%20LOSS%22))" TargetMode="External"/><Relationship Id="rId32" Type="http://schemas.openxmlformats.org/officeDocument/2006/relationships/hyperlink" Target="mailto:=@IF(U501+V501=1,%22GROSS%20PROFIT/(LOSS)%22,IF((U501+V501=2),%22GROSS%20PROFIT%22,%22GROSS%20LOSS%22))" TargetMode="External"/><Relationship Id="rId37" Type="http://schemas.openxmlformats.org/officeDocument/2006/relationships/hyperlink" Target="mailto:=@IF(U501+V501=1,%22GROSS%20PROFIT/(LOSS)%22,IF((U501+V501=2),%22GROSS%20PROFIT%22,%22GROSS%20LOSS%22))" TargetMode="External"/><Relationship Id="rId40" Type="http://schemas.openxmlformats.org/officeDocument/2006/relationships/hyperlink" Target="mailto:=@IF(U501+V501=1,%22GROSS%20PROFIT/(LOSS)%22,IF((U501+V501=2),%22GROSS%20PROFIT%22,%22GROSS%20LOSS%22))" TargetMode="External"/><Relationship Id="rId45" Type="http://schemas.openxmlformats.org/officeDocument/2006/relationships/hyperlink" Target="mailto:=@IF(U501+V501=1,%22GROSS%20PROFIT/(LOSS)%22,IF((U501+V501=2),%22GROSS%20PROFIT%22,%22GROSS%20LOSS%22))" TargetMode="External"/><Relationship Id="rId53" Type="http://schemas.openxmlformats.org/officeDocument/2006/relationships/hyperlink" Target="mailto:=@IF(U501+V501=1,%22GROSS%20PROFIT/(LOSS)%22,IF((U501+V501=2),%22GROSS%20PROFIT%22,%22GROSS%20LOSS%22))" TargetMode="External"/><Relationship Id="rId58" Type="http://schemas.openxmlformats.org/officeDocument/2006/relationships/image" Target="../media/image2.jpeg"/><Relationship Id="rId5" Type="http://schemas.openxmlformats.org/officeDocument/2006/relationships/hyperlink" Target="mailto:=@IF(U501+V501=1,%22GROSS%20PROFIT/(LOSS)%22,IF((U501+V501=2),%22GROSS%20PROFIT%22,%22GROSS%20LOSS%22))" TargetMode="External"/><Relationship Id="rId19" Type="http://schemas.openxmlformats.org/officeDocument/2006/relationships/hyperlink" Target="mailto:=@IF(U501+V501=1,%22GROSS%20PROFIT/(LOSS)%22,IF((U501+V501=2),%22GROSS%20PROFIT%22,%22GROSS%20LOSS%22))" TargetMode="External"/><Relationship Id="rId4" Type="http://schemas.openxmlformats.org/officeDocument/2006/relationships/hyperlink" Target="mailto:=@IF(U501+V501=1,%22GROSS%20PROFIT/(LOSS)%22,IF((U501+V501=2),%22GROSS%20PROFIT%22,%22GROSS%20LOSS%22))" TargetMode="External"/><Relationship Id="rId9" Type="http://schemas.openxmlformats.org/officeDocument/2006/relationships/hyperlink" Target="mailto:=@IF(U501+V501=1,%22GROSS%20PROFIT/(LOSS)%22,IF((U501+V501=2),%22GROSS%20PROFIT%22,%22GROSS%20LOSS%22))" TargetMode="External"/><Relationship Id="rId14" Type="http://schemas.openxmlformats.org/officeDocument/2006/relationships/hyperlink" Target="mailto:=@IF(U501+V501=1,%22GROSS%20PROFIT/(LOSS)%22,IF((U501+V501=2),%22GROSS%20PROFIT%22,%22GROSS%20LOSS%22))" TargetMode="External"/><Relationship Id="rId22" Type="http://schemas.openxmlformats.org/officeDocument/2006/relationships/hyperlink" Target="mailto:=@IF(U501+V501=1,%22GROSS%20PROFIT/(LOSS)%22,IF((U501+V501=2),%22GROSS%20PROFIT%22,%22GROSS%20LOSS%22))" TargetMode="External"/><Relationship Id="rId27" Type="http://schemas.openxmlformats.org/officeDocument/2006/relationships/hyperlink" Target="mailto:=@IF(U501+V501=1,%22GROSS%20PROFIT/(LOSS)%22,IF((U501+V501=2),%22GROSS%20PROFIT%22,%22GROSS%20LOSS%22))" TargetMode="External"/><Relationship Id="rId30" Type="http://schemas.openxmlformats.org/officeDocument/2006/relationships/hyperlink" Target="mailto:=@IF(U501+V501=1,%22GROSS%20PROFIT/(LOSS)%22,IF((U501+V501=2),%22GROSS%20PROFIT%22,%22GROSS%20LOSS%22))" TargetMode="External"/><Relationship Id="rId35" Type="http://schemas.openxmlformats.org/officeDocument/2006/relationships/hyperlink" Target="mailto:=@IF(U501+V501=1,%22GROSS%20PROFIT/(LOSS)%22,IF((U501+V501=2),%22GROSS%20PROFIT%22,%22GROSS%20LOSS%22))" TargetMode="External"/><Relationship Id="rId43" Type="http://schemas.openxmlformats.org/officeDocument/2006/relationships/hyperlink" Target="mailto:=@IF(U501+V501=1,%22GROSS%20PROFIT/(LOSS)%22,IF((U501+V501=2),%22GROSS%20PROFIT%22,%22GROSS%20LOSS%22))" TargetMode="External"/><Relationship Id="rId48" Type="http://schemas.openxmlformats.org/officeDocument/2006/relationships/hyperlink" Target="mailto:=@IF(U501+V501=1,%22GROSS%20PROFIT/(LOSS)%22,IF((U501+V501=2),%22GROSS%20PROFIT%22,%22GROSS%20LOSS%22))" TargetMode="External"/><Relationship Id="rId56" Type="http://schemas.openxmlformats.org/officeDocument/2006/relationships/printerSettings" Target="../printerSettings/printerSettings2.bin"/><Relationship Id="rId8" Type="http://schemas.openxmlformats.org/officeDocument/2006/relationships/hyperlink" Target="mailto:=@IF(U501+V501=1,%22GROSS%20PROFIT/(LOSS)%22,IF((U501+V501=2),%22GROSS%20PROFIT%22,%22GROSS%20LOSS%22))" TargetMode="External"/><Relationship Id="rId51" Type="http://schemas.openxmlformats.org/officeDocument/2006/relationships/hyperlink" Target="mailto:=@IF(U501+V501=1,%22GROSS%20PROFIT/(LOSS)%22,IF((U501+V501=2),%22GROSS%20PROFIT%22,%22GROSS%20LOSS%22))" TargetMode="External"/><Relationship Id="rId3" Type="http://schemas.openxmlformats.org/officeDocument/2006/relationships/hyperlink" Target="mailto:=@IF(U501+V501=1,%22GROSS%20PROFIT/(LOSS)%22,IF((U501+V501=2),%22GROSS%20PROFIT%22,%22GROSS%20LOSS%22))" TargetMode="External"/><Relationship Id="rId12" Type="http://schemas.openxmlformats.org/officeDocument/2006/relationships/hyperlink" Target="mailto:-@sum(TrialBalance!A119:A125" TargetMode="External"/><Relationship Id="rId17" Type="http://schemas.openxmlformats.org/officeDocument/2006/relationships/hyperlink" Target="mailto:=@IF(U501+V501=1,%22GROSS%20PROFIT/(LOSS)%22,IF((U501+V501=2),%22GROSS%20PROFIT%22,%22GROSS%20LOSS%22))" TargetMode="External"/><Relationship Id="rId25" Type="http://schemas.openxmlformats.org/officeDocument/2006/relationships/hyperlink" Target="mailto:=@IF(U501+V501=1,%22GROSS%20PROFIT/(LOSS)%22,IF((U501+V501=2),%22GROSS%20PROFIT%22,%22GROSS%20LOSS%22))" TargetMode="External"/><Relationship Id="rId33" Type="http://schemas.openxmlformats.org/officeDocument/2006/relationships/hyperlink" Target="mailto:=@IF(U501+V501=1,%22GROSS%20PROFIT/(LOSS)%22,IF((U501+V501=2),%22GROSS%20PROFIT%22,%22GROSS%20LOSS%22))" TargetMode="External"/><Relationship Id="rId38" Type="http://schemas.openxmlformats.org/officeDocument/2006/relationships/hyperlink" Target="mailto:=@IF(U501+V501=1,%22GROSS%20PROFIT/(LOSS)%22,IF((U501+V501=2),%22GROSS%20PROFIT%22,%22GROSS%20LOSS%22))" TargetMode="External"/><Relationship Id="rId46" Type="http://schemas.openxmlformats.org/officeDocument/2006/relationships/hyperlink" Target="mailto:=@IF(U501+V501=1,%22GROSS%20PROFIT/(LOSS)%22,IF((U501+V501=2),%22GROSS%20PROFIT%22,%22GROSS%20LOSS%22))" TargetMode="External"/><Relationship Id="rId20" Type="http://schemas.openxmlformats.org/officeDocument/2006/relationships/hyperlink" Target="mailto:=@IF(U501+V501=1,%22GROSS%20PROFIT/(LOSS)%22,IF((U501+V501=2),%22GROSS%20PROFIT%22,%22GROSS%20LOSS%22))" TargetMode="External"/><Relationship Id="rId41" Type="http://schemas.openxmlformats.org/officeDocument/2006/relationships/hyperlink" Target="mailto:=@IF(U501+V501=1,%22GROSS%20PROFIT/(LOSS)%22,IF((U501+V501=2),%22GROSS%20PROFIT%22,%22GROSS%20LOSS%22))" TargetMode="External"/><Relationship Id="rId54" Type="http://schemas.openxmlformats.org/officeDocument/2006/relationships/hyperlink" Target="mailto:=@IF(U501+V501=1,%22GROSS%20PROFIT/(LOSS)%22,IF((U501+V501=2),%22GROSS%20PROFIT%22,%22GROSS%20LOSS%22))" TargetMode="External"/><Relationship Id="rId1" Type="http://schemas.openxmlformats.org/officeDocument/2006/relationships/hyperlink" Target="mailto:-TrialBalance!A146-@sum(TrialBalance!A5:A127)" TargetMode="External"/><Relationship Id="rId6" Type="http://schemas.openxmlformats.org/officeDocument/2006/relationships/hyperlink" Target="mailto:=@IF(U501+V501=1,%22GROSS%20PROFIT/(LOSS)%22,IF((U501+V501=2),%22GROSS%20PROFIT%22,%22GROSS%20LOSS%22))" TargetMode="External"/><Relationship Id="rId15" Type="http://schemas.openxmlformats.org/officeDocument/2006/relationships/hyperlink" Target="mailto:=@IF(U501+V501=1,%22GROSS%20PROFIT/(LOSS)%22,IF((U501+V501=2),%22GROSS%20PROFIT%22,%22GROSS%20LOSS%22))" TargetMode="External"/><Relationship Id="rId23" Type="http://schemas.openxmlformats.org/officeDocument/2006/relationships/hyperlink" Target="mailto:=@IF(U501+V501=1,%22GROSS%20PROFIT/(LOSS)%22,IF((U501+V501=2),%22GROSS%20PROFIT%22,%22GROSS%20LOSS%22))" TargetMode="External"/><Relationship Id="rId28" Type="http://schemas.openxmlformats.org/officeDocument/2006/relationships/hyperlink" Target="mailto:=@IF(U501+V501=1,%22GROSS%20PROFIT/(LOSS)%22,IF((U501+V501=2),%22GROSS%20PROFIT%22,%22GROSS%20LOSS%22))" TargetMode="External"/><Relationship Id="rId36" Type="http://schemas.openxmlformats.org/officeDocument/2006/relationships/hyperlink" Target="mailto:=@IF(U501+V501=1,%22GROSS%20PROFIT/(LOSS)%22,IF((U501+V501=2),%22GROSS%20PROFIT%22,%22GROSS%20LOSS%22))" TargetMode="External"/><Relationship Id="rId49" Type="http://schemas.openxmlformats.org/officeDocument/2006/relationships/hyperlink" Target="mailto:=@IF(U501+V501=1,%22GROSS%20PROFIT/(LOSS)%22,IF((U501+V501=2),%22GROSS%20PROFIT%22,%22GROSS%20LOSS%22))" TargetMode="External"/><Relationship Id="rId57" Type="http://schemas.openxmlformats.org/officeDocument/2006/relationships/drawing" Target="../drawings/drawing2.xml"/><Relationship Id="rId10" Type="http://schemas.openxmlformats.org/officeDocument/2006/relationships/hyperlink" Target="mailto:=@IF(U501+V501=1,%22GROSS%20PROFIT/(LOSS)%22,IF((U501+V501=2),%22GROSS%20PROFIT%22,%22GROSS%20LOSS%22))" TargetMode="External"/><Relationship Id="rId31" Type="http://schemas.openxmlformats.org/officeDocument/2006/relationships/hyperlink" Target="mailto:=@IF(U501+V501=1,%22GROSS%20PROFIT/(LOSS)%22,IF((U501+V501=2),%22GROSS%20PROFIT%22,%22GROSS%20LOSS%22))" TargetMode="External"/><Relationship Id="rId44" Type="http://schemas.openxmlformats.org/officeDocument/2006/relationships/hyperlink" Target="mailto:=@IF(U501+V501=1,%22GROSS%20PROFIT/(LOSS)%22,IF((U501+V501=2),%22GROSS%20PROFIT%22,%22GROSS%20LOSS%22))" TargetMode="External"/><Relationship Id="rId52" Type="http://schemas.openxmlformats.org/officeDocument/2006/relationships/hyperlink" Target="mailto:=@IF(U501+V501=1,%22GROSS%20PROFIT/(LOSS)%22,IF((U501+V501=2),%22GROSS%20PROFIT%22,%22GROSS%20LOSS%22))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fseasy.co.za/" TargetMode="External"/><Relationship Id="rId1" Type="http://schemas.openxmlformats.org/officeDocument/2006/relationships/hyperlink" Target="mailto:support@fseasy.co.za" TargetMode="Externa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mailto:=@IF(U501+V501=1,%22GROSS%20PROFIT/(LOSS)%22,IF((U501+V501=2),%22GROSS%20PROFIT%22,%22GROSS%20LOSS%22))" TargetMode="External"/><Relationship Id="rId18" Type="http://schemas.openxmlformats.org/officeDocument/2006/relationships/hyperlink" Target="mailto:=@IF(U501+V501=1,%22GROSS%20PROFIT/(LOSS)%22,IF((U501+V501=2),%22GROSS%20PROFIT%22,%22GROSS%20LOSS%22))" TargetMode="External"/><Relationship Id="rId26" Type="http://schemas.openxmlformats.org/officeDocument/2006/relationships/hyperlink" Target="mailto:=@IF(U501+V501=1,%22GROSS%20PROFIT/(LOSS)%22,IF((U501+V501=2),%22GROSS%20PROFIT%22,%22GROSS%20LOSS%22))" TargetMode="External"/><Relationship Id="rId39" Type="http://schemas.openxmlformats.org/officeDocument/2006/relationships/printerSettings" Target="../printerSettings/printerSettings4.bin"/><Relationship Id="rId21" Type="http://schemas.openxmlformats.org/officeDocument/2006/relationships/hyperlink" Target="mailto:=@IF(U501+V501=1,%22GROSS%20PROFIT/(LOSS)%22,IF((U501+V501=2),%22GROSS%20PROFIT%22,%22GROSS%20LOSS%22))" TargetMode="External"/><Relationship Id="rId34" Type="http://schemas.openxmlformats.org/officeDocument/2006/relationships/hyperlink" Target="mailto:=@IF(U501+V501=1,%22GROSS%20PROFIT/(LOSS)%22,IF((U501+V501=2),%22GROSS%20PROFIT%22,%22GROSS%20LOSS%22))" TargetMode="External"/><Relationship Id="rId7" Type="http://schemas.openxmlformats.org/officeDocument/2006/relationships/hyperlink" Target="mailto:=@IF(U501+V501=1,%22GROSS%20PROFIT/(LOSS)%22,IF((U501+V501=2),%22GROSS%20PROFIT%22,%22GROSS%20LOSS%22))" TargetMode="External"/><Relationship Id="rId2" Type="http://schemas.openxmlformats.org/officeDocument/2006/relationships/hyperlink" Target="mailto:=@IF(U501+V501=1,%22GROSS%20PROFIT/(LOSS)%22,IF((U501+V501=2),%22GROSS%20PROFIT%22,%22GROSS%20LOSS%22))" TargetMode="External"/><Relationship Id="rId16" Type="http://schemas.openxmlformats.org/officeDocument/2006/relationships/hyperlink" Target="mailto:=@IF(U501+V501=1,%22GROSS%20PROFIT/(LOSS)%22,IF((U501+V501=2),%22GROSS%20PROFIT%22,%22GROSS%20LOSS%22))" TargetMode="External"/><Relationship Id="rId20" Type="http://schemas.openxmlformats.org/officeDocument/2006/relationships/hyperlink" Target="mailto:=@IF(U501+V501=1,%22GROSS%20PROFIT/(LOSS)%22,IF((U501+V501=2),%22GROSS%20PROFIT%22,%22GROSS%20LOSS%22))" TargetMode="External"/><Relationship Id="rId29" Type="http://schemas.openxmlformats.org/officeDocument/2006/relationships/hyperlink" Target="mailto:=@IF(U501+V501=1,%22GROSS%20PROFIT/(LOSS)%22,IF((U501+V501=2),%22GROSS%20PROFIT%22,%22GROSS%20LOSS%22))" TargetMode="External"/><Relationship Id="rId41" Type="http://schemas.openxmlformats.org/officeDocument/2006/relationships/image" Target="../media/image5.png"/><Relationship Id="rId1" Type="http://schemas.openxmlformats.org/officeDocument/2006/relationships/hyperlink" Target="mailto:=@IF(U501+V501=1,%22GROSS%20PROFIT/(LOSS)%22,IF((U501+V501=2),%22GROSS%20PROFIT%22,%22GROSS%20LOSS%22))" TargetMode="External"/><Relationship Id="rId6" Type="http://schemas.openxmlformats.org/officeDocument/2006/relationships/hyperlink" Target="mailto:=@IF(U501+V501=1,%22GROSS%20PROFIT/(LOSS)%22,IF((U501+V501=2),%22GROSS%20PROFIT%22,%22GROSS%20LOSS%22))" TargetMode="External"/><Relationship Id="rId11" Type="http://schemas.openxmlformats.org/officeDocument/2006/relationships/hyperlink" Target="mailto:-@sum(TrialBalance!A119:A125" TargetMode="External"/><Relationship Id="rId24" Type="http://schemas.openxmlformats.org/officeDocument/2006/relationships/hyperlink" Target="mailto:=@IF(U501+V501=1,%22GROSS%20PROFIT/(LOSS)%22,IF((U501+V501=2),%22GROSS%20PROFIT%22,%22GROSS%20LOSS%22))" TargetMode="External"/><Relationship Id="rId32" Type="http://schemas.openxmlformats.org/officeDocument/2006/relationships/hyperlink" Target="mailto:=@IF(U501+V501=1,%22GROSS%20PROFIT/(LOSS)%22,IF((U501+V501=2),%22GROSS%20PROFIT%22,%22GROSS%20LOSS%22))" TargetMode="External"/><Relationship Id="rId37" Type="http://schemas.openxmlformats.org/officeDocument/2006/relationships/hyperlink" Target="mailto:=@IF(U501+V501=1,%22GROSS%20PROFIT/(LOSS)%22,IF((U501+V501=2),%22GROSS%20PROFIT%22,%22GROSS%20LOSS%22))" TargetMode="External"/><Relationship Id="rId40" Type="http://schemas.openxmlformats.org/officeDocument/2006/relationships/drawing" Target="../drawings/drawing3.xml"/><Relationship Id="rId5" Type="http://schemas.openxmlformats.org/officeDocument/2006/relationships/hyperlink" Target="mailto:=@IF(U501+V501=1,%22GROSS%20PROFIT/(LOSS)%22,IF((U501+V501=2),%22GROSS%20PROFIT%22,%22GROSS%20LOSS%22))" TargetMode="External"/><Relationship Id="rId15" Type="http://schemas.openxmlformats.org/officeDocument/2006/relationships/hyperlink" Target="mailto:=@IF(U501+V501=1,%22GROSS%20PROFIT/(LOSS)%22,IF((U501+V501=2),%22GROSS%20PROFIT%22,%22GROSS%20LOSS%22))" TargetMode="External"/><Relationship Id="rId23" Type="http://schemas.openxmlformats.org/officeDocument/2006/relationships/hyperlink" Target="mailto:=@IF(U501+V501=1,%22GROSS%20PROFIT/(LOSS)%22,IF((U501+V501=2),%22GROSS%20PROFIT%22,%22GROSS%20LOSS%22))" TargetMode="External"/><Relationship Id="rId28" Type="http://schemas.openxmlformats.org/officeDocument/2006/relationships/hyperlink" Target="mailto:=@IF(U501+V501=1,%22GROSS%20PROFIT/(LOSS)%22,IF((U501+V501=2),%22GROSS%20PROFIT%22,%22GROSS%20LOSS%22))" TargetMode="External"/><Relationship Id="rId36" Type="http://schemas.openxmlformats.org/officeDocument/2006/relationships/hyperlink" Target="mailto:=@IF(U501+V501=1,%22GROSS%20PROFIT/(LOSS)%22,IF((U501+V501=2),%22GROSS%20PROFIT%22,%22GROSS%20LOSS%22))" TargetMode="External"/><Relationship Id="rId10" Type="http://schemas.openxmlformats.org/officeDocument/2006/relationships/hyperlink" Target="mailto:-TrialBalance!A146-@sum(TrialBalance!A5:A127)" TargetMode="External"/><Relationship Id="rId19" Type="http://schemas.openxmlformats.org/officeDocument/2006/relationships/hyperlink" Target="mailto:=@IF(U501+V501=1,%22GROSS%20PROFIT/(LOSS)%22,IF((U501+V501=2),%22GROSS%20PROFIT%22,%22GROSS%20LOSS%22))" TargetMode="External"/><Relationship Id="rId31" Type="http://schemas.openxmlformats.org/officeDocument/2006/relationships/hyperlink" Target="mailto:=@IF(U501+V501=1,%22GROSS%20PROFIT/(LOSS)%22,IF((U501+V501=2),%22GROSS%20PROFIT%22,%22GROSS%20LOSS%22))" TargetMode="External"/><Relationship Id="rId4" Type="http://schemas.openxmlformats.org/officeDocument/2006/relationships/hyperlink" Target="mailto:=@IF(U501+V501=1,%22GROSS%20PROFIT/(LOSS)%22,IF((U501+V501=2),%22GROSS%20PROFIT%22,%22GROSS%20LOSS%22))" TargetMode="External"/><Relationship Id="rId9" Type="http://schemas.openxmlformats.org/officeDocument/2006/relationships/hyperlink" Target="mailto:=@IF(U501+V501=1,%22GROSS%20PROFIT/(LOSS)%22,IF((U501+V501=2),%22GROSS%20PROFIT%22,%22GROSS%20LOSS%22))" TargetMode="External"/><Relationship Id="rId14" Type="http://schemas.openxmlformats.org/officeDocument/2006/relationships/hyperlink" Target="mailto:=@IF(U501+V501=1,%22GROSS%20PROFIT/(LOSS)%22,IF((U501+V501=2),%22GROSS%20PROFIT%22,%22GROSS%20LOSS%22))" TargetMode="External"/><Relationship Id="rId22" Type="http://schemas.openxmlformats.org/officeDocument/2006/relationships/hyperlink" Target="mailto:=@IF(U501+V501=1,%22GROSS%20PROFIT/(LOSS)%22,IF((U501+V501=2),%22GROSS%20PROFIT%22,%22GROSS%20LOSS%22))" TargetMode="External"/><Relationship Id="rId27" Type="http://schemas.openxmlformats.org/officeDocument/2006/relationships/hyperlink" Target="mailto:=@IF(U501+V501=1,%22GROSS%20PROFIT/(LOSS)%22,IF((U501+V501=2),%22GROSS%20PROFIT%22,%22GROSS%20LOSS%22))" TargetMode="External"/><Relationship Id="rId30" Type="http://schemas.openxmlformats.org/officeDocument/2006/relationships/hyperlink" Target="mailto:=@IF(U501+V501=1,%22GROSS%20PROFIT/(LOSS)%22,IF((U501+V501=2),%22GROSS%20PROFIT%22,%22GROSS%20LOSS%22))" TargetMode="External"/><Relationship Id="rId35" Type="http://schemas.openxmlformats.org/officeDocument/2006/relationships/hyperlink" Target="mailto:=@IF(U501+V501=1,%22GROSS%20PROFIT/(LOSS)%22,IF((U501+V501=2),%22GROSS%20PROFIT%22,%22GROSS%20LOSS%22))" TargetMode="External"/><Relationship Id="rId8" Type="http://schemas.openxmlformats.org/officeDocument/2006/relationships/hyperlink" Target="mailto:=@IF(U501+V501=1,%22GROSS%20PROFIT/(LOSS)%22,IF((U501+V501=2),%22GROSS%20PROFIT%22,%22GROSS%20LOSS%22))" TargetMode="External"/><Relationship Id="rId3" Type="http://schemas.openxmlformats.org/officeDocument/2006/relationships/hyperlink" Target="mailto:=@IF(U501+V501=1,%22GROSS%20PROFIT/(LOSS)%22,IF((U501+V501=2),%22GROSS%20PROFIT%22,%22GROSS%20LOSS%22))" TargetMode="External"/><Relationship Id="rId12" Type="http://schemas.openxmlformats.org/officeDocument/2006/relationships/hyperlink" Target="mailto:=@IF(U501+V501=1,%22GROSS%20PROFIT/(LOSS)%22,IF((U501+V501=2),%22GROSS%20PROFIT%22,%22GROSS%20LOSS%22))" TargetMode="External"/><Relationship Id="rId17" Type="http://schemas.openxmlformats.org/officeDocument/2006/relationships/hyperlink" Target="mailto:=@IF(U501+V501=1,%22GROSS%20PROFIT/(LOSS)%22,IF((U501+V501=2),%22GROSS%20PROFIT%22,%22GROSS%20LOSS%22))" TargetMode="External"/><Relationship Id="rId25" Type="http://schemas.openxmlformats.org/officeDocument/2006/relationships/hyperlink" Target="mailto:=@IF(U501+V501=1,%22GROSS%20PROFIT/(LOSS)%22,IF((U501+V501=2),%22GROSS%20PROFIT%22,%22GROSS%20LOSS%22))" TargetMode="External"/><Relationship Id="rId33" Type="http://schemas.openxmlformats.org/officeDocument/2006/relationships/hyperlink" Target="mailto:=@IF(U501+V501=1,%22GROSS%20PROFIT/(LOSS)%22,IF((U501+V501=2),%22GROSS%20PROFIT%22,%22GROSS%20LOSS%22))" TargetMode="External"/><Relationship Id="rId38" Type="http://schemas.openxmlformats.org/officeDocument/2006/relationships/hyperlink" Target="mailto:=@IF(U501+V501=1,%22GROSS%20PROFIT/(LOSS)%22,IF((U501+V501=2),%22GROSS%20PROFIT%22,%22GROSS%20LOSS%22))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E6238-232E-4316-BFE4-8548D730274E}">
  <sheetPr>
    <pageSetUpPr fitToPage="1"/>
  </sheetPr>
  <dimension ref="B1:C182"/>
  <sheetViews>
    <sheetView tabSelected="1" workbookViewId="0">
      <selection activeCell="C6" sqref="C6"/>
    </sheetView>
  </sheetViews>
  <sheetFormatPr defaultRowHeight="15" x14ac:dyDescent="0.25"/>
  <cols>
    <col min="1" max="1" width="9.140625" style="270"/>
    <col min="2" max="2" width="5" style="270" customWidth="1"/>
    <col min="3" max="3" width="91" style="270" bestFit="1" customWidth="1"/>
    <col min="4" max="16384" width="9.140625" style="270"/>
  </cols>
  <sheetData>
    <row r="1" spans="3:3" ht="29.25" customHeight="1" x14ac:dyDescent="0.25">
      <c r="C1" s="294" t="s">
        <v>711</v>
      </c>
    </row>
    <row r="2" spans="3:3" x14ac:dyDescent="0.25">
      <c r="C2" s="291"/>
    </row>
    <row r="3" spans="3:3" ht="31.5" x14ac:dyDescent="0.5">
      <c r="C3" s="292" t="s">
        <v>1165</v>
      </c>
    </row>
    <row r="4" spans="3:3" x14ac:dyDescent="0.25">
      <c r="C4" s="291"/>
    </row>
    <row r="5" spans="3:3" ht="15.75" x14ac:dyDescent="0.25">
      <c r="C5" s="293" t="s">
        <v>712</v>
      </c>
    </row>
    <row r="6" spans="3:3" ht="15.75" x14ac:dyDescent="0.25">
      <c r="C6" s="293" t="s">
        <v>875</v>
      </c>
    </row>
    <row r="21" spans="2:3" ht="15.75" x14ac:dyDescent="0.3">
      <c r="B21" s="288" t="s">
        <v>660</v>
      </c>
    </row>
    <row r="23" spans="2:3" ht="12.75" customHeight="1" x14ac:dyDescent="0.25">
      <c r="B23" s="272" t="s">
        <v>661</v>
      </c>
      <c r="C23" s="270" t="s">
        <v>893</v>
      </c>
    </row>
    <row r="24" spans="2:3" ht="12.75" customHeight="1" x14ac:dyDescent="0.25">
      <c r="B24" s="272"/>
      <c r="C24" s="270" t="s">
        <v>894</v>
      </c>
    </row>
    <row r="25" spans="2:3" ht="12.75" customHeight="1" x14ac:dyDescent="0.25">
      <c r="B25" s="272"/>
    </row>
    <row r="26" spans="2:3" ht="12.75" customHeight="1" x14ac:dyDescent="0.25">
      <c r="B26" s="272" t="s">
        <v>661</v>
      </c>
      <c r="C26" s="270" t="s">
        <v>1198</v>
      </c>
    </row>
    <row r="27" spans="2:3" ht="12.75" customHeight="1" x14ac:dyDescent="0.25">
      <c r="B27" s="272"/>
    </row>
    <row r="28" spans="2:3" x14ac:dyDescent="0.25">
      <c r="B28" s="272" t="s">
        <v>661</v>
      </c>
      <c r="C28" s="270" t="s">
        <v>1020</v>
      </c>
    </row>
    <row r="30" spans="2:3" x14ac:dyDescent="0.25">
      <c r="B30" s="272" t="s">
        <v>661</v>
      </c>
      <c r="C30" s="270" t="s">
        <v>877</v>
      </c>
    </row>
    <row r="31" spans="2:3" x14ac:dyDescent="0.25">
      <c r="B31" s="272"/>
    </row>
    <row r="32" spans="2:3" x14ac:dyDescent="0.25">
      <c r="B32" s="272" t="s">
        <v>661</v>
      </c>
      <c r="C32" s="270" t="s">
        <v>810</v>
      </c>
    </row>
    <row r="33" spans="2:3" x14ac:dyDescent="0.25">
      <c r="B33" s="272"/>
    </row>
    <row r="34" spans="2:3" x14ac:dyDescent="0.25">
      <c r="B34" s="272" t="s">
        <v>661</v>
      </c>
      <c r="C34" s="270" t="s">
        <v>878</v>
      </c>
    </row>
    <row r="35" spans="2:3" x14ac:dyDescent="0.25">
      <c r="B35" s="272"/>
    </row>
    <row r="36" spans="2:3" x14ac:dyDescent="0.25">
      <c r="B36" s="272" t="s">
        <v>661</v>
      </c>
      <c r="C36" s="270" t="s">
        <v>1193</v>
      </c>
    </row>
    <row r="37" spans="2:3" x14ac:dyDescent="0.25">
      <c r="B37" s="272"/>
    </row>
    <row r="38" spans="2:3" x14ac:dyDescent="0.25">
      <c r="B38" s="272" t="s">
        <v>661</v>
      </c>
      <c r="C38" s="270" t="s">
        <v>714</v>
      </c>
    </row>
    <row r="39" spans="2:3" x14ac:dyDescent="0.25">
      <c r="C39" s="270" t="s">
        <v>812</v>
      </c>
    </row>
    <row r="40" spans="2:3" x14ac:dyDescent="0.25">
      <c r="B40" s="272"/>
    </row>
    <row r="41" spans="2:3" x14ac:dyDescent="0.25">
      <c r="B41" s="272" t="s">
        <v>661</v>
      </c>
      <c r="C41" s="270" t="s">
        <v>879</v>
      </c>
    </row>
    <row r="42" spans="2:3" x14ac:dyDescent="0.25">
      <c r="C42" s="270" t="s">
        <v>811</v>
      </c>
    </row>
    <row r="44" spans="2:3" x14ac:dyDescent="0.25">
      <c r="B44" s="272" t="s">
        <v>661</v>
      </c>
      <c r="C44" s="270" t="s">
        <v>880</v>
      </c>
    </row>
    <row r="46" spans="2:3" x14ac:dyDescent="0.25">
      <c r="B46" s="272" t="s">
        <v>661</v>
      </c>
      <c r="C46" s="270" t="s">
        <v>881</v>
      </c>
    </row>
    <row r="48" spans="2:3" x14ac:dyDescent="0.25">
      <c r="B48" s="272" t="s">
        <v>661</v>
      </c>
      <c r="C48" s="270" t="s">
        <v>1195</v>
      </c>
    </row>
    <row r="50" spans="2:3" x14ac:dyDescent="0.25">
      <c r="B50" s="272" t="s">
        <v>661</v>
      </c>
      <c r="C50" s="270" t="s">
        <v>882</v>
      </c>
    </row>
    <row r="53" spans="2:3" ht="15.75" x14ac:dyDescent="0.3">
      <c r="B53" s="288" t="s">
        <v>713</v>
      </c>
    </row>
    <row r="55" spans="2:3" x14ac:dyDescent="0.25">
      <c r="C55" s="271" t="s">
        <v>663</v>
      </c>
    </row>
    <row r="56" spans="2:3" x14ac:dyDescent="0.25">
      <c r="B56" s="272" t="s">
        <v>661</v>
      </c>
      <c r="C56" s="270" t="s">
        <v>813</v>
      </c>
    </row>
    <row r="57" spans="2:3" x14ac:dyDescent="0.25">
      <c r="C57" s="270" t="s">
        <v>720</v>
      </c>
    </row>
    <row r="58" spans="2:3" x14ac:dyDescent="0.25">
      <c r="C58" s="270" t="s">
        <v>669</v>
      </c>
    </row>
    <row r="59" spans="2:3" x14ac:dyDescent="0.25">
      <c r="C59" s="270" t="s">
        <v>814</v>
      </c>
    </row>
    <row r="60" spans="2:3" x14ac:dyDescent="0.25">
      <c r="B60" s="272" t="s">
        <v>661</v>
      </c>
      <c r="C60" s="270" t="s">
        <v>715</v>
      </c>
    </row>
    <row r="61" spans="2:3" x14ac:dyDescent="0.25">
      <c r="C61" s="270" t="s">
        <v>1196</v>
      </c>
    </row>
    <row r="62" spans="2:3" x14ac:dyDescent="0.25">
      <c r="B62" s="272" t="s">
        <v>661</v>
      </c>
      <c r="C62" s="270" t="s">
        <v>667</v>
      </c>
    </row>
    <row r="63" spans="2:3" x14ac:dyDescent="0.25">
      <c r="C63" s="270" t="s">
        <v>1199</v>
      </c>
    </row>
    <row r="64" spans="2:3" x14ac:dyDescent="0.25">
      <c r="B64" s="272" t="s">
        <v>661</v>
      </c>
      <c r="C64" s="270" t="s">
        <v>1152</v>
      </c>
    </row>
    <row r="65" spans="2:3" x14ac:dyDescent="0.25">
      <c r="C65" s="270" t="s">
        <v>1153</v>
      </c>
    </row>
    <row r="66" spans="2:3" x14ac:dyDescent="0.25">
      <c r="C66" s="270" t="s">
        <v>1011</v>
      </c>
    </row>
    <row r="67" spans="2:3" x14ac:dyDescent="0.25">
      <c r="C67" s="270" t="s">
        <v>815</v>
      </c>
    </row>
    <row r="68" spans="2:3" x14ac:dyDescent="0.25">
      <c r="B68" s="272" t="s">
        <v>661</v>
      </c>
      <c r="C68" s="270" t="s">
        <v>1200</v>
      </c>
    </row>
    <row r="69" spans="2:3" x14ac:dyDescent="0.25">
      <c r="B69" s="272"/>
      <c r="C69" s="270" t="s">
        <v>1012</v>
      </c>
    </row>
    <row r="70" spans="2:3" x14ac:dyDescent="0.25">
      <c r="B70" s="272"/>
      <c r="C70" s="270" t="s">
        <v>816</v>
      </c>
    </row>
    <row r="71" spans="2:3" x14ac:dyDescent="0.25">
      <c r="B71" s="272" t="s">
        <v>661</v>
      </c>
      <c r="C71" s="270" t="s">
        <v>817</v>
      </c>
    </row>
    <row r="72" spans="2:3" x14ac:dyDescent="0.25">
      <c r="B72" s="272" t="s">
        <v>661</v>
      </c>
      <c r="C72" s="270" t="s">
        <v>670</v>
      </c>
    </row>
    <row r="73" spans="2:3" x14ac:dyDescent="0.25">
      <c r="B73" s="272"/>
      <c r="C73" s="270" t="s">
        <v>671</v>
      </c>
    </row>
    <row r="74" spans="2:3" x14ac:dyDescent="0.25">
      <c r="B74" s="272"/>
      <c r="C74" s="270" t="s">
        <v>818</v>
      </c>
    </row>
    <row r="75" spans="2:3" x14ac:dyDescent="0.25">
      <c r="B75" s="272" t="s">
        <v>661</v>
      </c>
      <c r="C75" s="270" t="s">
        <v>819</v>
      </c>
    </row>
    <row r="76" spans="2:3" x14ac:dyDescent="0.25">
      <c r="B76" s="272"/>
    </row>
    <row r="77" spans="2:3" x14ac:dyDescent="0.25">
      <c r="C77" s="271" t="s">
        <v>664</v>
      </c>
    </row>
    <row r="78" spans="2:3" x14ac:dyDescent="0.25">
      <c r="B78" s="272" t="s">
        <v>661</v>
      </c>
      <c r="C78" s="270" t="s">
        <v>820</v>
      </c>
    </row>
    <row r="79" spans="2:3" x14ac:dyDescent="0.25">
      <c r="C79" s="270" t="s">
        <v>821</v>
      </c>
    </row>
    <row r="80" spans="2:3" x14ac:dyDescent="0.25">
      <c r="C80" s="270" t="s">
        <v>665</v>
      </c>
    </row>
    <row r="81" spans="2:3" x14ac:dyDescent="0.25">
      <c r="C81" s="270" t="s">
        <v>666</v>
      </c>
    </row>
    <row r="82" spans="2:3" x14ac:dyDescent="0.25">
      <c r="C82" s="270" t="s">
        <v>822</v>
      </c>
    </row>
    <row r="84" spans="2:3" x14ac:dyDescent="0.25">
      <c r="C84" s="271" t="s">
        <v>668</v>
      </c>
    </row>
    <row r="85" spans="2:3" x14ac:dyDescent="0.25">
      <c r="B85" s="272" t="s">
        <v>661</v>
      </c>
      <c r="C85" s="270" t="s">
        <v>680</v>
      </c>
    </row>
    <row r="86" spans="2:3" x14ac:dyDescent="0.25">
      <c r="C86" s="270" t="s">
        <v>716</v>
      </c>
    </row>
    <row r="87" spans="2:3" x14ac:dyDescent="0.25">
      <c r="C87" s="270" t="s">
        <v>1178</v>
      </c>
    </row>
    <row r="88" spans="2:3" x14ac:dyDescent="0.25">
      <c r="C88" s="270" t="s">
        <v>1197</v>
      </c>
    </row>
    <row r="90" spans="2:3" x14ac:dyDescent="0.25">
      <c r="C90" s="270" t="s">
        <v>717</v>
      </c>
    </row>
    <row r="91" spans="2:3" x14ac:dyDescent="0.25">
      <c r="C91" s="270" t="s">
        <v>823</v>
      </c>
    </row>
    <row r="93" spans="2:3" ht="15.75" x14ac:dyDescent="0.3">
      <c r="B93" s="288" t="s">
        <v>824</v>
      </c>
    </row>
    <row r="95" spans="2:3" x14ac:dyDescent="0.25">
      <c r="C95" s="270" t="s">
        <v>1013</v>
      </c>
    </row>
    <row r="96" spans="2:3" x14ac:dyDescent="0.25">
      <c r="B96" s="273" t="s">
        <v>564</v>
      </c>
      <c r="C96" s="270" t="s">
        <v>825</v>
      </c>
    </row>
    <row r="97" spans="2:3" x14ac:dyDescent="0.25">
      <c r="C97" s="270" t="s">
        <v>826</v>
      </c>
    </row>
    <row r="98" spans="2:3" x14ac:dyDescent="0.25">
      <c r="B98" s="273" t="s">
        <v>565</v>
      </c>
      <c r="C98" s="270" t="s">
        <v>827</v>
      </c>
    </row>
    <row r="99" spans="2:3" x14ac:dyDescent="0.25">
      <c r="B99" s="273" t="s">
        <v>567</v>
      </c>
      <c r="C99" s="270" t="s">
        <v>828</v>
      </c>
    </row>
    <row r="100" spans="2:3" x14ac:dyDescent="0.25">
      <c r="B100" s="273" t="s">
        <v>569</v>
      </c>
      <c r="C100" s="270" t="s">
        <v>829</v>
      </c>
    </row>
    <row r="101" spans="2:3" x14ac:dyDescent="0.25">
      <c r="B101" s="273" t="s">
        <v>570</v>
      </c>
      <c r="C101" s="270" t="s">
        <v>830</v>
      </c>
    </row>
    <row r="102" spans="2:3" x14ac:dyDescent="0.25">
      <c r="B102" s="273" t="s">
        <v>831</v>
      </c>
      <c r="C102" s="270" t="s">
        <v>832</v>
      </c>
    </row>
    <row r="103" spans="2:3" x14ac:dyDescent="0.25">
      <c r="B103" s="273" t="s">
        <v>833</v>
      </c>
      <c r="C103" s="270" t="s">
        <v>834</v>
      </c>
    </row>
    <row r="104" spans="2:3" x14ac:dyDescent="0.25">
      <c r="B104" s="273" t="s">
        <v>835</v>
      </c>
      <c r="C104" s="270" t="s">
        <v>836</v>
      </c>
    </row>
    <row r="105" spans="2:3" x14ac:dyDescent="0.25">
      <c r="B105" s="273" t="s">
        <v>837</v>
      </c>
      <c r="C105" s="270" t="s">
        <v>838</v>
      </c>
    </row>
    <row r="106" spans="2:3" x14ac:dyDescent="0.25">
      <c r="B106" s="273" t="s">
        <v>839</v>
      </c>
      <c r="C106" s="270" t="s">
        <v>840</v>
      </c>
    </row>
    <row r="107" spans="2:3" x14ac:dyDescent="0.25">
      <c r="B107" s="273" t="s">
        <v>841</v>
      </c>
      <c r="C107" s="270" t="s">
        <v>842</v>
      </c>
    </row>
    <row r="108" spans="2:3" x14ac:dyDescent="0.25">
      <c r="B108" s="273" t="s">
        <v>843</v>
      </c>
      <c r="C108" s="270" t="s">
        <v>844</v>
      </c>
    </row>
    <row r="109" spans="2:3" x14ac:dyDescent="0.25">
      <c r="B109" s="273"/>
    </row>
    <row r="110" spans="2:3" x14ac:dyDescent="0.25">
      <c r="C110" s="270" t="s">
        <v>845</v>
      </c>
    </row>
    <row r="111" spans="2:3" x14ac:dyDescent="0.25">
      <c r="C111" s="270" t="s">
        <v>896</v>
      </c>
    </row>
    <row r="112" spans="2:3" x14ac:dyDescent="0.25">
      <c r="C112" s="270" t="s">
        <v>895</v>
      </c>
    </row>
    <row r="113" spans="2:3" x14ac:dyDescent="0.25">
      <c r="C113" s="270" t="s">
        <v>846</v>
      </c>
    </row>
    <row r="114" spans="2:3" x14ac:dyDescent="0.25">
      <c r="C114" s="270" t="s">
        <v>847</v>
      </c>
    </row>
    <row r="115" spans="2:3" x14ac:dyDescent="0.25">
      <c r="C115" s="270" t="s">
        <v>848</v>
      </c>
    </row>
    <row r="116" spans="2:3" x14ac:dyDescent="0.25">
      <c r="C116" s="270" t="s">
        <v>1057</v>
      </c>
    </row>
    <row r="117" spans="2:3" x14ac:dyDescent="0.25">
      <c r="C117" s="270" t="s">
        <v>849</v>
      </c>
    </row>
    <row r="118" spans="2:3" x14ac:dyDescent="0.25">
      <c r="C118" s="270" t="s">
        <v>850</v>
      </c>
    </row>
    <row r="120" spans="2:3" ht="15.75" x14ac:dyDescent="0.3">
      <c r="C120" s="288" t="s">
        <v>851</v>
      </c>
    </row>
    <row r="122" spans="2:3" x14ac:dyDescent="0.25">
      <c r="B122" s="272" t="s">
        <v>661</v>
      </c>
      <c r="C122" s="270" t="s">
        <v>883</v>
      </c>
    </row>
    <row r="123" spans="2:3" x14ac:dyDescent="0.25">
      <c r="C123" s="270" t="s">
        <v>1179</v>
      </c>
    </row>
    <row r="124" spans="2:3" x14ac:dyDescent="0.25">
      <c r="C124" s="270" t="s">
        <v>1180</v>
      </c>
    </row>
    <row r="125" spans="2:3" x14ac:dyDescent="0.25">
      <c r="C125" s="270" t="s">
        <v>1181</v>
      </c>
    </row>
    <row r="126" spans="2:3" x14ac:dyDescent="0.25">
      <c r="C126" s="270" t="s">
        <v>852</v>
      </c>
    </row>
    <row r="127" spans="2:3" x14ac:dyDescent="0.25">
      <c r="C127" s="270" t="s">
        <v>853</v>
      </c>
    </row>
    <row r="129" spans="2:3" x14ac:dyDescent="0.25">
      <c r="B129" s="272" t="s">
        <v>661</v>
      </c>
      <c r="C129" s="270" t="s">
        <v>1201</v>
      </c>
    </row>
    <row r="130" spans="2:3" x14ac:dyDescent="0.25">
      <c r="C130" s="270" t="s">
        <v>854</v>
      </c>
    </row>
    <row r="132" spans="2:3" x14ac:dyDescent="0.25">
      <c r="B132" s="272" t="s">
        <v>661</v>
      </c>
      <c r="C132" s="270" t="s">
        <v>855</v>
      </c>
    </row>
    <row r="133" spans="2:3" x14ac:dyDescent="0.25">
      <c r="C133" s="270" t="s">
        <v>884</v>
      </c>
    </row>
    <row r="134" spans="2:3" x14ac:dyDescent="0.25">
      <c r="C134" s="270" t="s">
        <v>885</v>
      </c>
    </row>
    <row r="135" spans="2:3" x14ac:dyDescent="0.25">
      <c r="C135" s="270" t="s">
        <v>1194</v>
      </c>
    </row>
    <row r="136" spans="2:3" x14ac:dyDescent="0.25">
      <c r="C136" s="270" t="s">
        <v>856</v>
      </c>
    </row>
    <row r="138" spans="2:3" x14ac:dyDescent="0.25">
      <c r="B138" s="272" t="s">
        <v>661</v>
      </c>
      <c r="C138" s="270" t="s">
        <v>1182</v>
      </c>
    </row>
    <row r="139" spans="2:3" x14ac:dyDescent="0.25">
      <c r="C139" s="270" t="s">
        <v>1183</v>
      </c>
    </row>
    <row r="141" spans="2:3" x14ac:dyDescent="0.25">
      <c r="B141" s="272" t="s">
        <v>661</v>
      </c>
      <c r="C141" s="270" t="s">
        <v>886</v>
      </c>
    </row>
    <row r="142" spans="2:3" x14ac:dyDescent="0.25">
      <c r="C142" s="270" t="s">
        <v>857</v>
      </c>
    </row>
    <row r="143" spans="2:3" x14ac:dyDescent="0.25">
      <c r="C143" s="270" t="s">
        <v>858</v>
      </c>
    </row>
    <row r="145" spans="2:3" x14ac:dyDescent="0.25">
      <c r="B145" s="272" t="s">
        <v>661</v>
      </c>
      <c r="C145" s="270" t="s">
        <v>887</v>
      </c>
    </row>
    <row r="146" spans="2:3" x14ac:dyDescent="0.25">
      <c r="C146" s="270" t="s">
        <v>859</v>
      </c>
    </row>
    <row r="147" spans="2:3" x14ac:dyDescent="0.25">
      <c r="C147" s="270" t="s">
        <v>860</v>
      </c>
    </row>
    <row r="148" spans="2:3" x14ac:dyDescent="0.25">
      <c r="C148" s="270" t="s">
        <v>861</v>
      </c>
    </row>
    <row r="149" spans="2:3" x14ac:dyDescent="0.25">
      <c r="C149" s="270" t="s">
        <v>862</v>
      </c>
    </row>
    <row r="150" spans="2:3" x14ac:dyDescent="0.25">
      <c r="C150" s="270" t="s">
        <v>1009</v>
      </c>
    </row>
    <row r="151" spans="2:3" x14ac:dyDescent="0.25">
      <c r="C151" s="270" t="s">
        <v>863</v>
      </c>
    </row>
    <row r="152" spans="2:3" x14ac:dyDescent="0.25">
      <c r="C152" s="270" t="s">
        <v>864</v>
      </c>
    </row>
    <row r="153" spans="2:3" x14ac:dyDescent="0.25">
      <c r="C153" s="270" t="s">
        <v>865</v>
      </c>
    </row>
    <row r="154" spans="2:3" x14ac:dyDescent="0.25">
      <c r="C154" s="270" t="s">
        <v>866</v>
      </c>
    </row>
    <row r="155" spans="2:3" x14ac:dyDescent="0.25">
      <c r="C155" s="270" t="s">
        <v>867</v>
      </c>
    </row>
    <row r="157" spans="2:3" x14ac:dyDescent="0.25">
      <c r="B157" s="272" t="s">
        <v>661</v>
      </c>
      <c r="C157" s="270" t="s">
        <v>888</v>
      </c>
    </row>
    <row r="158" spans="2:3" x14ac:dyDescent="0.25">
      <c r="C158" s="270" t="s">
        <v>868</v>
      </c>
    </row>
    <row r="159" spans="2:3" x14ac:dyDescent="0.25">
      <c r="C159" s="270" t="s">
        <v>869</v>
      </c>
    </row>
    <row r="161" spans="2:3" x14ac:dyDescent="0.25">
      <c r="B161" s="272" t="s">
        <v>661</v>
      </c>
      <c r="C161" s="270" t="s">
        <v>889</v>
      </c>
    </row>
    <row r="162" spans="2:3" x14ac:dyDescent="0.25">
      <c r="C162" s="270" t="s">
        <v>870</v>
      </c>
    </row>
    <row r="163" spans="2:3" x14ac:dyDescent="0.25">
      <c r="C163" s="270" t="s">
        <v>871</v>
      </c>
    </row>
    <row r="164" spans="2:3" x14ac:dyDescent="0.25">
      <c r="C164" s="270" t="s">
        <v>872</v>
      </c>
    </row>
    <row r="165" spans="2:3" x14ac:dyDescent="0.25">
      <c r="C165" s="270" t="s">
        <v>873</v>
      </c>
    </row>
    <row r="166" spans="2:3" x14ac:dyDescent="0.25">
      <c r="C166" s="270" t="s">
        <v>1184</v>
      </c>
    </row>
    <row r="167" spans="2:3" x14ac:dyDescent="0.25">
      <c r="C167" s="270" t="s">
        <v>874</v>
      </c>
    </row>
    <row r="169" spans="2:3" x14ac:dyDescent="0.25">
      <c r="B169" s="272" t="s">
        <v>661</v>
      </c>
      <c r="C169" s="270" t="s">
        <v>1014</v>
      </c>
    </row>
    <row r="170" spans="2:3" x14ac:dyDescent="0.25">
      <c r="C170" s="270" t="s">
        <v>1015</v>
      </c>
    </row>
    <row r="171" spans="2:3" x14ac:dyDescent="0.25">
      <c r="C171" s="270" t="s">
        <v>1016</v>
      </c>
    </row>
    <row r="172" spans="2:3" x14ac:dyDescent="0.25">
      <c r="C172" s="270" t="s">
        <v>1017</v>
      </c>
    </row>
    <row r="173" spans="2:3" x14ac:dyDescent="0.25">
      <c r="C173" s="270" t="s">
        <v>1019</v>
      </c>
    </row>
    <row r="174" spans="2:3" x14ac:dyDescent="0.25">
      <c r="C174" s="270" t="s">
        <v>1018</v>
      </c>
    </row>
    <row r="176" spans="2:3" x14ac:dyDescent="0.25">
      <c r="B176" s="272" t="s">
        <v>661</v>
      </c>
      <c r="C176" s="270" t="s">
        <v>1149</v>
      </c>
    </row>
    <row r="177" spans="2:3" x14ac:dyDescent="0.25">
      <c r="C177" s="270" t="s">
        <v>1150</v>
      </c>
    </row>
    <row r="179" spans="2:3" x14ac:dyDescent="0.25">
      <c r="B179" s="272" t="s">
        <v>661</v>
      </c>
      <c r="C179" s="270" t="s">
        <v>1159</v>
      </c>
    </row>
    <row r="180" spans="2:3" x14ac:dyDescent="0.25">
      <c r="C180" s="270" t="s">
        <v>1160</v>
      </c>
    </row>
    <row r="181" spans="2:3" x14ac:dyDescent="0.25">
      <c r="C181" s="270" t="s">
        <v>1161</v>
      </c>
    </row>
    <row r="182" spans="2:3" x14ac:dyDescent="0.25">
      <c r="C182" s="270" t="s">
        <v>1162</v>
      </c>
    </row>
  </sheetData>
  <sheetProtection formatColumns="0" formatRows="0" insertColumns="0" insertRows="0" deleteColumns="0" deleteRows="0"/>
  <hyperlinks>
    <hyperlink ref="C6" r:id="rId1" xr:uid="{4CF41049-751A-4FD9-A59A-0AC45A0F735A}"/>
    <hyperlink ref="C5" r:id="rId2" xr:uid="{AA0F9878-D3D0-4A80-AE0B-86C20C9CB731}"/>
  </hyperlinks>
  <pageMargins left="0.7" right="0.7" top="0.75" bottom="0.75" header="0.3" footer="0.3"/>
  <pageSetup paperSize="9" scale="91" fitToHeight="0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5DCE6-548C-4466-8563-382B3ABE7CE7}">
  <sheetPr>
    <pageSetUpPr fitToPage="1"/>
  </sheetPr>
  <dimension ref="B2:Y329"/>
  <sheetViews>
    <sheetView zoomScale="87" zoomScaleNormal="87" workbookViewId="0">
      <selection activeCell="A21" sqref="A21"/>
    </sheetView>
  </sheetViews>
  <sheetFormatPr defaultRowHeight="12.75" x14ac:dyDescent="0.2"/>
  <cols>
    <col min="1" max="1" width="2.28515625" style="42" customWidth="1"/>
    <col min="2" max="2" width="17.28515625" style="198" customWidth="1"/>
    <col min="3" max="3" width="62.42578125" style="42" bestFit="1" customWidth="1"/>
    <col min="4" max="4" width="20" style="42" bestFit="1" customWidth="1"/>
    <col min="5" max="5" width="13.85546875" style="42" bestFit="1" customWidth="1"/>
    <col min="6" max="6" width="12.5703125" style="42" customWidth="1"/>
    <col min="7" max="7" width="17.7109375" style="42" customWidth="1"/>
    <col min="8" max="8" width="19.85546875" style="42" bestFit="1" customWidth="1"/>
    <col min="9" max="9" width="14.5703125" style="42" bestFit="1" customWidth="1"/>
    <col min="10" max="10" width="13.85546875" style="42" bestFit="1" customWidth="1"/>
    <col min="11" max="11" width="14.5703125" style="42" bestFit="1" customWidth="1"/>
    <col min="12" max="12" width="13.85546875" style="42" bestFit="1" customWidth="1"/>
    <col min="13" max="13" width="9.140625" style="42" bestFit="1" customWidth="1"/>
    <col min="14" max="14" width="14.7109375" style="42" customWidth="1"/>
    <col min="15" max="15" width="16" style="42" customWidth="1"/>
    <col min="16" max="16" width="13" style="42" bestFit="1" customWidth="1"/>
    <col min="17" max="19" width="13.7109375" style="42" customWidth="1"/>
    <col min="20" max="20" width="13.42578125" style="42" bestFit="1" customWidth="1"/>
    <col min="21" max="21" width="14.42578125" style="42" bestFit="1" customWidth="1"/>
    <col min="22" max="22" width="13.7109375" style="42" bestFit="1" customWidth="1"/>
    <col min="23" max="23" width="14.42578125" style="42" bestFit="1" customWidth="1"/>
    <col min="24" max="25" width="12.5703125" style="42" bestFit="1" customWidth="1"/>
    <col min="26" max="16384" width="9.140625" style="42"/>
  </cols>
  <sheetData>
    <row r="2" spans="3:23" ht="40.5" customHeight="1" x14ac:dyDescent="0.2">
      <c r="C2" s="151" t="str">
        <f>Criteria!E9</f>
        <v>ABC TRUST</v>
      </c>
      <c r="V2" s="150" t="s">
        <v>90</v>
      </c>
      <c r="W2" s="150"/>
    </row>
    <row r="3" spans="3:23" ht="12.75" customHeight="1" x14ac:dyDescent="0.2">
      <c r="C3" s="63" t="s">
        <v>89</v>
      </c>
      <c r="D3" s="63" t="str">
        <f>Criteria!E20</f>
        <v>29 FEBRUARY 2024</v>
      </c>
      <c r="E3" s="63"/>
      <c r="F3" s="63"/>
      <c r="G3" s="63"/>
    </row>
    <row r="4" spans="3:23" ht="40.5" customHeight="1" x14ac:dyDescent="0.2">
      <c r="C4" s="187" t="s">
        <v>687</v>
      </c>
      <c r="D4" s="63"/>
      <c r="E4" s="63"/>
      <c r="F4" s="63"/>
      <c r="G4" s="63"/>
      <c r="V4" s="150" t="s">
        <v>91</v>
      </c>
      <c r="W4" s="150"/>
    </row>
    <row r="5" spans="3:23" x14ac:dyDescent="0.2"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</row>
    <row r="7" spans="3:23" x14ac:dyDescent="0.2">
      <c r="C7" s="64" t="s">
        <v>653</v>
      </c>
      <c r="Q7" s="512" t="s">
        <v>692</v>
      </c>
      <c r="R7" s="513"/>
      <c r="S7" s="514"/>
    </row>
    <row r="8" spans="3:23" x14ac:dyDescent="0.2">
      <c r="I8" s="19"/>
      <c r="J8" s="19"/>
      <c r="K8" s="19"/>
      <c r="L8" s="19"/>
      <c r="M8" s="19"/>
      <c r="N8" s="19"/>
      <c r="O8" s="19" t="s">
        <v>164</v>
      </c>
      <c r="P8" s="19"/>
      <c r="Q8" s="241" t="s">
        <v>683</v>
      </c>
      <c r="R8" s="242" t="s">
        <v>690</v>
      </c>
      <c r="S8" s="243" t="s">
        <v>684</v>
      </c>
      <c r="T8" s="19"/>
      <c r="U8" s="19"/>
      <c r="V8" s="19"/>
      <c r="W8" s="19"/>
    </row>
    <row r="9" spans="3:23" x14ac:dyDescent="0.2">
      <c r="C9" s="221"/>
      <c r="D9" s="63"/>
      <c r="E9" s="63"/>
      <c r="F9" s="63"/>
      <c r="G9" s="63"/>
      <c r="H9" s="64"/>
      <c r="I9" s="21" t="s">
        <v>384</v>
      </c>
      <c r="J9" s="21" t="s">
        <v>693</v>
      </c>
      <c r="K9" s="21" t="s">
        <v>574</v>
      </c>
      <c r="L9" s="21" t="s">
        <v>276</v>
      </c>
      <c r="M9" s="21"/>
      <c r="N9" s="21" t="s">
        <v>576</v>
      </c>
      <c r="O9" s="21" t="s">
        <v>694</v>
      </c>
      <c r="P9" s="21" t="s">
        <v>682</v>
      </c>
      <c r="Q9" s="244" t="s">
        <v>685</v>
      </c>
      <c r="R9" s="21" t="s">
        <v>691</v>
      </c>
      <c r="S9" s="245" t="s">
        <v>686</v>
      </c>
      <c r="T9" s="21" t="s">
        <v>689</v>
      </c>
      <c r="U9" s="21" t="s">
        <v>384</v>
      </c>
      <c r="V9" s="21" t="s">
        <v>688</v>
      </c>
      <c r="W9" s="21" t="s">
        <v>574</v>
      </c>
    </row>
    <row r="10" spans="3:23" x14ac:dyDescent="0.2">
      <c r="C10" s="42" t="str">
        <f>B19</f>
        <v>PROPERTY</v>
      </c>
      <c r="I10" s="42">
        <f t="shared" ref="I10:W10" si="0">I104</f>
        <v>0</v>
      </c>
      <c r="J10" s="42">
        <f t="shared" si="0"/>
        <v>0</v>
      </c>
      <c r="K10" s="42">
        <f t="shared" si="0"/>
        <v>0</v>
      </c>
      <c r="L10" s="42">
        <f t="shared" si="0"/>
        <v>0</v>
      </c>
      <c r="N10" s="42">
        <f t="shared" ref="N10:O10" si="1">N104</f>
        <v>0</v>
      </c>
      <c r="O10" s="42">
        <f t="shared" si="1"/>
        <v>0</v>
      </c>
      <c r="P10" s="42">
        <f t="shared" si="0"/>
        <v>0</v>
      </c>
      <c r="Q10" s="246">
        <f t="shared" si="0"/>
        <v>0</v>
      </c>
      <c r="R10" s="228">
        <f t="shared" si="0"/>
        <v>0</v>
      </c>
      <c r="S10" s="247">
        <f t="shared" si="0"/>
        <v>0</v>
      </c>
      <c r="T10" s="42">
        <f t="shared" si="0"/>
        <v>0</v>
      </c>
      <c r="U10" s="42">
        <f t="shared" si="0"/>
        <v>0</v>
      </c>
      <c r="V10" s="42">
        <f t="shared" si="0"/>
        <v>0</v>
      </c>
      <c r="W10" s="42">
        <f t="shared" si="0"/>
        <v>0</v>
      </c>
    </row>
    <row r="11" spans="3:23" x14ac:dyDescent="0.2">
      <c r="C11" s="42" t="str">
        <f>B106</f>
        <v>PLANT AND EQUIPMENT</v>
      </c>
      <c r="I11" s="42">
        <f t="shared" ref="I11:W11" si="2">I147</f>
        <v>0</v>
      </c>
      <c r="J11" s="42">
        <f t="shared" si="2"/>
        <v>0</v>
      </c>
      <c r="K11" s="42">
        <f t="shared" si="2"/>
        <v>0</v>
      </c>
      <c r="L11" s="42">
        <f t="shared" si="2"/>
        <v>0</v>
      </c>
      <c r="N11" s="42">
        <f t="shared" ref="N11:O11" si="3">N147</f>
        <v>0</v>
      </c>
      <c r="O11" s="42">
        <f t="shared" si="3"/>
        <v>0</v>
      </c>
      <c r="P11" s="42">
        <f t="shared" si="2"/>
        <v>0</v>
      </c>
      <c r="Q11" s="246">
        <f t="shared" si="2"/>
        <v>0</v>
      </c>
      <c r="R11" s="228">
        <f t="shared" si="2"/>
        <v>0</v>
      </c>
      <c r="S11" s="247">
        <f t="shared" si="2"/>
        <v>0</v>
      </c>
      <c r="T11" s="42">
        <f t="shared" si="2"/>
        <v>0</v>
      </c>
      <c r="U11" s="42">
        <f t="shared" si="2"/>
        <v>0</v>
      </c>
      <c r="V11" s="42">
        <f t="shared" si="2"/>
        <v>0</v>
      </c>
      <c r="W11" s="42">
        <f t="shared" si="2"/>
        <v>0</v>
      </c>
    </row>
    <row r="12" spans="3:23" x14ac:dyDescent="0.2">
      <c r="C12" s="42" t="str">
        <f>B150</f>
        <v>MOTOR VEHICLES</v>
      </c>
      <c r="I12" s="42">
        <f t="shared" ref="I12:W12" si="4">I181</f>
        <v>0</v>
      </c>
      <c r="J12" s="42">
        <f t="shared" si="4"/>
        <v>0</v>
      </c>
      <c r="K12" s="42">
        <f t="shared" si="4"/>
        <v>0</v>
      </c>
      <c r="L12" s="42">
        <f t="shared" si="4"/>
        <v>0</v>
      </c>
      <c r="N12" s="42">
        <f t="shared" ref="N12:O12" si="5">N181</f>
        <v>0</v>
      </c>
      <c r="O12" s="42">
        <f t="shared" si="5"/>
        <v>0</v>
      </c>
      <c r="P12" s="42">
        <f t="shared" si="4"/>
        <v>0</v>
      </c>
      <c r="Q12" s="246">
        <f t="shared" si="4"/>
        <v>0</v>
      </c>
      <c r="R12" s="228">
        <f t="shared" si="4"/>
        <v>0</v>
      </c>
      <c r="S12" s="247">
        <f t="shared" si="4"/>
        <v>0</v>
      </c>
      <c r="T12" s="42">
        <f t="shared" si="4"/>
        <v>0</v>
      </c>
      <c r="U12" s="42">
        <f t="shared" si="4"/>
        <v>0</v>
      </c>
      <c r="V12" s="42">
        <f t="shared" si="4"/>
        <v>0</v>
      </c>
      <c r="W12" s="42">
        <f t="shared" si="4"/>
        <v>0</v>
      </c>
    </row>
    <row r="13" spans="3:23" x14ac:dyDescent="0.2">
      <c r="C13" s="42" t="str">
        <f>B184</f>
        <v>ELECTRONIC EQUIPMENT</v>
      </c>
      <c r="I13" s="42">
        <f t="shared" ref="I13:W13" si="6">I220</f>
        <v>0</v>
      </c>
      <c r="J13" s="42">
        <f t="shared" si="6"/>
        <v>0</v>
      </c>
      <c r="K13" s="42">
        <f t="shared" si="6"/>
        <v>0</v>
      </c>
      <c r="L13" s="42">
        <f t="shared" si="6"/>
        <v>0</v>
      </c>
      <c r="N13" s="42">
        <f t="shared" ref="N13:O13" si="7">N220</f>
        <v>0</v>
      </c>
      <c r="O13" s="42">
        <f t="shared" si="7"/>
        <v>0</v>
      </c>
      <c r="P13" s="42">
        <f t="shared" si="6"/>
        <v>0</v>
      </c>
      <c r="Q13" s="246">
        <f t="shared" si="6"/>
        <v>0</v>
      </c>
      <c r="R13" s="228">
        <f t="shared" si="6"/>
        <v>0</v>
      </c>
      <c r="S13" s="247">
        <f t="shared" si="6"/>
        <v>0</v>
      </c>
      <c r="T13" s="42">
        <f t="shared" si="6"/>
        <v>0</v>
      </c>
      <c r="U13" s="42">
        <f t="shared" si="6"/>
        <v>0</v>
      </c>
      <c r="V13" s="42">
        <f t="shared" si="6"/>
        <v>0</v>
      </c>
      <c r="W13" s="42">
        <f t="shared" si="6"/>
        <v>0</v>
      </c>
    </row>
    <row r="14" spans="3:23" x14ac:dyDescent="0.2">
      <c r="C14" s="42" t="str">
        <f>B223</f>
        <v>FURNITURE AND FITTINGS</v>
      </c>
      <c r="I14" s="42">
        <f t="shared" ref="I14:W14" si="8">I325</f>
        <v>0</v>
      </c>
      <c r="J14" s="42">
        <f t="shared" si="8"/>
        <v>0</v>
      </c>
      <c r="K14" s="42">
        <f t="shared" si="8"/>
        <v>0</v>
      </c>
      <c r="L14" s="42">
        <f t="shared" si="8"/>
        <v>0</v>
      </c>
      <c r="N14" s="42">
        <f t="shared" ref="N14:O14" si="9">N325</f>
        <v>0</v>
      </c>
      <c r="O14" s="42">
        <f t="shared" si="9"/>
        <v>0</v>
      </c>
      <c r="P14" s="42">
        <f t="shared" si="8"/>
        <v>0</v>
      </c>
      <c r="Q14" s="246">
        <f t="shared" si="8"/>
        <v>0</v>
      </c>
      <c r="R14" s="228">
        <f t="shared" si="8"/>
        <v>0</v>
      </c>
      <c r="S14" s="247">
        <f t="shared" si="8"/>
        <v>0</v>
      </c>
      <c r="T14" s="42">
        <f t="shared" si="8"/>
        <v>0</v>
      </c>
      <c r="U14" s="42">
        <f t="shared" si="8"/>
        <v>0</v>
      </c>
      <c r="V14" s="42">
        <f t="shared" si="8"/>
        <v>0</v>
      </c>
      <c r="W14" s="42">
        <f t="shared" si="8"/>
        <v>0</v>
      </c>
    </row>
    <row r="15" spans="3:23" ht="13.5" thickBot="1" x14ac:dyDescent="0.25">
      <c r="I15" s="139">
        <f t="shared" ref="I15:W15" si="10">SUM(I10:I14)</f>
        <v>0</v>
      </c>
      <c r="J15" s="139">
        <f t="shared" si="10"/>
        <v>0</v>
      </c>
      <c r="K15" s="139">
        <f t="shared" si="10"/>
        <v>0</v>
      </c>
      <c r="L15" s="139">
        <f t="shared" si="10"/>
        <v>0</v>
      </c>
      <c r="M15" s="139">
        <f t="shared" si="10"/>
        <v>0</v>
      </c>
      <c r="N15" s="139">
        <f t="shared" si="10"/>
        <v>0</v>
      </c>
      <c r="O15" s="139">
        <f t="shared" si="10"/>
        <v>0</v>
      </c>
      <c r="P15" s="139">
        <f t="shared" si="10"/>
        <v>0</v>
      </c>
      <c r="Q15" s="248">
        <f t="shared" si="10"/>
        <v>0</v>
      </c>
      <c r="R15" s="139">
        <f t="shared" si="10"/>
        <v>0</v>
      </c>
      <c r="S15" s="249">
        <f t="shared" si="10"/>
        <v>0</v>
      </c>
      <c r="T15" s="139">
        <f t="shared" si="10"/>
        <v>0</v>
      </c>
      <c r="U15" s="139">
        <f t="shared" si="10"/>
        <v>0</v>
      </c>
      <c r="V15" s="139">
        <f t="shared" si="10"/>
        <v>0</v>
      </c>
      <c r="W15" s="139">
        <f t="shared" si="10"/>
        <v>0</v>
      </c>
    </row>
    <row r="16" spans="3:23" ht="13.5" thickTop="1" x14ac:dyDescent="0.2">
      <c r="D16" s="42" t="s">
        <v>876</v>
      </c>
      <c r="I16" s="286">
        <f>I15-SUM(FARegister!I11:I15)</f>
        <v>0</v>
      </c>
      <c r="J16" s="286"/>
      <c r="K16" s="286"/>
      <c r="L16" s="286">
        <f>L15-SUM(FARegister!L11:L15)</f>
        <v>0</v>
      </c>
      <c r="M16" s="286"/>
      <c r="N16" s="286">
        <f>N15-SUM(FARegister!N11:N15)</f>
        <v>0</v>
      </c>
      <c r="O16" s="286"/>
      <c r="P16" s="286">
        <f>P15-SUM(FARegister!P11:P15)</f>
        <v>0</v>
      </c>
      <c r="Q16" s="286"/>
      <c r="R16" s="286"/>
      <c r="S16" s="286"/>
      <c r="T16" s="286"/>
      <c r="U16" s="286">
        <f>U15-SUM(FARegister!X11:X15)</f>
        <v>0</v>
      </c>
      <c r="V16" s="286"/>
      <c r="W16" s="286"/>
    </row>
    <row r="19" spans="2:23" x14ac:dyDescent="0.2">
      <c r="B19" s="199" t="s">
        <v>1053</v>
      </c>
      <c r="I19" s="238"/>
      <c r="J19" s="238"/>
    </row>
    <row r="20" spans="2:23" x14ac:dyDescent="0.2">
      <c r="B20" s="200"/>
      <c r="E20" s="7"/>
      <c r="F20" s="7"/>
      <c r="G20" s="7"/>
      <c r="H20" s="7"/>
      <c r="I20" s="19"/>
      <c r="J20" s="19"/>
      <c r="K20" s="19"/>
      <c r="L20" s="19"/>
      <c r="M20" s="19"/>
      <c r="N20" s="19"/>
      <c r="O20" s="19" t="s">
        <v>164</v>
      </c>
      <c r="P20" s="19"/>
      <c r="Q20" s="257" t="s">
        <v>683</v>
      </c>
      <c r="R20" s="258" t="s">
        <v>690</v>
      </c>
      <c r="S20" s="259" t="s">
        <v>684</v>
      </c>
      <c r="T20" s="19"/>
      <c r="U20" s="19"/>
      <c r="V20" s="19"/>
      <c r="W20" s="19"/>
    </row>
    <row r="21" spans="2:23" x14ac:dyDescent="0.2">
      <c r="B21" s="201" t="s">
        <v>27</v>
      </c>
      <c r="C21" s="67" t="s">
        <v>231</v>
      </c>
      <c r="D21" s="67"/>
      <c r="E21" s="239" t="s">
        <v>622</v>
      </c>
      <c r="F21" s="240" t="s">
        <v>487</v>
      </c>
      <c r="G21" s="239" t="s">
        <v>488</v>
      </c>
      <c r="H21" s="239" t="s">
        <v>579</v>
      </c>
      <c r="I21" s="21" t="s">
        <v>384</v>
      </c>
      <c r="J21" s="21" t="s">
        <v>693</v>
      </c>
      <c r="K21" s="21" t="s">
        <v>574</v>
      </c>
      <c r="L21" s="21" t="s">
        <v>276</v>
      </c>
      <c r="M21" s="21" t="s">
        <v>422</v>
      </c>
      <c r="N21" s="21" t="s">
        <v>576</v>
      </c>
      <c r="O21" s="21" t="s">
        <v>694</v>
      </c>
      <c r="P21" s="21" t="s">
        <v>681</v>
      </c>
      <c r="Q21" s="244" t="s">
        <v>685</v>
      </c>
      <c r="R21" s="21" t="s">
        <v>691</v>
      </c>
      <c r="S21" s="245" t="s">
        <v>686</v>
      </c>
      <c r="T21" s="21" t="s">
        <v>689</v>
      </c>
      <c r="U21" s="21" t="s">
        <v>384</v>
      </c>
      <c r="V21" s="21" t="s">
        <v>688</v>
      </c>
      <c r="W21" s="21" t="s">
        <v>574</v>
      </c>
    </row>
    <row r="23" spans="2:23" x14ac:dyDescent="0.2">
      <c r="B23" s="91"/>
      <c r="C23" s="251" t="s">
        <v>696</v>
      </c>
      <c r="D23" s="167"/>
      <c r="E23" s="167"/>
      <c r="F23" s="168"/>
      <c r="G23" s="1"/>
      <c r="H23" s="167"/>
      <c r="I23" s="42">
        <f>FARegister!I121</f>
        <v>0</v>
      </c>
      <c r="J23" s="42">
        <f>FARegister!J121</f>
        <v>0</v>
      </c>
      <c r="K23" s="42">
        <f>I23-J23</f>
        <v>0</v>
      </c>
      <c r="L23" s="42">
        <f>FARegister!L121</f>
        <v>0</v>
      </c>
      <c r="M23" s="42">
        <v>0</v>
      </c>
      <c r="N23" s="42">
        <f>FARegister!N121</f>
        <v>0</v>
      </c>
      <c r="O23" s="42">
        <f>FARegister!O121</f>
        <v>0</v>
      </c>
      <c r="P23" s="42">
        <f>FARegister!P121</f>
        <v>0</v>
      </c>
      <c r="Q23" s="42">
        <f>FARegister!S121</f>
        <v>0</v>
      </c>
      <c r="R23" s="42">
        <f>FARegister!T121</f>
        <v>0</v>
      </c>
      <c r="S23" s="42">
        <f>FARegister!U121</f>
        <v>0</v>
      </c>
      <c r="T23" s="193">
        <f>FARegister!W121</f>
        <v>0</v>
      </c>
      <c r="U23" s="42">
        <f>I23+L23-N23</f>
        <v>0</v>
      </c>
      <c r="V23" s="42">
        <f t="shared" ref="V23:V53" si="11">J23+T23-O23</f>
        <v>0</v>
      </c>
      <c r="W23" s="42">
        <f t="shared" ref="W23:W86" si="12">U23-V23</f>
        <v>0</v>
      </c>
    </row>
    <row r="24" spans="2:23" ht="15" x14ac:dyDescent="0.35">
      <c r="B24" s="91"/>
      <c r="C24" s="169" t="s">
        <v>489</v>
      </c>
      <c r="D24" s="169"/>
      <c r="E24" s="167"/>
      <c r="F24" s="168"/>
      <c r="G24" s="1"/>
      <c r="H24" s="167"/>
      <c r="K24" s="42">
        <f t="shared" ref="K24:K85" si="13">I24-J24</f>
        <v>0</v>
      </c>
      <c r="M24" s="42">
        <v>0</v>
      </c>
      <c r="T24" s="193"/>
      <c r="U24" s="42">
        <f t="shared" ref="U24:U53" si="14">I24+L24-N24</f>
        <v>0</v>
      </c>
      <c r="V24" s="42">
        <f t="shared" si="11"/>
        <v>0</v>
      </c>
      <c r="W24" s="42">
        <f t="shared" si="12"/>
        <v>0</v>
      </c>
    </row>
    <row r="25" spans="2:23" ht="15" x14ac:dyDescent="0.35">
      <c r="B25" s="91"/>
      <c r="C25" s="169"/>
      <c r="D25" s="169"/>
      <c r="E25" s="167"/>
      <c r="F25" s="168"/>
      <c r="G25" s="1"/>
      <c r="H25" s="167"/>
      <c r="K25" s="42">
        <f t="shared" si="13"/>
        <v>0</v>
      </c>
      <c r="M25" s="42">
        <v>0</v>
      </c>
      <c r="T25" s="193"/>
      <c r="U25" s="42">
        <f t="shared" si="14"/>
        <v>0</v>
      </c>
      <c r="V25" s="42">
        <f t="shared" si="11"/>
        <v>0</v>
      </c>
      <c r="W25" s="42">
        <f t="shared" si="12"/>
        <v>0</v>
      </c>
    </row>
    <row r="26" spans="2:23" x14ac:dyDescent="0.2">
      <c r="B26" s="176"/>
      <c r="C26" s="167"/>
      <c r="D26" s="179"/>
      <c r="E26" s="167"/>
      <c r="F26" s="177"/>
      <c r="G26" s="1"/>
      <c r="H26" s="167"/>
      <c r="K26" s="42">
        <f t="shared" si="13"/>
        <v>0</v>
      </c>
      <c r="M26" s="42">
        <v>0</v>
      </c>
      <c r="T26" s="193"/>
      <c r="U26" s="42">
        <f t="shared" si="14"/>
        <v>0</v>
      </c>
      <c r="V26" s="42">
        <f t="shared" si="11"/>
        <v>0</v>
      </c>
      <c r="W26" s="42">
        <f t="shared" si="12"/>
        <v>0</v>
      </c>
    </row>
    <row r="27" spans="2:23" x14ac:dyDescent="0.2">
      <c r="B27" s="176"/>
      <c r="C27" s="224"/>
      <c r="D27" s="224"/>
      <c r="E27" s="224"/>
      <c r="F27" s="225"/>
      <c r="G27" s="226"/>
      <c r="H27" s="227"/>
      <c r="I27" s="228"/>
      <c r="J27" s="228"/>
      <c r="K27" s="42">
        <f t="shared" si="13"/>
        <v>0</v>
      </c>
      <c r="M27" s="42">
        <v>0</v>
      </c>
      <c r="T27" s="193"/>
      <c r="U27" s="42">
        <f t="shared" si="14"/>
        <v>0</v>
      </c>
      <c r="V27" s="42">
        <f t="shared" si="11"/>
        <v>0</v>
      </c>
      <c r="W27" s="42">
        <f t="shared" si="12"/>
        <v>0</v>
      </c>
    </row>
    <row r="28" spans="2:23" x14ac:dyDescent="0.2">
      <c r="B28" s="176"/>
      <c r="C28" s="227"/>
      <c r="D28" s="227"/>
      <c r="E28" s="227"/>
      <c r="F28" s="225"/>
      <c r="G28" s="226"/>
      <c r="H28" s="227"/>
      <c r="I28" s="228"/>
      <c r="J28" s="228"/>
      <c r="K28" s="42">
        <f t="shared" si="13"/>
        <v>0</v>
      </c>
      <c r="M28" s="42">
        <v>0</v>
      </c>
      <c r="T28" s="193"/>
      <c r="U28" s="42">
        <f t="shared" si="14"/>
        <v>0</v>
      </c>
      <c r="V28" s="42">
        <f t="shared" si="11"/>
        <v>0</v>
      </c>
      <c r="W28" s="42">
        <f t="shared" si="12"/>
        <v>0</v>
      </c>
    </row>
    <row r="29" spans="2:23" x14ac:dyDescent="0.2">
      <c r="B29" s="176"/>
      <c r="C29" s="227"/>
      <c r="D29" s="227"/>
      <c r="E29" s="227"/>
      <c r="F29" s="228"/>
      <c r="G29" s="229"/>
      <c r="H29" s="227"/>
      <c r="I29" s="228"/>
      <c r="J29" s="228"/>
      <c r="K29" s="42">
        <f t="shared" si="13"/>
        <v>0</v>
      </c>
      <c r="M29" s="42">
        <v>0</v>
      </c>
      <c r="T29" s="193"/>
      <c r="U29" s="42">
        <f t="shared" si="14"/>
        <v>0</v>
      </c>
      <c r="V29" s="42">
        <f t="shared" si="11"/>
        <v>0</v>
      </c>
      <c r="W29" s="42">
        <f t="shared" si="12"/>
        <v>0</v>
      </c>
    </row>
    <row r="30" spans="2:23" ht="15" x14ac:dyDescent="0.35">
      <c r="B30" s="176"/>
      <c r="C30" s="230"/>
      <c r="D30" s="228"/>
      <c r="E30" s="227"/>
      <c r="F30" s="228"/>
      <c r="G30" s="231"/>
      <c r="H30" s="227"/>
      <c r="I30" s="228"/>
      <c r="J30" s="228"/>
      <c r="K30" s="42">
        <f t="shared" si="13"/>
        <v>0</v>
      </c>
      <c r="M30" s="42">
        <v>0</v>
      </c>
      <c r="T30" s="193"/>
      <c r="U30" s="42">
        <f t="shared" si="14"/>
        <v>0</v>
      </c>
      <c r="V30" s="42">
        <f t="shared" si="11"/>
        <v>0</v>
      </c>
      <c r="W30" s="42">
        <f t="shared" si="12"/>
        <v>0</v>
      </c>
    </row>
    <row r="31" spans="2:23" x14ac:dyDescent="0.2">
      <c r="B31" s="176"/>
      <c r="C31" s="224"/>
      <c r="D31" s="228"/>
      <c r="E31" s="224"/>
      <c r="F31" s="228"/>
      <c r="G31" s="231"/>
      <c r="H31" s="224"/>
      <c r="I31" s="228"/>
      <c r="J31" s="228"/>
      <c r="K31" s="42">
        <f t="shared" si="13"/>
        <v>0</v>
      </c>
      <c r="M31" s="42">
        <v>0</v>
      </c>
      <c r="T31" s="193"/>
      <c r="U31" s="42">
        <f t="shared" si="14"/>
        <v>0</v>
      </c>
      <c r="V31" s="42">
        <f t="shared" si="11"/>
        <v>0</v>
      </c>
      <c r="W31" s="42">
        <f t="shared" si="12"/>
        <v>0</v>
      </c>
    </row>
    <row r="32" spans="2:23" x14ac:dyDescent="0.2">
      <c r="B32" s="176"/>
      <c r="C32" s="227"/>
      <c r="D32" s="228"/>
      <c r="E32" s="227"/>
      <c r="F32" s="228"/>
      <c r="G32" s="231"/>
      <c r="H32" s="227"/>
      <c r="I32" s="228"/>
      <c r="J32" s="228"/>
      <c r="K32" s="42">
        <f t="shared" si="13"/>
        <v>0</v>
      </c>
      <c r="M32" s="42">
        <v>0</v>
      </c>
      <c r="T32" s="193"/>
      <c r="U32" s="42">
        <f t="shared" si="14"/>
        <v>0</v>
      </c>
      <c r="V32" s="42">
        <f t="shared" si="11"/>
        <v>0</v>
      </c>
      <c r="W32" s="42">
        <f t="shared" si="12"/>
        <v>0</v>
      </c>
    </row>
    <row r="33" spans="2:23" x14ac:dyDescent="0.2">
      <c r="B33" s="176"/>
      <c r="C33" s="227"/>
      <c r="D33" s="228"/>
      <c r="E33" s="227"/>
      <c r="F33" s="228"/>
      <c r="G33" s="231"/>
      <c r="H33" s="227"/>
      <c r="I33" s="228"/>
      <c r="J33" s="228"/>
      <c r="K33" s="42">
        <f t="shared" si="13"/>
        <v>0</v>
      </c>
      <c r="M33" s="42">
        <v>0</v>
      </c>
      <c r="T33" s="193"/>
      <c r="U33" s="42">
        <f t="shared" si="14"/>
        <v>0</v>
      </c>
      <c r="V33" s="42">
        <f t="shared" si="11"/>
        <v>0</v>
      </c>
      <c r="W33" s="42">
        <f t="shared" si="12"/>
        <v>0</v>
      </c>
    </row>
    <row r="34" spans="2:23" x14ac:dyDescent="0.2">
      <c r="B34" s="176"/>
      <c r="C34" s="227"/>
      <c r="D34" s="228"/>
      <c r="E34" s="232"/>
      <c r="F34" s="228"/>
      <c r="G34" s="229"/>
      <c r="H34" s="227"/>
      <c r="I34" s="228"/>
      <c r="J34" s="228"/>
      <c r="K34" s="42">
        <f t="shared" si="13"/>
        <v>0</v>
      </c>
      <c r="M34" s="42">
        <v>0</v>
      </c>
      <c r="T34" s="193"/>
      <c r="U34" s="42">
        <f t="shared" si="14"/>
        <v>0</v>
      </c>
      <c r="V34" s="42">
        <f t="shared" si="11"/>
        <v>0</v>
      </c>
      <c r="W34" s="42">
        <f t="shared" si="12"/>
        <v>0</v>
      </c>
    </row>
    <row r="35" spans="2:23" x14ac:dyDescent="0.2">
      <c r="B35" s="176"/>
      <c r="C35" s="227"/>
      <c r="D35" s="228"/>
      <c r="E35" s="227"/>
      <c r="F35" s="228"/>
      <c r="G35" s="231"/>
      <c r="H35" s="227"/>
      <c r="I35" s="228"/>
      <c r="J35" s="228"/>
      <c r="K35" s="42">
        <f t="shared" si="13"/>
        <v>0</v>
      </c>
      <c r="M35" s="42">
        <v>0</v>
      </c>
      <c r="T35" s="193"/>
      <c r="U35" s="42">
        <f t="shared" si="14"/>
        <v>0</v>
      </c>
      <c r="V35" s="42">
        <f t="shared" si="11"/>
        <v>0</v>
      </c>
      <c r="W35" s="42">
        <f t="shared" si="12"/>
        <v>0</v>
      </c>
    </row>
    <row r="36" spans="2:23" x14ac:dyDescent="0.2">
      <c r="B36" s="176"/>
      <c r="C36" s="227"/>
      <c r="D36" s="228"/>
      <c r="E36" s="232"/>
      <c r="F36" s="228"/>
      <c r="G36" s="229"/>
      <c r="H36" s="227"/>
      <c r="I36" s="228"/>
      <c r="J36" s="228"/>
      <c r="K36" s="42">
        <f t="shared" si="13"/>
        <v>0</v>
      </c>
      <c r="M36" s="42">
        <v>0</v>
      </c>
      <c r="T36" s="193"/>
      <c r="U36" s="42">
        <f t="shared" si="14"/>
        <v>0</v>
      </c>
      <c r="V36" s="42">
        <f t="shared" si="11"/>
        <v>0</v>
      </c>
      <c r="W36" s="42">
        <f t="shared" si="12"/>
        <v>0</v>
      </c>
    </row>
    <row r="37" spans="2:23" x14ac:dyDescent="0.2">
      <c r="B37" s="176"/>
      <c r="C37" s="227"/>
      <c r="D37" s="228"/>
      <c r="E37" s="227"/>
      <c r="F37" s="228"/>
      <c r="G37" s="231"/>
      <c r="H37" s="227"/>
      <c r="I37" s="228"/>
      <c r="J37" s="228"/>
      <c r="K37" s="42">
        <f t="shared" si="13"/>
        <v>0</v>
      </c>
      <c r="M37" s="42">
        <v>0</v>
      </c>
      <c r="T37" s="193"/>
      <c r="U37" s="42">
        <f t="shared" si="14"/>
        <v>0</v>
      </c>
      <c r="V37" s="42">
        <f t="shared" si="11"/>
        <v>0</v>
      </c>
      <c r="W37" s="42">
        <f t="shared" si="12"/>
        <v>0</v>
      </c>
    </row>
    <row r="38" spans="2:23" x14ac:dyDescent="0.2">
      <c r="B38" s="176"/>
      <c r="C38" s="227"/>
      <c r="D38" s="228"/>
      <c r="E38" s="232"/>
      <c r="F38" s="228"/>
      <c r="G38" s="229"/>
      <c r="H38" s="227"/>
      <c r="I38" s="228"/>
      <c r="J38" s="228"/>
      <c r="K38" s="42">
        <f t="shared" si="13"/>
        <v>0</v>
      </c>
      <c r="M38" s="42">
        <v>0</v>
      </c>
      <c r="T38" s="193"/>
      <c r="U38" s="42">
        <f t="shared" si="14"/>
        <v>0</v>
      </c>
      <c r="V38" s="42">
        <f t="shared" si="11"/>
        <v>0</v>
      </c>
      <c r="W38" s="42">
        <f t="shared" si="12"/>
        <v>0</v>
      </c>
    </row>
    <row r="39" spans="2:23" x14ac:dyDescent="0.2">
      <c r="B39" s="176"/>
      <c r="C39" s="227"/>
      <c r="D39" s="228"/>
      <c r="E39" s="227"/>
      <c r="F39" s="228"/>
      <c r="G39" s="231"/>
      <c r="H39" s="227"/>
      <c r="I39" s="228"/>
      <c r="J39" s="228"/>
      <c r="K39" s="42">
        <f t="shared" si="13"/>
        <v>0</v>
      </c>
      <c r="M39" s="42">
        <v>0</v>
      </c>
      <c r="T39" s="193"/>
      <c r="U39" s="42">
        <f t="shared" si="14"/>
        <v>0</v>
      </c>
      <c r="V39" s="42">
        <f t="shared" si="11"/>
        <v>0</v>
      </c>
      <c r="W39" s="42">
        <f t="shared" si="12"/>
        <v>0</v>
      </c>
    </row>
    <row r="40" spans="2:23" x14ac:dyDescent="0.2">
      <c r="B40" s="176"/>
      <c r="C40" s="227"/>
      <c r="D40" s="228"/>
      <c r="E40" s="232"/>
      <c r="F40" s="228"/>
      <c r="G40" s="229"/>
      <c r="H40" s="227"/>
      <c r="I40" s="228"/>
      <c r="J40" s="228"/>
      <c r="K40" s="42">
        <f t="shared" si="13"/>
        <v>0</v>
      </c>
      <c r="M40" s="42">
        <v>0</v>
      </c>
      <c r="T40" s="193"/>
      <c r="U40" s="42">
        <f t="shared" si="14"/>
        <v>0</v>
      </c>
      <c r="V40" s="42">
        <f t="shared" si="11"/>
        <v>0</v>
      </c>
      <c r="W40" s="42">
        <f t="shared" si="12"/>
        <v>0</v>
      </c>
    </row>
    <row r="41" spans="2:23" x14ac:dyDescent="0.2">
      <c r="B41" s="176"/>
      <c r="C41" s="227"/>
      <c r="D41" s="228"/>
      <c r="E41" s="227"/>
      <c r="F41" s="228"/>
      <c r="G41" s="229"/>
      <c r="H41" s="227"/>
      <c r="I41" s="228"/>
      <c r="J41" s="228"/>
      <c r="K41" s="42">
        <f t="shared" si="13"/>
        <v>0</v>
      </c>
      <c r="M41" s="42">
        <v>0</v>
      </c>
      <c r="T41" s="193"/>
      <c r="U41" s="42">
        <f t="shared" si="14"/>
        <v>0</v>
      </c>
      <c r="V41" s="42">
        <f t="shared" si="11"/>
        <v>0</v>
      </c>
      <c r="W41" s="42">
        <f t="shared" si="12"/>
        <v>0</v>
      </c>
    </row>
    <row r="42" spans="2:23" x14ac:dyDescent="0.2">
      <c r="B42" s="176"/>
      <c r="C42" s="227"/>
      <c r="D42" s="228"/>
      <c r="E42" s="232"/>
      <c r="F42" s="228"/>
      <c r="G42" s="229"/>
      <c r="H42" s="227"/>
      <c r="I42" s="228"/>
      <c r="J42" s="228"/>
      <c r="K42" s="42">
        <f t="shared" si="13"/>
        <v>0</v>
      </c>
      <c r="M42" s="42">
        <v>0</v>
      </c>
      <c r="T42" s="193"/>
      <c r="U42" s="42">
        <f t="shared" si="14"/>
        <v>0</v>
      </c>
      <c r="V42" s="42">
        <f t="shared" si="11"/>
        <v>0</v>
      </c>
      <c r="W42" s="42">
        <f t="shared" si="12"/>
        <v>0</v>
      </c>
    </row>
    <row r="43" spans="2:23" x14ac:dyDescent="0.2">
      <c r="B43" s="176"/>
      <c r="C43" s="227"/>
      <c r="D43" s="228"/>
      <c r="E43" s="227"/>
      <c r="F43" s="228"/>
      <c r="G43" s="229"/>
      <c r="H43" s="227"/>
      <c r="I43" s="228"/>
      <c r="J43" s="228"/>
      <c r="K43" s="42">
        <f t="shared" si="13"/>
        <v>0</v>
      </c>
      <c r="M43" s="42">
        <v>0</v>
      </c>
      <c r="T43" s="193"/>
      <c r="U43" s="42">
        <f t="shared" si="14"/>
        <v>0</v>
      </c>
      <c r="V43" s="42">
        <f t="shared" si="11"/>
        <v>0</v>
      </c>
      <c r="W43" s="42">
        <f t="shared" si="12"/>
        <v>0</v>
      </c>
    </row>
    <row r="44" spans="2:23" x14ac:dyDescent="0.2">
      <c r="B44" s="176"/>
      <c r="C44" s="227"/>
      <c r="D44" s="228"/>
      <c r="E44" s="232"/>
      <c r="F44" s="228"/>
      <c r="G44" s="229"/>
      <c r="H44" s="227"/>
      <c r="I44" s="228"/>
      <c r="J44" s="228"/>
      <c r="K44" s="42">
        <f t="shared" si="13"/>
        <v>0</v>
      </c>
      <c r="M44" s="42">
        <v>0</v>
      </c>
      <c r="T44" s="193"/>
      <c r="U44" s="42">
        <f t="shared" si="14"/>
        <v>0</v>
      </c>
      <c r="V44" s="42">
        <f t="shared" si="11"/>
        <v>0</v>
      </c>
      <c r="W44" s="42">
        <f t="shared" si="12"/>
        <v>0</v>
      </c>
    </row>
    <row r="45" spans="2:23" x14ac:dyDescent="0.2">
      <c r="B45" s="176"/>
      <c r="C45" s="227"/>
      <c r="D45" s="228"/>
      <c r="E45" s="227"/>
      <c r="F45" s="228"/>
      <c r="G45" s="229"/>
      <c r="H45" s="227"/>
      <c r="I45" s="228"/>
      <c r="J45" s="228"/>
      <c r="K45" s="42">
        <f t="shared" si="13"/>
        <v>0</v>
      </c>
      <c r="M45" s="42">
        <v>0</v>
      </c>
      <c r="T45" s="193"/>
      <c r="U45" s="42">
        <f t="shared" si="14"/>
        <v>0</v>
      </c>
      <c r="V45" s="42">
        <f t="shared" si="11"/>
        <v>0</v>
      </c>
      <c r="W45" s="42">
        <f t="shared" si="12"/>
        <v>0</v>
      </c>
    </row>
    <row r="46" spans="2:23" x14ac:dyDescent="0.2">
      <c r="B46" s="176"/>
      <c r="C46" s="227"/>
      <c r="D46" s="228"/>
      <c r="E46" s="232"/>
      <c r="F46" s="228"/>
      <c r="G46" s="229"/>
      <c r="H46" s="227"/>
      <c r="I46" s="228"/>
      <c r="J46" s="228"/>
      <c r="K46" s="42">
        <f t="shared" si="13"/>
        <v>0</v>
      </c>
      <c r="M46" s="42">
        <v>0</v>
      </c>
      <c r="T46" s="193"/>
      <c r="U46" s="42">
        <f t="shared" si="14"/>
        <v>0</v>
      </c>
      <c r="V46" s="42">
        <f t="shared" si="11"/>
        <v>0</v>
      </c>
      <c r="W46" s="42">
        <f t="shared" si="12"/>
        <v>0</v>
      </c>
    </row>
    <row r="47" spans="2:23" x14ac:dyDescent="0.2">
      <c r="B47" s="176"/>
      <c r="C47" s="227"/>
      <c r="D47" s="228"/>
      <c r="E47" s="227"/>
      <c r="F47" s="228"/>
      <c r="G47" s="229"/>
      <c r="H47" s="227"/>
      <c r="I47" s="228"/>
      <c r="J47" s="228"/>
      <c r="K47" s="42">
        <f t="shared" si="13"/>
        <v>0</v>
      </c>
      <c r="M47" s="42">
        <v>0</v>
      </c>
      <c r="T47" s="193"/>
      <c r="U47" s="42">
        <f t="shared" si="14"/>
        <v>0</v>
      </c>
      <c r="V47" s="42">
        <f t="shared" si="11"/>
        <v>0</v>
      </c>
      <c r="W47" s="42">
        <f t="shared" si="12"/>
        <v>0</v>
      </c>
    </row>
    <row r="48" spans="2:23" x14ac:dyDescent="0.2">
      <c r="B48" s="176"/>
      <c r="C48" s="227"/>
      <c r="D48" s="228"/>
      <c r="E48" s="232"/>
      <c r="F48" s="228"/>
      <c r="G48" s="229"/>
      <c r="H48" s="227"/>
      <c r="I48" s="228"/>
      <c r="J48" s="228"/>
      <c r="K48" s="42">
        <f t="shared" si="13"/>
        <v>0</v>
      </c>
      <c r="M48" s="42">
        <v>0</v>
      </c>
      <c r="T48" s="193"/>
      <c r="U48" s="42">
        <f t="shared" si="14"/>
        <v>0</v>
      </c>
      <c r="V48" s="42">
        <f t="shared" si="11"/>
        <v>0</v>
      </c>
      <c r="W48" s="42">
        <f t="shared" si="12"/>
        <v>0</v>
      </c>
    </row>
    <row r="49" spans="2:23" x14ac:dyDescent="0.2">
      <c r="B49" s="176"/>
      <c r="C49" s="227"/>
      <c r="D49" s="228"/>
      <c r="E49" s="227"/>
      <c r="F49" s="228"/>
      <c r="G49" s="229"/>
      <c r="H49" s="227"/>
      <c r="I49" s="228"/>
      <c r="J49" s="228"/>
      <c r="K49" s="42">
        <f t="shared" si="13"/>
        <v>0</v>
      </c>
      <c r="M49" s="42">
        <v>0</v>
      </c>
      <c r="T49" s="193"/>
      <c r="U49" s="42">
        <f t="shared" si="14"/>
        <v>0</v>
      </c>
      <c r="V49" s="42">
        <f t="shared" si="11"/>
        <v>0</v>
      </c>
      <c r="W49" s="42">
        <f t="shared" si="12"/>
        <v>0</v>
      </c>
    </row>
    <row r="50" spans="2:23" x14ac:dyDescent="0.2">
      <c r="B50" s="176"/>
      <c r="C50" s="227"/>
      <c r="D50" s="228"/>
      <c r="E50" s="232"/>
      <c r="F50" s="228"/>
      <c r="G50" s="229"/>
      <c r="H50" s="227"/>
      <c r="I50" s="228"/>
      <c r="J50" s="228"/>
      <c r="K50" s="42">
        <f t="shared" si="13"/>
        <v>0</v>
      </c>
      <c r="M50" s="42">
        <v>0</v>
      </c>
      <c r="T50" s="193"/>
      <c r="U50" s="42">
        <f t="shared" si="14"/>
        <v>0</v>
      </c>
      <c r="V50" s="42">
        <f t="shared" si="11"/>
        <v>0</v>
      </c>
      <c r="W50" s="42">
        <f t="shared" si="12"/>
        <v>0</v>
      </c>
    </row>
    <row r="51" spans="2:23" x14ac:dyDescent="0.2">
      <c r="B51" s="176"/>
      <c r="C51" s="227"/>
      <c r="D51" s="228"/>
      <c r="E51" s="227"/>
      <c r="F51" s="228"/>
      <c r="G51" s="229"/>
      <c r="H51" s="227"/>
      <c r="I51" s="228"/>
      <c r="J51" s="228"/>
      <c r="K51" s="42">
        <f t="shared" si="13"/>
        <v>0</v>
      </c>
      <c r="M51" s="42">
        <v>0</v>
      </c>
      <c r="T51" s="193"/>
      <c r="U51" s="42">
        <f t="shared" si="14"/>
        <v>0</v>
      </c>
      <c r="V51" s="42">
        <f t="shared" si="11"/>
        <v>0</v>
      </c>
      <c r="W51" s="42">
        <f t="shared" si="12"/>
        <v>0</v>
      </c>
    </row>
    <row r="52" spans="2:23" x14ac:dyDescent="0.2">
      <c r="B52" s="176"/>
      <c r="C52" s="227"/>
      <c r="D52" s="228"/>
      <c r="E52" s="232"/>
      <c r="F52" s="228"/>
      <c r="G52" s="229"/>
      <c r="H52" s="227"/>
      <c r="I52" s="228"/>
      <c r="J52" s="228"/>
      <c r="K52" s="42">
        <f t="shared" si="13"/>
        <v>0</v>
      </c>
      <c r="M52" s="42">
        <v>0</v>
      </c>
      <c r="T52" s="193"/>
      <c r="U52" s="42">
        <f t="shared" si="14"/>
        <v>0</v>
      </c>
      <c r="V52" s="42">
        <f t="shared" si="11"/>
        <v>0</v>
      </c>
      <c r="W52" s="42">
        <f t="shared" si="12"/>
        <v>0</v>
      </c>
    </row>
    <row r="53" spans="2:23" x14ac:dyDescent="0.2">
      <c r="B53" s="176"/>
      <c r="C53" s="227"/>
      <c r="D53" s="228"/>
      <c r="E53" s="227"/>
      <c r="F53" s="228"/>
      <c r="G53" s="229"/>
      <c r="H53" s="227"/>
      <c r="I53" s="228"/>
      <c r="J53" s="228"/>
      <c r="K53" s="42">
        <f t="shared" si="13"/>
        <v>0</v>
      </c>
      <c r="M53" s="42">
        <v>0</v>
      </c>
      <c r="T53" s="193"/>
      <c r="U53" s="42">
        <f t="shared" si="14"/>
        <v>0</v>
      </c>
      <c r="V53" s="42">
        <f t="shared" si="11"/>
        <v>0</v>
      </c>
      <c r="W53" s="42">
        <f t="shared" si="12"/>
        <v>0</v>
      </c>
    </row>
    <row r="54" spans="2:23" x14ac:dyDescent="0.2">
      <c r="B54" s="176"/>
      <c r="C54" s="227"/>
      <c r="D54" s="228"/>
      <c r="E54" s="232"/>
      <c r="F54" s="228"/>
      <c r="G54" s="229"/>
      <c r="H54" s="227"/>
      <c r="I54" s="228"/>
      <c r="J54" s="228"/>
      <c r="K54" s="42">
        <f t="shared" si="13"/>
        <v>0</v>
      </c>
      <c r="M54" s="42">
        <v>0</v>
      </c>
      <c r="T54" s="193"/>
      <c r="U54" s="42">
        <f t="shared" ref="U54:U85" si="15">I54+L54-N54</f>
        <v>0</v>
      </c>
      <c r="V54" s="42">
        <f t="shared" ref="V54:V85" si="16">J54+T54-O54</f>
        <v>0</v>
      </c>
      <c r="W54" s="42">
        <f t="shared" si="12"/>
        <v>0</v>
      </c>
    </row>
    <row r="55" spans="2:23" x14ac:dyDescent="0.2">
      <c r="B55" s="176"/>
      <c r="C55" s="227"/>
      <c r="D55" s="228"/>
      <c r="E55" s="227"/>
      <c r="F55" s="228"/>
      <c r="G55" s="231"/>
      <c r="H55" s="227"/>
      <c r="I55" s="228"/>
      <c r="J55" s="228"/>
      <c r="K55" s="42">
        <f t="shared" si="13"/>
        <v>0</v>
      </c>
      <c r="M55" s="42">
        <v>0</v>
      </c>
      <c r="T55" s="193"/>
      <c r="U55" s="42">
        <f t="shared" si="15"/>
        <v>0</v>
      </c>
      <c r="V55" s="42">
        <f t="shared" si="16"/>
        <v>0</v>
      </c>
      <c r="W55" s="42">
        <f t="shared" si="12"/>
        <v>0</v>
      </c>
    </row>
    <row r="56" spans="2:23" x14ac:dyDescent="0.2">
      <c r="B56" s="176"/>
      <c r="C56" s="227"/>
      <c r="D56" s="228"/>
      <c r="E56" s="227"/>
      <c r="F56" s="228"/>
      <c r="G56" s="231"/>
      <c r="H56" s="227"/>
      <c r="I56" s="228"/>
      <c r="J56" s="228"/>
      <c r="K56" s="42">
        <f t="shared" si="13"/>
        <v>0</v>
      </c>
      <c r="M56" s="42">
        <v>0</v>
      </c>
      <c r="T56" s="193"/>
      <c r="U56" s="42">
        <f t="shared" si="15"/>
        <v>0</v>
      </c>
      <c r="V56" s="42">
        <f t="shared" si="16"/>
        <v>0</v>
      </c>
      <c r="W56" s="42">
        <f t="shared" si="12"/>
        <v>0</v>
      </c>
    </row>
    <row r="57" spans="2:23" x14ac:dyDescent="0.2">
      <c r="B57" s="176"/>
      <c r="C57" s="227"/>
      <c r="D57" s="228"/>
      <c r="E57" s="227"/>
      <c r="F57" s="228"/>
      <c r="G57" s="231"/>
      <c r="H57" s="227"/>
      <c r="I57" s="228"/>
      <c r="J57" s="228"/>
      <c r="K57" s="42">
        <f t="shared" si="13"/>
        <v>0</v>
      </c>
      <c r="M57" s="42">
        <v>0</v>
      </c>
      <c r="T57" s="193"/>
      <c r="U57" s="42">
        <f t="shared" si="15"/>
        <v>0</v>
      </c>
      <c r="V57" s="42">
        <f t="shared" si="16"/>
        <v>0</v>
      </c>
      <c r="W57" s="42">
        <f t="shared" si="12"/>
        <v>0</v>
      </c>
    </row>
    <row r="58" spans="2:23" x14ac:dyDescent="0.2">
      <c r="B58" s="176"/>
      <c r="C58" s="227"/>
      <c r="D58" s="228"/>
      <c r="E58" s="227"/>
      <c r="F58" s="228"/>
      <c r="G58" s="229"/>
      <c r="H58" s="227"/>
      <c r="I58" s="228"/>
      <c r="J58" s="228"/>
      <c r="K58" s="42">
        <f t="shared" si="13"/>
        <v>0</v>
      </c>
      <c r="M58" s="42">
        <v>0</v>
      </c>
      <c r="T58" s="193"/>
      <c r="U58" s="42">
        <f t="shared" si="15"/>
        <v>0</v>
      </c>
      <c r="V58" s="42">
        <f t="shared" si="16"/>
        <v>0</v>
      </c>
      <c r="W58" s="42">
        <f t="shared" si="12"/>
        <v>0</v>
      </c>
    </row>
    <row r="59" spans="2:23" x14ac:dyDescent="0.2">
      <c r="B59" s="176"/>
      <c r="C59" s="227"/>
      <c r="D59" s="228"/>
      <c r="E59" s="227"/>
      <c r="F59" s="228"/>
      <c r="G59" s="231"/>
      <c r="H59" s="227"/>
      <c r="I59" s="228"/>
      <c r="J59" s="228"/>
      <c r="K59" s="42">
        <f t="shared" si="13"/>
        <v>0</v>
      </c>
      <c r="M59" s="42">
        <v>0</v>
      </c>
      <c r="T59" s="193"/>
      <c r="U59" s="42">
        <f t="shared" si="15"/>
        <v>0</v>
      </c>
      <c r="V59" s="42">
        <f t="shared" si="16"/>
        <v>0</v>
      </c>
      <c r="W59" s="42">
        <f t="shared" si="12"/>
        <v>0</v>
      </c>
    </row>
    <row r="60" spans="2:23" x14ac:dyDescent="0.2">
      <c r="B60" s="176"/>
      <c r="C60" s="227"/>
      <c r="D60" s="228"/>
      <c r="E60" s="227"/>
      <c r="F60" s="228"/>
      <c r="G60" s="229"/>
      <c r="H60" s="227"/>
      <c r="I60" s="228"/>
      <c r="J60" s="228"/>
      <c r="K60" s="42">
        <f t="shared" si="13"/>
        <v>0</v>
      </c>
      <c r="M60" s="42">
        <v>0</v>
      </c>
      <c r="T60" s="193"/>
      <c r="U60" s="42">
        <f t="shared" si="15"/>
        <v>0</v>
      </c>
      <c r="V60" s="42">
        <f t="shared" si="16"/>
        <v>0</v>
      </c>
      <c r="W60" s="42">
        <f t="shared" si="12"/>
        <v>0</v>
      </c>
    </row>
    <row r="61" spans="2:23" x14ac:dyDescent="0.2">
      <c r="B61" s="91"/>
      <c r="C61" s="227"/>
      <c r="D61" s="228"/>
      <c r="E61" s="227"/>
      <c r="F61" s="233"/>
      <c r="G61" s="226"/>
      <c r="H61" s="227"/>
      <c r="I61" s="228"/>
      <c r="J61" s="228"/>
      <c r="K61" s="42">
        <f t="shared" si="13"/>
        <v>0</v>
      </c>
      <c r="M61" s="42">
        <v>0</v>
      </c>
      <c r="T61" s="193"/>
      <c r="U61" s="42">
        <f t="shared" si="15"/>
        <v>0</v>
      </c>
      <c r="V61" s="42">
        <f t="shared" si="16"/>
        <v>0</v>
      </c>
      <c r="W61" s="42">
        <f t="shared" si="12"/>
        <v>0</v>
      </c>
    </row>
    <row r="62" spans="2:23" x14ac:dyDescent="0.2">
      <c r="B62" s="91"/>
      <c r="C62" s="227"/>
      <c r="D62" s="227"/>
      <c r="E62" s="227"/>
      <c r="F62" s="233"/>
      <c r="G62" s="226"/>
      <c r="H62" s="227"/>
      <c r="I62" s="228"/>
      <c r="J62" s="228"/>
      <c r="K62" s="42">
        <f t="shared" si="13"/>
        <v>0</v>
      </c>
      <c r="M62" s="42">
        <v>0</v>
      </c>
      <c r="T62" s="193"/>
      <c r="U62" s="42">
        <f t="shared" si="15"/>
        <v>0</v>
      </c>
      <c r="V62" s="42">
        <f t="shared" si="16"/>
        <v>0</v>
      </c>
      <c r="W62" s="42">
        <f t="shared" si="12"/>
        <v>0</v>
      </c>
    </row>
    <row r="63" spans="2:23" x14ac:dyDescent="0.2">
      <c r="B63" s="91"/>
      <c r="C63" s="227"/>
      <c r="D63" s="234"/>
      <c r="E63" s="227"/>
      <c r="F63" s="233"/>
      <c r="G63" s="226"/>
      <c r="H63" s="227"/>
      <c r="I63" s="228"/>
      <c r="J63" s="228"/>
      <c r="K63" s="42">
        <f t="shared" si="13"/>
        <v>0</v>
      </c>
      <c r="M63" s="42">
        <v>0</v>
      </c>
      <c r="T63" s="193"/>
      <c r="U63" s="42">
        <f t="shared" si="15"/>
        <v>0</v>
      </c>
      <c r="V63" s="42">
        <f t="shared" si="16"/>
        <v>0</v>
      </c>
      <c r="W63" s="42">
        <f t="shared" si="12"/>
        <v>0</v>
      </c>
    </row>
    <row r="64" spans="2:23" x14ac:dyDescent="0.2">
      <c r="B64" s="91"/>
      <c r="C64" s="227"/>
      <c r="D64" s="234"/>
      <c r="E64" s="227"/>
      <c r="F64" s="233"/>
      <c r="G64" s="226"/>
      <c r="H64" s="227"/>
      <c r="I64" s="228"/>
      <c r="J64" s="228"/>
      <c r="K64" s="42">
        <f t="shared" si="13"/>
        <v>0</v>
      </c>
      <c r="M64" s="42">
        <v>0</v>
      </c>
      <c r="T64" s="193"/>
      <c r="U64" s="42">
        <f t="shared" si="15"/>
        <v>0</v>
      </c>
      <c r="V64" s="42">
        <f t="shared" si="16"/>
        <v>0</v>
      </c>
      <c r="W64" s="42">
        <f t="shared" si="12"/>
        <v>0</v>
      </c>
    </row>
    <row r="65" spans="2:23" x14ac:dyDescent="0.2">
      <c r="B65" s="91"/>
      <c r="C65" s="227"/>
      <c r="D65" s="234"/>
      <c r="E65" s="227"/>
      <c r="F65" s="233"/>
      <c r="G65" s="226"/>
      <c r="H65" s="227"/>
      <c r="I65" s="228"/>
      <c r="J65" s="228"/>
      <c r="K65" s="42">
        <f t="shared" si="13"/>
        <v>0</v>
      </c>
      <c r="M65" s="42">
        <v>0</v>
      </c>
      <c r="T65" s="193"/>
      <c r="U65" s="42">
        <f t="shared" si="15"/>
        <v>0</v>
      </c>
      <c r="V65" s="42">
        <f t="shared" si="16"/>
        <v>0</v>
      </c>
      <c r="W65" s="42">
        <f t="shared" si="12"/>
        <v>0</v>
      </c>
    </row>
    <row r="66" spans="2:23" x14ac:dyDescent="0.2">
      <c r="B66" s="91"/>
      <c r="C66" s="227"/>
      <c r="D66" s="234"/>
      <c r="E66" s="227"/>
      <c r="F66" s="233"/>
      <c r="G66" s="226"/>
      <c r="H66" s="227"/>
      <c r="I66" s="228"/>
      <c r="J66" s="228"/>
      <c r="K66" s="42">
        <f t="shared" si="13"/>
        <v>0</v>
      </c>
      <c r="M66" s="42">
        <v>0</v>
      </c>
      <c r="T66" s="193"/>
      <c r="U66" s="42">
        <f t="shared" si="15"/>
        <v>0</v>
      </c>
      <c r="V66" s="42">
        <f t="shared" si="16"/>
        <v>0</v>
      </c>
      <c r="W66" s="42">
        <f t="shared" si="12"/>
        <v>0</v>
      </c>
    </row>
    <row r="67" spans="2:23" x14ac:dyDescent="0.2">
      <c r="B67" s="91"/>
      <c r="C67" s="227"/>
      <c r="D67" s="234"/>
      <c r="E67" s="227"/>
      <c r="F67" s="233"/>
      <c r="G67" s="226"/>
      <c r="H67" s="227"/>
      <c r="I67" s="228"/>
      <c r="J67" s="228"/>
      <c r="K67" s="42">
        <f t="shared" si="13"/>
        <v>0</v>
      </c>
      <c r="M67" s="42">
        <v>0</v>
      </c>
      <c r="T67" s="193"/>
      <c r="U67" s="42">
        <f t="shared" si="15"/>
        <v>0</v>
      </c>
      <c r="V67" s="42">
        <f t="shared" si="16"/>
        <v>0</v>
      </c>
      <c r="W67" s="42">
        <f t="shared" si="12"/>
        <v>0</v>
      </c>
    </row>
    <row r="68" spans="2:23" x14ac:dyDescent="0.2">
      <c r="B68" s="91"/>
      <c r="C68" s="227"/>
      <c r="D68" s="234"/>
      <c r="E68" s="227"/>
      <c r="F68" s="233"/>
      <c r="G68" s="226"/>
      <c r="H68" s="227"/>
      <c r="I68" s="228"/>
      <c r="J68" s="228"/>
      <c r="K68" s="42">
        <f t="shared" si="13"/>
        <v>0</v>
      </c>
      <c r="M68" s="42">
        <v>0</v>
      </c>
      <c r="T68" s="193"/>
      <c r="U68" s="42">
        <f t="shared" si="15"/>
        <v>0</v>
      </c>
      <c r="V68" s="42">
        <f t="shared" si="16"/>
        <v>0</v>
      </c>
      <c r="W68" s="42">
        <f t="shared" si="12"/>
        <v>0</v>
      </c>
    </row>
    <row r="69" spans="2:23" x14ac:dyDescent="0.2">
      <c r="B69" s="91"/>
      <c r="C69" s="227"/>
      <c r="D69" s="234"/>
      <c r="E69" s="227"/>
      <c r="F69" s="233"/>
      <c r="G69" s="226"/>
      <c r="H69" s="227"/>
      <c r="I69" s="228"/>
      <c r="J69" s="228"/>
      <c r="K69" s="42">
        <f t="shared" si="13"/>
        <v>0</v>
      </c>
      <c r="M69" s="42">
        <v>0</v>
      </c>
      <c r="T69" s="193"/>
      <c r="U69" s="42">
        <f t="shared" si="15"/>
        <v>0</v>
      </c>
      <c r="V69" s="42">
        <f t="shared" si="16"/>
        <v>0</v>
      </c>
      <c r="W69" s="42">
        <f t="shared" si="12"/>
        <v>0</v>
      </c>
    </row>
    <row r="70" spans="2:23" x14ac:dyDescent="0.2">
      <c r="B70" s="91"/>
      <c r="C70" s="227"/>
      <c r="D70" s="234"/>
      <c r="E70" s="227"/>
      <c r="F70" s="233"/>
      <c r="G70" s="226"/>
      <c r="H70" s="227"/>
      <c r="I70" s="228"/>
      <c r="J70" s="228"/>
      <c r="K70" s="42">
        <f t="shared" si="13"/>
        <v>0</v>
      </c>
      <c r="M70" s="42">
        <v>0</v>
      </c>
      <c r="T70" s="193"/>
      <c r="U70" s="42">
        <f t="shared" si="15"/>
        <v>0</v>
      </c>
      <c r="V70" s="42">
        <f t="shared" si="16"/>
        <v>0</v>
      </c>
      <c r="W70" s="42">
        <f t="shared" si="12"/>
        <v>0</v>
      </c>
    </row>
    <row r="71" spans="2:23" x14ac:dyDescent="0.2">
      <c r="B71" s="91"/>
      <c r="C71" s="227"/>
      <c r="D71" s="227"/>
      <c r="E71" s="227"/>
      <c r="F71" s="233"/>
      <c r="G71" s="226"/>
      <c r="H71" s="227"/>
      <c r="I71" s="228"/>
      <c r="J71" s="228"/>
      <c r="K71" s="42">
        <f t="shared" si="13"/>
        <v>0</v>
      </c>
      <c r="M71" s="42">
        <v>0</v>
      </c>
      <c r="T71" s="193"/>
      <c r="U71" s="42">
        <f t="shared" si="15"/>
        <v>0</v>
      </c>
      <c r="V71" s="42">
        <f t="shared" si="16"/>
        <v>0</v>
      </c>
      <c r="W71" s="42">
        <f t="shared" si="12"/>
        <v>0</v>
      </c>
    </row>
    <row r="72" spans="2:23" x14ac:dyDescent="0.2">
      <c r="B72" s="91"/>
      <c r="C72" s="227"/>
      <c r="D72" s="227"/>
      <c r="E72" s="227"/>
      <c r="F72" s="233"/>
      <c r="G72" s="1"/>
      <c r="H72" s="227"/>
      <c r="I72" s="228"/>
      <c r="J72" s="228"/>
      <c r="K72" s="42">
        <f t="shared" si="13"/>
        <v>0</v>
      </c>
      <c r="M72" s="42">
        <v>0</v>
      </c>
      <c r="T72" s="193"/>
      <c r="U72" s="42">
        <f t="shared" si="15"/>
        <v>0</v>
      </c>
      <c r="V72" s="42">
        <f t="shared" si="16"/>
        <v>0</v>
      </c>
      <c r="W72" s="42">
        <f t="shared" si="12"/>
        <v>0</v>
      </c>
    </row>
    <row r="73" spans="2:23" x14ac:dyDescent="0.2">
      <c r="B73" s="91"/>
      <c r="C73" s="227"/>
      <c r="D73" s="227"/>
      <c r="E73" s="232"/>
      <c r="F73" s="233"/>
      <c r="G73" s="235"/>
      <c r="H73" s="227"/>
      <c r="I73" s="228"/>
      <c r="J73" s="228"/>
      <c r="K73" s="42">
        <f t="shared" si="13"/>
        <v>0</v>
      </c>
      <c r="M73" s="42">
        <v>0</v>
      </c>
      <c r="T73" s="193"/>
      <c r="U73" s="42">
        <f t="shared" si="15"/>
        <v>0</v>
      </c>
      <c r="V73" s="42">
        <f t="shared" si="16"/>
        <v>0</v>
      </c>
      <c r="W73" s="42">
        <f t="shared" si="12"/>
        <v>0</v>
      </c>
    </row>
    <row r="74" spans="2:23" x14ac:dyDescent="0.2">
      <c r="B74" s="91"/>
      <c r="C74" s="167"/>
      <c r="D74" s="167"/>
      <c r="E74" s="167"/>
      <c r="F74" s="168"/>
      <c r="G74" s="1"/>
      <c r="H74" s="167"/>
      <c r="K74" s="42">
        <f t="shared" si="13"/>
        <v>0</v>
      </c>
      <c r="M74" s="42">
        <v>0</v>
      </c>
      <c r="T74" s="193"/>
      <c r="U74" s="42">
        <f t="shared" si="15"/>
        <v>0</v>
      </c>
      <c r="V74" s="42">
        <f t="shared" si="16"/>
        <v>0</v>
      </c>
      <c r="W74" s="42">
        <f t="shared" si="12"/>
        <v>0</v>
      </c>
    </row>
    <row r="75" spans="2:23" x14ac:dyDescent="0.2">
      <c r="B75" s="91"/>
      <c r="C75" s="167"/>
      <c r="D75" s="167"/>
      <c r="E75" s="167"/>
      <c r="F75" s="168"/>
      <c r="G75" s="1"/>
      <c r="H75" s="167"/>
      <c r="K75" s="42">
        <f t="shared" si="13"/>
        <v>0</v>
      </c>
      <c r="M75" s="42">
        <v>0</v>
      </c>
      <c r="T75" s="193"/>
      <c r="U75" s="42">
        <f t="shared" si="15"/>
        <v>0</v>
      </c>
      <c r="V75" s="42">
        <f t="shared" si="16"/>
        <v>0</v>
      </c>
      <c r="W75" s="42">
        <f t="shared" si="12"/>
        <v>0</v>
      </c>
    </row>
    <row r="76" spans="2:23" x14ac:dyDescent="0.2">
      <c r="B76" s="91"/>
      <c r="C76" s="167"/>
      <c r="D76" s="167"/>
      <c r="E76" s="167"/>
      <c r="F76" s="168"/>
      <c r="G76" s="1"/>
      <c r="H76" s="167"/>
      <c r="K76" s="42">
        <f t="shared" si="13"/>
        <v>0</v>
      </c>
      <c r="T76" s="193"/>
      <c r="U76" s="42">
        <f t="shared" si="15"/>
        <v>0</v>
      </c>
      <c r="V76" s="42">
        <f t="shared" si="16"/>
        <v>0</v>
      </c>
      <c r="W76" s="42">
        <f t="shared" si="12"/>
        <v>0</v>
      </c>
    </row>
    <row r="77" spans="2:23" ht="15" x14ac:dyDescent="0.35">
      <c r="B77" s="91"/>
      <c r="C77" s="169" t="s">
        <v>490</v>
      </c>
      <c r="D77" s="169"/>
      <c r="E77" s="167"/>
      <c r="F77" s="168"/>
      <c r="G77" s="1"/>
      <c r="H77" s="167"/>
      <c r="K77" s="42">
        <f t="shared" si="13"/>
        <v>0</v>
      </c>
      <c r="T77" s="193"/>
      <c r="U77" s="42">
        <f t="shared" si="15"/>
        <v>0</v>
      </c>
      <c r="V77" s="42">
        <f t="shared" si="16"/>
        <v>0</v>
      </c>
      <c r="W77" s="42">
        <f t="shared" si="12"/>
        <v>0</v>
      </c>
    </row>
    <row r="78" spans="2:23" ht="15" x14ac:dyDescent="0.35">
      <c r="B78" s="91"/>
      <c r="C78" s="169"/>
      <c r="D78" s="169"/>
      <c r="E78" s="167"/>
      <c r="F78" s="168"/>
      <c r="G78" s="1"/>
      <c r="H78" s="167"/>
      <c r="K78" s="42">
        <f t="shared" si="13"/>
        <v>0</v>
      </c>
      <c r="T78" s="193"/>
      <c r="U78" s="42">
        <f t="shared" si="15"/>
        <v>0</v>
      </c>
      <c r="V78" s="42">
        <f t="shared" si="16"/>
        <v>0</v>
      </c>
      <c r="W78" s="42">
        <f t="shared" si="12"/>
        <v>0</v>
      </c>
    </row>
    <row r="79" spans="2:23" x14ac:dyDescent="0.2">
      <c r="B79" s="176"/>
      <c r="C79" s="227"/>
      <c r="D79" s="227"/>
      <c r="E79" s="227"/>
      <c r="F79" s="228"/>
      <c r="G79" s="176"/>
      <c r="H79" s="227"/>
      <c r="I79" s="228"/>
      <c r="J79" s="228"/>
      <c r="K79" s="42">
        <f t="shared" si="13"/>
        <v>0</v>
      </c>
      <c r="T79" s="193"/>
      <c r="U79" s="42">
        <f t="shared" si="15"/>
        <v>0</v>
      </c>
      <c r="V79" s="42">
        <f t="shared" si="16"/>
        <v>0</v>
      </c>
      <c r="W79" s="42">
        <f t="shared" si="12"/>
        <v>0</v>
      </c>
    </row>
    <row r="80" spans="2:23" x14ac:dyDescent="0.2">
      <c r="B80" s="176"/>
      <c r="C80" s="227"/>
      <c r="D80" s="227"/>
      <c r="E80" s="227"/>
      <c r="F80" s="228"/>
      <c r="G80" s="225"/>
      <c r="H80" s="236"/>
      <c r="I80" s="228"/>
      <c r="J80" s="228"/>
      <c r="K80" s="42">
        <f t="shared" si="13"/>
        <v>0</v>
      </c>
      <c r="T80" s="193"/>
      <c r="U80" s="42">
        <f t="shared" si="15"/>
        <v>0</v>
      </c>
      <c r="V80" s="42">
        <f t="shared" si="16"/>
        <v>0</v>
      </c>
      <c r="W80" s="42">
        <f t="shared" si="12"/>
        <v>0</v>
      </c>
    </row>
    <row r="81" spans="2:23" x14ac:dyDescent="0.2">
      <c r="B81" s="176"/>
      <c r="C81" s="227"/>
      <c r="D81" s="227"/>
      <c r="E81" s="227"/>
      <c r="F81" s="228"/>
      <c r="G81" s="176"/>
      <c r="H81" s="236"/>
      <c r="I81" s="228"/>
      <c r="J81" s="228"/>
      <c r="K81" s="42">
        <f t="shared" si="13"/>
        <v>0</v>
      </c>
      <c r="T81" s="193"/>
      <c r="U81" s="42">
        <f t="shared" si="15"/>
        <v>0</v>
      </c>
      <c r="V81" s="42">
        <f t="shared" si="16"/>
        <v>0</v>
      </c>
      <c r="W81" s="42">
        <f t="shared" si="12"/>
        <v>0</v>
      </c>
    </row>
    <row r="82" spans="2:23" x14ac:dyDescent="0.2">
      <c r="B82" s="176"/>
      <c r="C82" s="227"/>
      <c r="D82" s="227"/>
      <c r="E82" s="227"/>
      <c r="F82" s="228"/>
      <c r="G82" s="225"/>
      <c r="H82" s="236"/>
      <c r="I82" s="228"/>
      <c r="J82" s="228"/>
      <c r="K82" s="42">
        <f t="shared" si="13"/>
        <v>0</v>
      </c>
      <c r="T82" s="193"/>
      <c r="U82" s="42">
        <f t="shared" si="15"/>
        <v>0</v>
      </c>
      <c r="V82" s="42">
        <f t="shared" si="16"/>
        <v>0</v>
      </c>
      <c r="W82" s="42">
        <f t="shared" si="12"/>
        <v>0</v>
      </c>
    </row>
    <row r="83" spans="2:23" x14ac:dyDescent="0.2">
      <c r="B83" s="176"/>
      <c r="C83" s="227"/>
      <c r="D83" s="227"/>
      <c r="E83" s="227"/>
      <c r="F83" s="228"/>
      <c r="G83" s="176"/>
      <c r="H83" s="236"/>
      <c r="I83" s="228"/>
      <c r="J83" s="228"/>
      <c r="K83" s="42">
        <f t="shared" si="13"/>
        <v>0</v>
      </c>
      <c r="T83" s="193"/>
      <c r="U83" s="42">
        <f t="shared" si="15"/>
        <v>0</v>
      </c>
      <c r="V83" s="42">
        <f t="shared" si="16"/>
        <v>0</v>
      </c>
      <c r="W83" s="42">
        <f t="shared" si="12"/>
        <v>0</v>
      </c>
    </row>
    <row r="84" spans="2:23" x14ac:dyDescent="0.2">
      <c r="B84" s="176"/>
      <c r="C84" s="227"/>
      <c r="D84" s="227"/>
      <c r="E84" s="227"/>
      <c r="F84" s="228"/>
      <c r="G84" s="176"/>
      <c r="H84" s="236"/>
      <c r="I84" s="228"/>
      <c r="J84" s="228"/>
      <c r="K84" s="42">
        <f t="shared" si="13"/>
        <v>0</v>
      </c>
      <c r="T84" s="193"/>
      <c r="U84" s="42">
        <f t="shared" si="15"/>
        <v>0</v>
      </c>
      <c r="V84" s="42">
        <f t="shared" si="16"/>
        <v>0</v>
      </c>
      <c r="W84" s="42">
        <f t="shared" si="12"/>
        <v>0</v>
      </c>
    </row>
    <row r="85" spans="2:23" x14ac:dyDescent="0.2">
      <c r="B85" s="176"/>
      <c r="C85" s="227"/>
      <c r="D85" s="227"/>
      <c r="E85" s="227"/>
      <c r="F85" s="228"/>
      <c r="G85" s="176"/>
      <c r="H85" s="236"/>
      <c r="I85" s="228"/>
      <c r="J85" s="228"/>
      <c r="K85" s="42">
        <f t="shared" si="13"/>
        <v>0</v>
      </c>
      <c r="T85" s="193"/>
      <c r="U85" s="42">
        <f t="shared" si="15"/>
        <v>0</v>
      </c>
      <c r="V85" s="42">
        <f t="shared" si="16"/>
        <v>0</v>
      </c>
      <c r="W85" s="42">
        <f t="shared" si="12"/>
        <v>0</v>
      </c>
    </row>
    <row r="86" spans="2:23" x14ac:dyDescent="0.2">
      <c r="B86" s="176"/>
      <c r="C86" s="227"/>
      <c r="D86" s="227"/>
      <c r="E86" s="227"/>
      <c r="F86" s="228"/>
      <c r="G86" s="176"/>
      <c r="H86" s="236"/>
      <c r="I86" s="228"/>
      <c r="J86" s="228"/>
      <c r="K86" s="42">
        <f t="shared" ref="K86:K102" si="17">I86-J86</f>
        <v>0</v>
      </c>
      <c r="T86" s="193"/>
      <c r="U86" s="42">
        <f t="shared" ref="U86:U102" si="18">I86+L86-N86</f>
        <v>0</v>
      </c>
      <c r="V86" s="42">
        <f t="shared" ref="V86:V102" si="19">J86+T86-O86</f>
        <v>0</v>
      </c>
      <c r="W86" s="42">
        <f t="shared" si="12"/>
        <v>0</v>
      </c>
    </row>
    <row r="87" spans="2:23" x14ac:dyDescent="0.2">
      <c r="B87" s="176"/>
      <c r="C87" s="227"/>
      <c r="D87" s="227"/>
      <c r="E87" s="227"/>
      <c r="F87" s="228"/>
      <c r="G87" s="176"/>
      <c r="H87" s="236"/>
      <c r="I87" s="228"/>
      <c r="J87" s="228"/>
      <c r="K87" s="42">
        <f t="shared" si="17"/>
        <v>0</v>
      </c>
      <c r="T87" s="193"/>
      <c r="U87" s="42">
        <f t="shared" si="18"/>
        <v>0</v>
      </c>
      <c r="V87" s="42">
        <f t="shared" si="19"/>
        <v>0</v>
      </c>
      <c r="W87" s="42">
        <f t="shared" ref="W87:W102" si="20">U87-V87</f>
        <v>0</v>
      </c>
    </row>
    <row r="88" spans="2:23" x14ac:dyDescent="0.2">
      <c r="B88" s="176"/>
      <c r="C88" s="227"/>
      <c r="D88" s="227"/>
      <c r="E88" s="227"/>
      <c r="F88" s="228"/>
      <c r="G88" s="176"/>
      <c r="H88" s="236"/>
      <c r="I88" s="228"/>
      <c r="J88" s="228"/>
      <c r="K88" s="42">
        <f t="shared" si="17"/>
        <v>0</v>
      </c>
      <c r="T88" s="193"/>
      <c r="U88" s="42">
        <f t="shared" si="18"/>
        <v>0</v>
      </c>
      <c r="V88" s="42">
        <f t="shared" si="19"/>
        <v>0</v>
      </c>
      <c r="W88" s="42">
        <f t="shared" si="20"/>
        <v>0</v>
      </c>
    </row>
    <row r="89" spans="2:23" x14ac:dyDescent="0.2">
      <c r="B89" s="176"/>
      <c r="C89" s="227"/>
      <c r="D89" s="227"/>
      <c r="E89" s="227"/>
      <c r="F89" s="228"/>
      <c r="G89" s="176"/>
      <c r="H89" s="236"/>
      <c r="I89" s="228"/>
      <c r="J89" s="228"/>
      <c r="K89" s="42">
        <f t="shared" si="17"/>
        <v>0</v>
      </c>
      <c r="T89" s="193"/>
      <c r="U89" s="42">
        <f t="shared" si="18"/>
        <v>0</v>
      </c>
      <c r="V89" s="42">
        <f t="shared" si="19"/>
        <v>0</v>
      </c>
      <c r="W89" s="42">
        <f t="shared" si="20"/>
        <v>0</v>
      </c>
    </row>
    <row r="90" spans="2:23" x14ac:dyDescent="0.2">
      <c r="B90" s="176"/>
      <c r="C90" s="227"/>
      <c r="D90" s="227"/>
      <c r="E90" s="227"/>
      <c r="F90" s="228"/>
      <c r="G90" s="176"/>
      <c r="H90" s="236"/>
      <c r="I90" s="228"/>
      <c r="J90" s="228"/>
      <c r="K90" s="42">
        <f t="shared" si="17"/>
        <v>0</v>
      </c>
      <c r="T90" s="193"/>
      <c r="U90" s="42">
        <f t="shared" si="18"/>
        <v>0</v>
      </c>
      <c r="V90" s="42">
        <f t="shared" si="19"/>
        <v>0</v>
      </c>
      <c r="W90" s="42">
        <f t="shared" si="20"/>
        <v>0</v>
      </c>
    </row>
    <row r="91" spans="2:23" x14ac:dyDescent="0.2">
      <c r="B91" s="176"/>
      <c r="C91" s="227"/>
      <c r="D91" s="227"/>
      <c r="E91" s="227"/>
      <c r="F91" s="228"/>
      <c r="G91" s="176"/>
      <c r="H91" s="236"/>
      <c r="I91" s="228"/>
      <c r="J91" s="228"/>
      <c r="K91" s="42">
        <f t="shared" si="17"/>
        <v>0</v>
      </c>
      <c r="T91" s="193"/>
      <c r="U91" s="42">
        <f t="shared" si="18"/>
        <v>0</v>
      </c>
      <c r="V91" s="42">
        <f t="shared" si="19"/>
        <v>0</v>
      </c>
      <c r="W91" s="42">
        <f t="shared" si="20"/>
        <v>0</v>
      </c>
    </row>
    <row r="92" spans="2:23" x14ac:dyDescent="0.2">
      <c r="B92" s="176"/>
      <c r="C92" s="227"/>
      <c r="D92" s="227"/>
      <c r="E92" s="227"/>
      <c r="F92" s="228"/>
      <c r="G92" s="176"/>
      <c r="H92" s="236"/>
      <c r="I92" s="228"/>
      <c r="J92" s="228"/>
      <c r="K92" s="42">
        <f t="shared" si="17"/>
        <v>0</v>
      </c>
      <c r="T92" s="193"/>
      <c r="U92" s="42">
        <f t="shared" si="18"/>
        <v>0</v>
      </c>
      <c r="V92" s="42">
        <f t="shared" si="19"/>
        <v>0</v>
      </c>
      <c r="W92" s="42">
        <f t="shared" si="20"/>
        <v>0</v>
      </c>
    </row>
    <row r="93" spans="2:23" x14ac:dyDescent="0.2">
      <c r="B93" s="176"/>
      <c r="C93" s="227"/>
      <c r="D93" s="227"/>
      <c r="E93" s="227"/>
      <c r="F93" s="228"/>
      <c r="G93" s="176"/>
      <c r="H93" s="236"/>
      <c r="I93" s="228"/>
      <c r="J93" s="228"/>
      <c r="K93" s="42">
        <f t="shared" si="17"/>
        <v>0</v>
      </c>
      <c r="T93" s="193"/>
      <c r="U93" s="42">
        <f t="shared" si="18"/>
        <v>0</v>
      </c>
      <c r="V93" s="42">
        <f t="shared" si="19"/>
        <v>0</v>
      </c>
      <c r="W93" s="42">
        <f t="shared" si="20"/>
        <v>0</v>
      </c>
    </row>
    <row r="94" spans="2:23" x14ac:dyDescent="0.2">
      <c r="B94" s="176"/>
      <c r="C94" s="227"/>
      <c r="D94" s="227"/>
      <c r="E94" s="227"/>
      <c r="F94" s="228"/>
      <c r="G94" s="176"/>
      <c r="H94" s="236"/>
      <c r="I94" s="228"/>
      <c r="J94" s="228"/>
      <c r="K94" s="42">
        <f t="shared" si="17"/>
        <v>0</v>
      </c>
      <c r="T94" s="193"/>
      <c r="U94" s="42">
        <f t="shared" si="18"/>
        <v>0</v>
      </c>
      <c r="V94" s="42">
        <f t="shared" si="19"/>
        <v>0</v>
      </c>
      <c r="W94" s="42">
        <f t="shared" si="20"/>
        <v>0</v>
      </c>
    </row>
    <row r="95" spans="2:23" x14ac:dyDescent="0.2">
      <c r="B95" s="176"/>
      <c r="C95" s="227"/>
      <c r="D95" s="227"/>
      <c r="E95" s="227"/>
      <c r="F95" s="228"/>
      <c r="G95" s="176"/>
      <c r="H95" s="236"/>
      <c r="I95" s="228"/>
      <c r="J95" s="228"/>
      <c r="K95" s="42">
        <f t="shared" si="17"/>
        <v>0</v>
      </c>
      <c r="T95" s="193"/>
      <c r="U95" s="42">
        <f t="shared" si="18"/>
        <v>0</v>
      </c>
      <c r="V95" s="42">
        <f t="shared" si="19"/>
        <v>0</v>
      </c>
      <c r="W95" s="42">
        <f t="shared" si="20"/>
        <v>0</v>
      </c>
    </row>
    <row r="96" spans="2:23" x14ac:dyDescent="0.2">
      <c r="B96" s="176"/>
      <c r="C96" s="227"/>
      <c r="D96" s="227"/>
      <c r="E96" s="227"/>
      <c r="F96" s="228"/>
      <c r="G96" s="176"/>
      <c r="H96" s="236"/>
      <c r="I96" s="228"/>
      <c r="J96" s="228"/>
      <c r="K96" s="42">
        <f t="shared" si="17"/>
        <v>0</v>
      </c>
      <c r="T96" s="193"/>
      <c r="U96" s="42">
        <f t="shared" si="18"/>
        <v>0</v>
      </c>
      <c r="V96" s="42">
        <f t="shared" si="19"/>
        <v>0</v>
      </c>
      <c r="W96" s="42">
        <f t="shared" si="20"/>
        <v>0</v>
      </c>
    </row>
    <row r="97" spans="2:25" x14ac:dyDescent="0.2">
      <c r="B97" s="176"/>
      <c r="C97" s="227"/>
      <c r="D97" s="227"/>
      <c r="E97" s="227"/>
      <c r="F97" s="228"/>
      <c r="G97" s="176"/>
      <c r="H97" s="236"/>
      <c r="I97" s="228"/>
      <c r="J97" s="228"/>
      <c r="K97" s="42">
        <f t="shared" si="17"/>
        <v>0</v>
      </c>
      <c r="T97" s="193"/>
      <c r="U97" s="42">
        <f t="shared" si="18"/>
        <v>0</v>
      </c>
      <c r="V97" s="42">
        <f t="shared" si="19"/>
        <v>0</v>
      </c>
      <c r="W97" s="42">
        <f t="shared" si="20"/>
        <v>0</v>
      </c>
    </row>
    <row r="98" spans="2:25" x14ac:dyDescent="0.2">
      <c r="B98" s="176"/>
      <c r="C98" s="227"/>
      <c r="D98" s="227"/>
      <c r="E98" s="227"/>
      <c r="F98" s="228"/>
      <c r="G98" s="176"/>
      <c r="H98" s="236"/>
      <c r="I98" s="228"/>
      <c r="J98" s="228"/>
      <c r="K98" s="42">
        <f t="shared" si="17"/>
        <v>0</v>
      </c>
      <c r="T98" s="193"/>
      <c r="U98" s="42">
        <f t="shared" si="18"/>
        <v>0</v>
      </c>
      <c r="V98" s="42">
        <f t="shared" si="19"/>
        <v>0</v>
      </c>
      <c r="W98" s="42">
        <f t="shared" si="20"/>
        <v>0</v>
      </c>
    </row>
    <row r="99" spans="2:25" x14ac:dyDescent="0.2">
      <c r="B99" s="176"/>
      <c r="C99" s="227"/>
      <c r="D99" s="227"/>
      <c r="E99" s="227"/>
      <c r="F99" s="228"/>
      <c r="G99" s="176"/>
      <c r="H99" s="236"/>
      <c r="I99" s="228"/>
      <c r="J99" s="228"/>
      <c r="K99" s="42">
        <f t="shared" si="17"/>
        <v>0</v>
      </c>
      <c r="T99" s="193"/>
      <c r="U99" s="42">
        <f t="shared" si="18"/>
        <v>0</v>
      </c>
      <c r="V99" s="42">
        <f t="shared" si="19"/>
        <v>0</v>
      </c>
      <c r="W99" s="42">
        <f t="shared" si="20"/>
        <v>0</v>
      </c>
    </row>
    <row r="100" spans="2:25" x14ac:dyDescent="0.2">
      <c r="B100" s="176"/>
      <c r="C100" s="227"/>
      <c r="D100" s="227"/>
      <c r="E100" s="227"/>
      <c r="F100" s="228"/>
      <c r="G100" s="176"/>
      <c r="H100" s="236"/>
      <c r="I100" s="228"/>
      <c r="J100" s="228"/>
      <c r="K100" s="42">
        <f t="shared" si="17"/>
        <v>0</v>
      </c>
      <c r="T100" s="193"/>
      <c r="U100" s="42">
        <f t="shared" si="18"/>
        <v>0</v>
      </c>
      <c r="V100" s="42">
        <f t="shared" si="19"/>
        <v>0</v>
      </c>
      <c r="W100" s="42">
        <f t="shared" si="20"/>
        <v>0</v>
      </c>
    </row>
    <row r="101" spans="2:25" x14ac:dyDescent="0.2">
      <c r="B101" s="176"/>
      <c r="C101" s="227"/>
      <c r="D101" s="227"/>
      <c r="E101" s="227"/>
      <c r="F101" s="228"/>
      <c r="G101" s="176"/>
      <c r="H101" s="236"/>
      <c r="I101" s="228"/>
      <c r="J101" s="228"/>
      <c r="K101" s="42">
        <f t="shared" si="17"/>
        <v>0</v>
      </c>
      <c r="T101" s="193"/>
      <c r="U101" s="42">
        <f t="shared" si="18"/>
        <v>0</v>
      </c>
      <c r="V101" s="42">
        <f t="shared" si="19"/>
        <v>0</v>
      </c>
      <c r="W101" s="42">
        <f t="shared" si="20"/>
        <v>0</v>
      </c>
    </row>
    <row r="102" spans="2:25" x14ac:dyDescent="0.2">
      <c r="B102" s="176"/>
      <c r="C102" s="232"/>
      <c r="D102" s="227"/>
      <c r="E102" s="227"/>
      <c r="F102" s="228"/>
      <c r="G102" s="176"/>
      <c r="H102" s="236"/>
      <c r="I102" s="228"/>
      <c r="J102" s="228"/>
      <c r="K102" s="42">
        <f t="shared" si="17"/>
        <v>0</v>
      </c>
      <c r="T102" s="193"/>
      <c r="U102" s="42">
        <f t="shared" si="18"/>
        <v>0</v>
      </c>
      <c r="V102" s="42">
        <f t="shared" si="19"/>
        <v>0</v>
      </c>
      <c r="W102" s="42">
        <f t="shared" si="20"/>
        <v>0</v>
      </c>
    </row>
    <row r="104" spans="2:25" ht="13.5" thickBot="1" x14ac:dyDescent="0.25">
      <c r="C104" s="42" t="s">
        <v>350</v>
      </c>
      <c r="I104" s="50">
        <f>SUM(I22:I103)</f>
        <v>0</v>
      </c>
      <c r="J104" s="50">
        <f>SUM(J22:J103)</f>
        <v>0</v>
      </c>
      <c r="K104" s="50">
        <f>SUM(K22:K103)</f>
        <v>0</v>
      </c>
      <c r="L104" s="50">
        <f>SUM(L22:L103)</f>
        <v>0</v>
      </c>
      <c r="M104" s="50"/>
      <c r="N104" s="50">
        <f t="shared" ref="N104:W104" si="21">SUM(N22:N103)</f>
        <v>0</v>
      </c>
      <c r="O104" s="50">
        <f t="shared" si="21"/>
        <v>0</v>
      </c>
      <c r="P104" s="50">
        <f t="shared" si="21"/>
        <v>0</v>
      </c>
      <c r="Q104" s="50">
        <f t="shared" si="21"/>
        <v>0</v>
      </c>
      <c r="R104" s="50">
        <f t="shared" si="21"/>
        <v>0</v>
      </c>
      <c r="S104" s="50">
        <f t="shared" si="21"/>
        <v>0</v>
      </c>
      <c r="T104" s="50">
        <f t="shared" si="21"/>
        <v>0</v>
      </c>
      <c r="U104" s="50">
        <f t="shared" si="21"/>
        <v>0</v>
      </c>
      <c r="V104" s="50">
        <f t="shared" si="21"/>
        <v>0</v>
      </c>
      <c r="W104" s="50">
        <f t="shared" si="21"/>
        <v>0</v>
      </c>
    </row>
    <row r="105" spans="2:25" ht="13.5" thickTop="1" x14ac:dyDescent="0.2">
      <c r="G105" s="42" t="s">
        <v>695</v>
      </c>
      <c r="I105" s="250">
        <f>I104-FARegister!I121</f>
        <v>0</v>
      </c>
      <c r="J105" s="250"/>
      <c r="K105" s="250"/>
      <c r="L105" s="250">
        <f>L104-FARegister!L121</f>
        <v>0</v>
      </c>
      <c r="M105" s="250"/>
      <c r="N105" s="250">
        <f>N104-FARegister!N121</f>
        <v>0</v>
      </c>
      <c r="O105" s="250"/>
      <c r="P105" s="250">
        <f>P104-FARegister!P121</f>
        <v>0</v>
      </c>
      <c r="Q105" s="250"/>
      <c r="R105" s="250"/>
      <c r="S105" s="250"/>
      <c r="T105" s="250"/>
      <c r="U105" s="250">
        <f>U104-FARegister!X121</f>
        <v>0</v>
      </c>
      <c r="V105" s="250"/>
      <c r="W105" s="250"/>
    </row>
    <row r="106" spans="2:25" x14ac:dyDescent="0.2">
      <c r="B106" s="199" t="s">
        <v>182</v>
      </c>
      <c r="I106" s="238"/>
      <c r="J106" s="238"/>
    </row>
    <row r="107" spans="2:25" x14ac:dyDescent="0.2">
      <c r="B107" s="200"/>
      <c r="I107" s="19"/>
      <c r="J107" s="19"/>
      <c r="K107" s="19"/>
      <c r="L107" s="19"/>
      <c r="M107" s="19"/>
      <c r="N107" s="19"/>
      <c r="O107" s="19" t="s">
        <v>164</v>
      </c>
      <c r="P107" s="19"/>
      <c r="Q107" s="257" t="s">
        <v>683</v>
      </c>
      <c r="R107" s="258" t="s">
        <v>690</v>
      </c>
      <c r="S107" s="259" t="s">
        <v>684</v>
      </c>
      <c r="T107" s="19"/>
      <c r="U107" s="19"/>
      <c r="V107" s="19"/>
      <c r="W107" s="19"/>
    </row>
    <row r="108" spans="2:25" x14ac:dyDescent="0.2">
      <c r="B108" s="201" t="s">
        <v>27</v>
      </c>
      <c r="C108" s="67" t="s">
        <v>231</v>
      </c>
      <c r="D108" s="67"/>
      <c r="E108" s="107"/>
      <c r="F108" s="108"/>
      <c r="G108" s="107"/>
      <c r="H108" s="107"/>
      <c r="I108" s="21" t="s">
        <v>384</v>
      </c>
      <c r="J108" s="21" t="s">
        <v>693</v>
      </c>
      <c r="K108" s="21" t="s">
        <v>574</v>
      </c>
      <c r="L108" s="21" t="s">
        <v>276</v>
      </c>
      <c r="M108" s="21" t="s">
        <v>422</v>
      </c>
      <c r="N108" s="21" t="s">
        <v>576</v>
      </c>
      <c r="O108" s="21" t="s">
        <v>694</v>
      </c>
      <c r="P108" s="21" t="s">
        <v>682</v>
      </c>
      <c r="Q108" s="244" t="s">
        <v>685</v>
      </c>
      <c r="R108" s="21" t="s">
        <v>691</v>
      </c>
      <c r="S108" s="245" t="s">
        <v>686</v>
      </c>
      <c r="T108" s="21" t="s">
        <v>689</v>
      </c>
      <c r="U108" s="21" t="s">
        <v>384</v>
      </c>
      <c r="V108" s="21" t="s">
        <v>688</v>
      </c>
      <c r="W108" s="21" t="s">
        <v>574</v>
      </c>
      <c r="Y108" s="63"/>
    </row>
    <row r="110" spans="2:25" x14ac:dyDescent="0.2">
      <c r="B110" s="91"/>
      <c r="C110" s="251" t="s">
        <v>696</v>
      </c>
      <c r="D110" s="1"/>
      <c r="E110" s="1"/>
      <c r="F110" s="1"/>
      <c r="G110" s="1"/>
      <c r="H110" s="16"/>
      <c r="I110" s="252">
        <f>FARegister!I164</f>
        <v>0</v>
      </c>
      <c r="J110" s="252">
        <f>FARegister!J164</f>
        <v>0</v>
      </c>
      <c r="K110" s="251">
        <f>+I110-J110</f>
        <v>0</v>
      </c>
      <c r="L110" s="252">
        <f>FARegister!L164</f>
        <v>0</v>
      </c>
      <c r="M110" s="252">
        <v>12</v>
      </c>
      <c r="N110" s="252">
        <f>FARegister!N164</f>
        <v>0</v>
      </c>
      <c r="O110" s="252">
        <f>FARegister!O164</f>
        <v>0</v>
      </c>
      <c r="P110" s="252">
        <f>FARegister!P164</f>
        <v>0</v>
      </c>
      <c r="Q110" s="252">
        <f>FARegister!S164</f>
        <v>0</v>
      </c>
      <c r="R110" s="252">
        <f>FARegister!T164</f>
        <v>0</v>
      </c>
      <c r="S110" s="252">
        <f>FARegister!U164</f>
        <v>0</v>
      </c>
      <c r="T110" s="252">
        <f>FARegister!W164</f>
        <v>0</v>
      </c>
      <c r="U110" s="251">
        <f t="shared" ref="U110:U145" si="22">I110+L110-N110</f>
        <v>0</v>
      </c>
      <c r="V110" s="251">
        <f t="shared" ref="V110:V145" si="23">J110+T110-O110</f>
        <v>0</v>
      </c>
      <c r="W110" s="251">
        <f t="shared" ref="W110" si="24">+U110-V110</f>
        <v>0</v>
      </c>
    </row>
    <row r="111" spans="2:25" x14ac:dyDescent="0.2">
      <c r="B111" s="204"/>
      <c r="C111" s="194"/>
      <c r="D111" s="194"/>
      <c r="E111" s="194"/>
      <c r="F111" s="194"/>
      <c r="G111" s="194"/>
      <c r="H111" s="16"/>
      <c r="I111" s="102"/>
      <c r="K111" s="42">
        <f>+I111-J111</f>
        <v>0</v>
      </c>
      <c r="L111" s="102"/>
      <c r="M111" s="102">
        <v>12</v>
      </c>
      <c r="N111" s="102"/>
      <c r="O111" s="102"/>
      <c r="T111" s="193"/>
      <c r="U111" s="42">
        <f t="shared" si="22"/>
        <v>0</v>
      </c>
      <c r="V111" s="42">
        <f t="shared" si="23"/>
        <v>0</v>
      </c>
      <c r="W111" s="42">
        <f t="shared" ref="W111:W145" si="25">+U111-V111</f>
        <v>0</v>
      </c>
    </row>
    <row r="112" spans="2:25" x14ac:dyDescent="0.2">
      <c r="B112" s="204"/>
      <c r="C112" s="194"/>
      <c r="D112" s="194"/>
      <c r="E112" s="194"/>
      <c r="F112" s="194"/>
      <c r="G112" s="194"/>
      <c r="H112" s="16"/>
      <c r="I112" s="102"/>
      <c r="K112" s="42">
        <f>+I112-J112</f>
        <v>0</v>
      </c>
      <c r="L112" s="102"/>
      <c r="M112" s="102">
        <v>12</v>
      </c>
      <c r="N112" s="102"/>
      <c r="O112" s="102"/>
      <c r="T112" s="193"/>
      <c r="U112" s="42">
        <f t="shared" si="22"/>
        <v>0</v>
      </c>
      <c r="V112" s="42">
        <f t="shared" si="23"/>
        <v>0</v>
      </c>
      <c r="W112" s="42">
        <f t="shared" si="25"/>
        <v>0</v>
      </c>
    </row>
    <row r="113" spans="2:23" x14ac:dyDescent="0.2">
      <c r="B113" s="91"/>
      <c r="C113" s="1"/>
      <c r="D113" s="1"/>
      <c r="E113" s="1"/>
      <c r="F113" s="1"/>
      <c r="G113" s="1"/>
      <c r="K113" s="42">
        <f t="shared" ref="K113:K145" si="26">+I113-J113</f>
        <v>0</v>
      </c>
      <c r="M113" s="102">
        <v>12</v>
      </c>
      <c r="N113" s="102"/>
      <c r="O113" s="102"/>
      <c r="T113" s="193"/>
      <c r="U113" s="42">
        <f t="shared" si="22"/>
        <v>0</v>
      </c>
      <c r="V113" s="42">
        <f t="shared" si="23"/>
        <v>0</v>
      </c>
      <c r="W113" s="42">
        <f t="shared" si="25"/>
        <v>0</v>
      </c>
    </row>
    <row r="114" spans="2:23" x14ac:dyDescent="0.2">
      <c r="B114" s="55"/>
      <c r="C114" s="1"/>
      <c r="D114" s="1"/>
      <c r="E114" s="1"/>
      <c r="F114" s="1"/>
      <c r="G114" s="1"/>
      <c r="K114" s="42">
        <f t="shared" si="26"/>
        <v>0</v>
      </c>
      <c r="M114" s="102">
        <v>12</v>
      </c>
      <c r="N114" s="102"/>
      <c r="O114" s="102"/>
      <c r="T114" s="193"/>
      <c r="U114" s="42">
        <f t="shared" si="22"/>
        <v>0</v>
      </c>
      <c r="V114" s="42">
        <f t="shared" si="23"/>
        <v>0</v>
      </c>
      <c r="W114" s="42">
        <f t="shared" si="25"/>
        <v>0</v>
      </c>
    </row>
    <row r="115" spans="2:23" x14ac:dyDescent="0.2">
      <c r="B115" s="91"/>
      <c r="C115" s="1"/>
      <c r="D115" s="1"/>
      <c r="E115" s="1"/>
      <c r="F115" s="1"/>
      <c r="G115" s="1"/>
      <c r="K115" s="42">
        <f t="shared" si="26"/>
        <v>0</v>
      </c>
      <c r="M115" s="102">
        <v>12</v>
      </c>
      <c r="N115" s="102"/>
      <c r="O115" s="102"/>
      <c r="T115" s="193"/>
      <c r="U115" s="42">
        <f t="shared" si="22"/>
        <v>0</v>
      </c>
      <c r="V115" s="42">
        <f t="shared" si="23"/>
        <v>0</v>
      </c>
      <c r="W115" s="42">
        <f t="shared" si="25"/>
        <v>0</v>
      </c>
    </row>
    <row r="116" spans="2:23" x14ac:dyDescent="0.2">
      <c r="B116" s="91"/>
      <c r="C116" s="1"/>
      <c r="D116" s="1"/>
      <c r="E116" s="1"/>
      <c r="F116" s="1"/>
      <c r="G116" s="1"/>
      <c r="K116" s="42">
        <f t="shared" si="26"/>
        <v>0</v>
      </c>
      <c r="M116" s="102">
        <v>12</v>
      </c>
      <c r="N116" s="102"/>
      <c r="O116" s="102"/>
      <c r="T116" s="193"/>
      <c r="U116" s="42">
        <f t="shared" si="22"/>
        <v>0</v>
      </c>
      <c r="V116" s="42">
        <f t="shared" si="23"/>
        <v>0</v>
      </c>
      <c r="W116" s="42">
        <f t="shared" si="25"/>
        <v>0</v>
      </c>
    </row>
    <row r="117" spans="2:23" x14ac:dyDescent="0.2">
      <c r="B117" s="91"/>
      <c r="C117" s="1"/>
      <c r="D117" s="1"/>
      <c r="E117" s="1"/>
      <c r="F117" s="1"/>
      <c r="G117" s="1"/>
      <c r="K117" s="42">
        <f t="shared" si="26"/>
        <v>0</v>
      </c>
      <c r="M117" s="102">
        <v>12</v>
      </c>
      <c r="N117" s="102"/>
      <c r="O117" s="102"/>
      <c r="T117" s="193"/>
      <c r="U117" s="42">
        <f t="shared" si="22"/>
        <v>0</v>
      </c>
      <c r="V117" s="42">
        <f t="shared" si="23"/>
        <v>0</v>
      </c>
      <c r="W117" s="42">
        <f t="shared" si="25"/>
        <v>0</v>
      </c>
    </row>
    <row r="118" spans="2:23" x14ac:dyDescent="0.2">
      <c r="B118" s="202"/>
      <c r="K118" s="42">
        <f t="shared" si="26"/>
        <v>0</v>
      </c>
      <c r="M118" s="102">
        <v>12</v>
      </c>
      <c r="N118" s="102"/>
      <c r="O118" s="102"/>
      <c r="T118" s="193"/>
      <c r="U118" s="42">
        <f t="shared" si="22"/>
        <v>0</v>
      </c>
      <c r="V118" s="42">
        <f t="shared" si="23"/>
        <v>0</v>
      </c>
      <c r="W118" s="42">
        <f t="shared" si="25"/>
        <v>0</v>
      </c>
    </row>
    <row r="119" spans="2:23" x14ac:dyDescent="0.2">
      <c r="B119" s="202"/>
      <c r="K119" s="42">
        <f t="shared" si="26"/>
        <v>0</v>
      </c>
      <c r="M119" s="102">
        <v>12</v>
      </c>
      <c r="N119" s="102"/>
      <c r="O119" s="102"/>
      <c r="T119" s="193"/>
      <c r="U119" s="42">
        <f t="shared" si="22"/>
        <v>0</v>
      </c>
      <c r="V119" s="42">
        <f t="shared" si="23"/>
        <v>0</v>
      </c>
      <c r="W119" s="42">
        <f t="shared" si="25"/>
        <v>0</v>
      </c>
    </row>
    <row r="120" spans="2:23" x14ac:dyDescent="0.2">
      <c r="B120" s="202"/>
      <c r="K120" s="42">
        <f t="shared" si="26"/>
        <v>0</v>
      </c>
      <c r="M120" s="102">
        <v>12</v>
      </c>
      <c r="N120" s="102"/>
      <c r="O120" s="102"/>
      <c r="T120" s="193"/>
      <c r="U120" s="42">
        <f t="shared" si="22"/>
        <v>0</v>
      </c>
      <c r="V120" s="42">
        <f t="shared" si="23"/>
        <v>0</v>
      </c>
      <c r="W120" s="42">
        <f t="shared" si="25"/>
        <v>0</v>
      </c>
    </row>
    <row r="121" spans="2:23" x14ac:dyDescent="0.2">
      <c r="B121" s="202"/>
      <c r="K121" s="42">
        <f t="shared" si="26"/>
        <v>0</v>
      </c>
      <c r="M121" s="102">
        <v>12</v>
      </c>
      <c r="N121" s="102"/>
      <c r="O121" s="102"/>
      <c r="T121" s="193"/>
      <c r="U121" s="42">
        <f t="shared" si="22"/>
        <v>0</v>
      </c>
      <c r="V121" s="42">
        <f t="shared" si="23"/>
        <v>0</v>
      </c>
      <c r="W121" s="42">
        <f t="shared" si="25"/>
        <v>0</v>
      </c>
    </row>
    <row r="122" spans="2:23" x14ac:dyDescent="0.2">
      <c r="B122" s="202"/>
      <c r="K122" s="42">
        <f t="shared" si="26"/>
        <v>0</v>
      </c>
      <c r="M122" s="102">
        <v>12</v>
      </c>
      <c r="N122" s="102"/>
      <c r="O122" s="102"/>
      <c r="T122" s="193"/>
      <c r="U122" s="42">
        <f t="shared" si="22"/>
        <v>0</v>
      </c>
      <c r="V122" s="42">
        <f t="shared" si="23"/>
        <v>0</v>
      </c>
      <c r="W122" s="42">
        <f t="shared" si="25"/>
        <v>0</v>
      </c>
    </row>
    <row r="123" spans="2:23" x14ac:dyDescent="0.2">
      <c r="B123" s="202"/>
      <c r="K123" s="42">
        <f t="shared" si="26"/>
        <v>0</v>
      </c>
      <c r="M123" s="102">
        <v>12</v>
      </c>
      <c r="N123" s="102"/>
      <c r="O123" s="102"/>
      <c r="T123" s="193"/>
      <c r="U123" s="42">
        <f t="shared" si="22"/>
        <v>0</v>
      </c>
      <c r="V123" s="42">
        <f t="shared" si="23"/>
        <v>0</v>
      </c>
      <c r="W123" s="42">
        <f t="shared" si="25"/>
        <v>0</v>
      </c>
    </row>
    <row r="124" spans="2:23" x14ac:dyDescent="0.2">
      <c r="B124" s="202"/>
      <c r="K124" s="42">
        <f t="shared" si="26"/>
        <v>0</v>
      </c>
      <c r="M124" s="102">
        <v>12</v>
      </c>
      <c r="N124" s="102"/>
      <c r="O124" s="102"/>
      <c r="T124" s="193"/>
      <c r="U124" s="42">
        <f t="shared" si="22"/>
        <v>0</v>
      </c>
      <c r="V124" s="42">
        <f t="shared" si="23"/>
        <v>0</v>
      </c>
      <c r="W124" s="42">
        <f t="shared" si="25"/>
        <v>0</v>
      </c>
    </row>
    <row r="125" spans="2:23" x14ac:dyDescent="0.2">
      <c r="B125" s="202"/>
      <c r="K125" s="42">
        <f t="shared" si="26"/>
        <v>0</v>
      </c>
      <c r="M125" s="102">
        <v>12</v>
      </c>
      <c r="N125" s="102"/>
      <c r="O125" s="102"/>
      <c r="T125" s="193"/>
      <c r="U125" s="42">
        <f t="shared" si="22"/>
        <v>0</v>
      </c>
      <c r="V125" s="42">
        <f t="shared" si="23"/>
        <v>0</v>
      </c>
      <c r="W125" s="42">
        <f t="shared" si="25"/>
        <v>0</v>
      </c>
    </row>
    <row r="126" spans="2:23" x14ac:dyDescent="0.2">
      <c r="B126" s="202"/>
      <c r="K126" s="42">
        <f t="shared" si="26"/>
        <v>0</v>
      </c>
      <c r="M126" s="102">
        <v>12</v>
      </c>
      <c r="N126" s="102"/>
      <c r="O126" s="102"/>
      <c r="T126" s="193"/>
      <c r="U126" s="42">
        <f t="shared" si="22"/>
        <v>0</v>
      </c>
      <c r="V126" s="42">
        <f t="shared" si="23"/>
        <v>0</v>
      </c>
      <c r="W126" s="42">
        <f t="shared" si="25"/>
        <v>0</v>
      </c>
    </row>
    <row r="127" spans="2:23" x14ac:dyDescent="0.2">
      <c r="B127" s="202"/>
      <c r="K127" s="42">
        <f t="shared" si="26"/>
        <v>0</v>
      </c>
      <c r="M127" s="102">
        <v>12</v>
      </c>
      <c r="N127" s="102"/>
      <c r="O127" s="102"/>
      <c r="T127" s="193"/>
      <c r="U127" s="42">
        <f t="shared" si="22"/>
        <v>0</v>
      </c>
      <c r="V127" s="42">
        <f t="shared" si="23"/>
        <v>0</v>
      </c>
      <c r="W127" s="42">
        <f t="shared" si="25"/>
        <v>0</v>
      </c>
    </row>
    <row r="128" spans="2:23" x14ac:dyDescent="0.2">
      <c r="B128" s="202"/>
      <c r="K128" s="42">
        <f t="shared" si="26"/>
        <v>0</v>
      </c>
      <c r="M128" s="102">
        <v>12</v>
      </c>
      <c r="N128" s="102"/>
      <c r="O128" s="102"/>
      <c r="T128" s="193"/>
      <c r="U128" s="42">
        <f t="shared" si="22"/>
        <v>0</v>
      </c>
      <c r="V128" s="42">
        <f t="shared" si="23"/>
        <v>0</v>
      </c>
      <c r="W128" s="42">
        <f t="shared" si="25"/>
        <v>0</v>
      </c>
    </row>
    <row r="129" spans="2:23" x14ac:dyDescent="0.2">
      <c r="B129" s="202"/>
      <c r="K129" s="42">
        <f t="shared" si="26"/>
        <v>0</v>
      </c>
      <c r="M129" s="102">
        <v>12</v>
      </c>
      <c r="N129" s="102"/>
      <c r="O129" s="102"/>
      <c r="T129" s="193"/>
      <c r="U129" s="42">
        <f t="shared" si="22"/>
        <v>0</v>
      </c>
      <c r="V129" s="42">
        <f t="shared" si="23"/>
        <v>0</v>
      </c>
      <c r="W129" s="42">
        <f t="shared" si="25"/>
        <v>0</v>
      </c>
    </row>
    <row r="130" spans="2:23" x14ac:dyDescent="0.2">
      <c r="B130" s="202"/>
      <c r="K130" s="42">
        <f t="shared" si="26"/>
        <v>0</v>
      </c>
      <c r="M130" s="102">
        <v>12</v>
      </c>
      <c r="N130" s="102"/>
      <c r="O130" s="102"/>
      <c r="T130" s="193"/>
      <c r="U130" s="42">
        <f t="shared" si="22"/>
        <v>0</v>
      </c>
      <c r="V130" s="42">
        <f t="shared" si="23"/>
        <v>0</v>
      </c>
      <c r="W130" s="42">
        <f t="shared" si="25"/>
        <v>0</v>
      </c>
    </row>
    <row r="131" spans="2:23" x14ac:dyDescent="0.2">
      <c r="B131" s="202"/>
      <c r="K131" s="42">
        <f t="shared" si="26"/>
        <v>0</v>
      </c>
      <c r="M131" s="102">
        <v>12</v>
      </c>
      <c r="N131" s="102"/>
      <c r="O131" s="102"/>
      <c r="T131" s="193"/>
      <c r="U131" s="42">
        <f t="shared" si="22"/>
        <v>0</v>
      </c>
      <c r="V131" s="42">
        <f t="shared" si="23"/>
        <v>0</v>
      </c>
      <c r="W131" s="42">
        <f t="shared" si="25"/>
        <v>0</v>
      </c>
    </row>
    <row r="132" spans="2:23" x14ac:dyDescent="0.2">
      <c r="B132" s="202"/>
      <c r="K132" s="42">
        <f t="shared" si="26"/>
        <v>0</v>
      </c>
      <c r="M132" s="102">
        <v>12</v>
      </c>
      <c r="N132" s="102"/>
      <c r="O132" s="102"/>
      <c r="T132" s="193"/>
      <c r="U132" s="42">
        <f t="shared" si="22"/>
        <v>0</v>
      </c>
      <c r="V132" s="42">
        <f t="shared" si="23"/>
        <v>0</v>
      </c>
      <c r="W132" s="42">
        <f t="shared" si="25"/>
        <v>0</v>
      </c>
    </row>
    <row r="133" spans="2:23" x14ac:dyDescent="0.2">
      <c r="B133" s="202"/>
      <c r="K133" s="42">
        <f t="shared" si="26"/>
        <v>0</v>
      </c>
      <c r="M133" s="102">
        <v>12</v>
      </c>
      <c r="N133" s="102"/>
      <c r="O133" s="102"/>
      <c r="T133" s="193"/>
      <c r="U133" s="42">
        <f t="shared" si="22"/>
        <v>0</v>
      </c>
      <c r="V133" s="42">
        <f t="shared" si="23"/>
        <v>0</v>
      </c>
      <c r="W133" s="42">
        <f t="shared" si="25"/>
        <v>0</v>
      </c>
    </row>
    <row r="134" spans="2:23" x14ac:dyDescent="0.2">
      <c r="B134" s="202"/>
      <c r="K134" s="42">
        <f t="shared" si="26"/>
        <v>0</v>
      </c>
      <c r="M134" s="102">
        <v>12</v>
      </c>
      <c r="N134" s="102"/>
      <c r="O134" s="102"/>
      <c r="T134" s="193"/>
      <c r="U134" s="42">
        <f t="shared" si="22"/>
        <v>0</v>
      </c>
      <c r="V134" s="42">
        <f t="shared" si="23"/>
        <v>0</v>
      </c>
      <c r="W134" s="42">
        <f t="shared" si="25"/>
        <v>0</v>
      </c>
    </row>
    <row r="135" spans="2:23" x14ac:dyDescent="0.2">
      <c r="B135" s="202"/>
      <c r="K135" s="42">
        <f t="shared" si="26"/>
        <v>0</v>
      </c>
      <c r="M135" s="102">
        <v>12</v>
      </c>
      <c r="N135" s="102"/>
      <c r="O135" s="102"/>
      <c r="T135" s="193"/>
      <c r="U135" s="42">
        <f t="shared" si="22"/>
        <v>0</v>
      </c>
      <c r="V135" s="42">
        <f t="shared" si="23"/>
        <v>0</v>
      </c>
      <c r="W135" s="42">
        <f t="shared" si="25"/>
        <v>0</v>
      </c>
    </row>
    <row r="136" spans="2:23" x14ac:dyDescent="0.2">
      <c r="B136" s="202"/>
      <c r="K136" s="42">
        <f t="shared" si="26"/>
        <v>0</v>
      </c>
      <c r="M136" s="102">
        <v>12</v>
      </c>
      <c r="N136" s="102"/>
      <c r="O136" s="102"/>
      <c r="T136" s="193"/>
      <c r="U136" s="42">
        <f t="shared" si="22"/>
        <v>0</v>
      </c>
      <c r="V136" s="42">
        <f t="shared" si="23"/>
        <v>0</v>
      </c>
      <c r="W136" s="42">
        <f t="shared" si="25"/>
        <v>0</v>
      </c>
    </row>
    <row r="137" spans="2:23" x14ac:dyDescent="0.2">
      <c r="B137" s="202"/>
      <c r="K137" s="42">
        <f t="shared" si="26"/>
        <v>0</v>
      </c>
      <c r="M137" s="102">
        <v>12</v>
      </c>
      <c r="N137" s="102"/>
      <c r="O137" s="102"/>
      <c r="T137" s="193"/>
      <c r="U137" s="42">
        <f t="shared" si="22"/>
        <v>0</v>
      </c>
      <c r="V137" s="42">
        <f t="shared" si="23"/>
        <v>0</v>
      </c>
      <c r="W137" s="42">
        <f t="shared" si="25"/>
        <v>0</v>
      </c>
    </row>
    <row r="138" spans="2:23" x14ac:dyDescent="0.2">
      <c r="B138" s="202"/>
      <c r="K138" s="42">
        <f t="shared" si="26"/>
        <v>0</v>
      </c>
      <c r="M138" s="102">
        <v>12</v>
      </c>
      <c r="N138" s="102"/>
      <c r="O138" s="102"/>
      <c r="T138" s="193"/>
      <c r="U138" s="42">
        <f t="shared" si="22"/>
        <v>0</v>
      </c>
      <c r="V138" s="42">
        <f t="shared" si="23"/>
        <v>0</v>
      </c>
      <c r="W138" s="42">
        <f t="shared" si="25"/>
        <v>0</v>
      </c>
    </row>
    <row r="139" spans="2:23" x14ac:dyDescent="0.2">
      <c r="B139" s="202"/>
      <c r="K139" s="42">
        <f t="shared" si="26"/>
        <v>0</v>
      </c>
      <c r="M139" s="102">
        <v>12</v>
      </c>
      <c r="N139" s="102"/>
      <c r="O139" s="102"/>
      <c r="T139" s="193"/>
      <c r="U139" s="42">
        <f t="shared" si="22"/>
        <v>0</v>
      </c>
      <c r="V139" s="42">
        <f t="shared" si="23"/>
        <v>0</v>
      </c>
      <c r="W139" s="42">
        <f t="shared" si="25"/>
        <v>0</v>
      </c>
    </row>
    <row r="140" spans="2:23" x14ac:dyDescent="0.2">
      <c r="B140" s="202"/>
      <c r="K140" s="42">
        <f t="shared" si="26"/>
        <v>0</v>
      </c>
      <c r="M140" s="102">
        <v>12</v>
      </c>
      <c r="N140" s="102"/>
      <c r="O140" s="102"/>
      <c r="T140" s="193"/>
      <c r="U140" s="42">
        <f t="shared" si="22"/>
        <v>0</v>
      </c>
      <c r="V140" s="42">
        <f t="shared" si="23"/>
        <v>0</v>
      </c>
      <c r="W140" s="42">
        <f t="shared" si="25"/>
        <v>0</v>
      </c>
    </row>
    <row r="141" spans="2:23" x14ac:dyDescent="0.2">
      <c r="B141" s="202"/>
      <c r="K141" s="42">
        <f t="shared" si="26"/>
        <v>0</v>
      </c>
      <c r="M141" s="102">
        <v>12</v>
      </c>
      <c r="N141" s="102"/>
      <c r="O141" s="102"/>
      <c r="T141" s="193"/>
      <c r="U141" s="42">
        <f t="shared" si="22"/>
        <v>0</v>
      </c>
      <c r="V141" s="42">
        <f t="shared" si="23"/>
        <v>0</v>
      </c>
      <c r="W141" s="42">
        <f t="shared" si="25"/>
        <v>0</v>
      </c>
    </row>
    <row r="142" spans="2:23" x14ac:dyDescent="0.2">
      <c r="B142" s="202"/>
      <c r="K142" s="42">
        <f t="shared" si="26"/>
        <v>0</v>
      </c>
      <c r="M142" s="102">
        <v>12</v>
      </c>
      <c r="N142" s="102"/>
      <c r="O142" s="102"/>
      <c r="T142" s="193"/>
      <c r="U142" s="42">
        <f t="shared" si="22"/>
        <v>0</v>
      </c>
      <c r="V142" s="42">
        <f t="shared" si="23"/>
        <v>0</v>
      </c>
      <c r="W142" s="42">
        <f t="shared" si="25"/>
        <v>0</v>
      </c>
    </row>
    <row r="143" spans="2:23" x14ac:dyDescent="0.2">
      <c r="B143" s="202"/>
      <c r="K143" s="42">
        <f t="shared" si="26"/>
        <v>0</v>
      </c>
      <c r="M143" s="102">
        <v>12</v>
      </c>
      <c r="N143" s="102"/>
      <c r="O143" s="102"/>
      <c r="T143" s="193"/>
      <c r="U143" s="42">
        <f t="shared" si="22"/>
        <v>0</v>
      </c>
      <c r="V143" s="42">
        <f t="shared" si="23"/>
        <v>0</v>
      </c>
      <c r="W143" s="42">
        <f t="shared" si="25"/>
        <v>0</v>
      </c>
    </row>
    <row r="144" spans="2:23" x14ac:dyDescent="0.2">
      <c r="B144" s="202"/>
      <c r="K144" s="42">
        <f t="shared" si="26"/>
        <v>0</v>
      </c>
      <c r="M144" s="102">
        <v>12</v>
      </c>
      <c r="N144" s="102"/>
      <c r="O144" s="102"/>
      <c r="T144" s="193"/>
      <c r="U144" s="42">
        <f t="shared" si="22"/>
        <v>0</v>
      </c>
      <c r="V144" s="42">
        <f t="shared" si="23"/>
        <v>0</v>
      </c>
      <c r="W144" s="42">
        <f t="shared" si="25"/>
        <v>0</v>
      </c>
    </row>
    <row r="145" spans="2:23" x14ac:dyDescent="0.2">
      <c r="B145" s="202"/>
      <c r="K145" s="42">
        <f t="shared" si="26"/>
        <v>0</v>
      </c>
      <c r="M145" s="102">
        <v>12</v>
      </c>
      <c r="N145" s="102"/>
      <c r="O145" s="102"/>
      <c r="T145" s="193"/>
      <c r="U145" s="42">
        <f t="shared" si="22"/>
        <v>0</v>
      </c>
      <c r="V145" s="42">
        <f t="shared" si="23"/>
        <v>0</v>
      </c>
      <c r="W145" s="42">
        <f t="shared" si="25"/>
        <v>0</v>
      </c>
    </row>
    <row r="147" spans="2:23" ht="13.5" thickBot="1" x14ac:dyDescent="0.25">
      <c r="C147" s="42" t="s">
        <v>350</v>
      </c>
      <c r="I147" s="50">
        <f>SUM(I109:I146)</f>
        <v>0</v>
      </c>
      <c r="J147" s="50">
        <f>SUM(J109:J146)</f>
        <v>0</v>
      </c>
      <c r="K147" s="50">
        <f>SUM(K109:K146)</f>
        <v>0</v>
      </c>
      <c r="L147" s="50">
        <f>SUM(L109:L146)</f>
        <v>0</v>
      </c>
      <c r="M147" s="50"/>
      <c r="N147" s="50">
        <f t="shared" ref="N147:W147" si="27">SUM(N109:N146)</f>
        <v>0</v>
      </c>
      <c r="O147" s="50">
        <f t="shared" si="27"/>
        <v>0</v>
      </c>
      <c r="P147" s="50">
        <f t="shared" si="27"/>
        <v>0</v>
      </c>
      <c r="Q147" s="50">
        <f t="shared" si="27"/>
        <v>0</v>
      </c>
      <c r="R147" s="50">
        <f t="shared" si="27"/>
        <v>0</v>
      </c>
      <c r="S147" s="50">
        <f t="shared" si="27"/>
        <v>0</v>
      </c>
      <c r="T147" s="50">
        <f t="shared" si="27"/>
        <v>0</v>
      </c>
      <c r="U147" s="50">
        <f t="shared" si="27"/>
        <v>0</v>
      </c>
      <c r="V147" s="50">
        <f t="shared" si="27"/>
        <v>0</v>
      </c>
      <c r="W147" s="50">
        <f t="shared" si="27"/>
        <v>0</v>
      </c>
    </row>
    <row r="148" spans="2:23" ht="13.5" thickTop="1" x14ac:dyDescent="0.2">
      <c r="G148" s="42" t="s">
        <v>695</v>
      </c>
      <c r="I148" s="42">
        <f>I147-FARegister!I164</f>
        <v>0</v>
      </c>
      <c r="L148" s="42">
        <f>L147-FARegister!L164</f>
        <v>0</v>
      </c>
      <c r="N148" s="42">
        <f>N147-FARegister!N164</f>
        <v>0</v>
      </c>
      <c r="P148" s="42">
        <f>P147-FARegister!P164</f>
        <v>0</v>
      </c>
      <c r="U148" s="42">
        <f>U147-FARegister!X164</f>
        <v>0</v>
      </c>
    </row>
    <row r="150" spans="2:23" x14ac:dyDescent="0.2">
      <c r="B150" s="199" t="s">
        <v>351</v>
      </c>
      <c r="I150" s="238"/>
      <c r="J150" s="238"/>
    </row>
    <row r="151" spans="2:23" x14ac:dyDescent="0.2">
      <c r="B151" s="200"/>
      <c r="I151" s="19"/>
      <c r="J151" s="19"/>
      <c r="K151" s="19"/>
      <c r="L151" s="19"/>
      <c r="M151" s="19"/>
      <c r="N151" s="19"/>
      <c r="O151" s="19" t="s">
        <v>164</v>
      </c>
      <c r="P151" s="19"/>
      <c r="Q151" s="257" t="s">
        <v>683</v>
      </c>
      <c r="R151" s="258" t="s">
        <v>690</v>
      </c>
      <c r="S151" s="259" t="s">
        <v>684</v>
      </c>
      <c r="T151" s="19"/>
      <c r="U151" s="19"/>
      <c r="V151" s="19"/>
      <c r="W151" s="19"/>
    </row>
    <row r="152" spans="2:23" x14ac:dyDescent="0.2">
      <c r="B152" s="201" t="s">
        <v>27</v>
      </c>
      <c r="C152" s="67" t="s">
        <v>231</v>
      </c>
      <c r="D152" s="67"/>
      <c r="E152" s="107"/>
      <c r="F152" s="108"/>
      <c r="G152" s="107"/>
      <c r="H152" s="107"/>
      <c r="I152" s="21" t="s">
        <v>384</v>
      </c>
      <c r="J152" s="21" t="s">
        <v>693</v>
      </c>
      <c r="K152" s="21" t="s">
        <v>574</v>
      </c>
      <c r="L152" s="21" t="s">
        <v>276</v>
      </c>
      <c r="M152" s="21" t="s">
        <v>422</v>
      </c>
      <c r="N152" s="21" t="s">
        <v>576</v>
      </c>
      <c r="O152" s="21" t="s">
        <v>694</v>
      </c>
      <c r="P152" s="21" t="s">
        <v>682</v>
      </c>
      <c r="Q152" s="244" t="s">
        <v>685</v>
      </c>
      <c r="R152" s="21" t="s">
        <v>691</v>
      </c>
      <c r="S152" s="245" t="s">
        <v>686</v>
      </c>
      <c r="T152" s="21" t="s">
        <v>689</v>
      </c>
      <c r="U152" s="21" t="s">
        <v>384</v>
      </c>
      <c r="V152" s="21" t="s">
        <v>688</v>
      </c>
      <c r="W152" s="21" t="s">
        <v>574</v>
      </c>
    </row>
    <row r="154" spans="2:23" x14ac:dyDescent="0.2">
      <c r="B154" s="205"/>
      <c r="C154" s="251" t="s">
        <v>696</v>
      </c>
      <c r="D154" s="194"/>
      <c r="E154" s="194"/>
      <c r="F154" s="194"/>
      <c r="G154" s="194"/>
      <c r="H154" s="1"/>
      <c r="I154" s="253">
        <f>FARegister!I198</f>
        <v>0</v>
      </c>
      <c r="J154" s="253">
        <f>FARegister!J198</f>
        <v>0</v>
      </c>
      <c r="K154" s="251">
        <f>+I154-J154</f>
        <v>0</v>
      </c>
      <c r="L154" s="253">
        <f>FARegister!L198</f>
        <v>0</v>
      </c>
      <c r="M154" s="252">
        <v>12</v>
      </c>
      <c r="N154" s="253">
        <f>FARegister!N198</f>
        <v>0</v>
      </c>
      <c r="O154" s="253">
        <f>FARegister!O198</f>
        <v>0</v>
      </c>
      <c r="P154" s="253">
        <f>FARegister!P198</f>
        <v>0</v>
      </c>
      <c r="Q154" s="253">
        <f>FARegister!S198</f>
        <v>0</v>
      </c>
      <c r="R154" s="253">
        <f>FARegister!T198</f>
        <v>0</v>
      </c>
      <c r="S154" s="253">
        <f>FARegister!U198</f>
        <v>0</v>
      </c>
      <c r="T154" s="253">
        <f>FARegister!W198</f>
        <v>0</v>
      </c>
      <c r="U154" s="251">
        <f t="shared" ref="U154:U179" si="28">I154+L154-N154</f>
        <v>0</v>
      </c>
      <c r="V154" s="251">
        <f t="shared" ref="V154:V179" si="29">J154+T154-O154</f>
        <v>0</v>
      </c>
      <c r="W154" s="251">
        <f>+U154-V154</f>
        <v>0</v>
      </c>
    </row>
    <row r="155" spans="2:23" x14ac:dyDescent="0.2">
      <c r="B155" s="55"/>
      <c r="C155" s="1"/>
      <c r="D155" s="1"/>
      <c r="E155" s="1"/>
      <c r="F155" s="1"/>
      <c r="G155" s="1"/>
      <c r="H155" s="1"/>
      <c r="I155" s="71"/>
      <c r="K155" s="42">
        <f>+I155-J155</f>
        <v>0</v>
      </c>
      <c r="M155" s="102">
        <v>12</v>
      </c>
      <c r="N155" s="102"/>
      <c r="O155" s="102"/>
      <c r="T155" s="193"/>
      <c r="U155" s="42">
        <f t="shared" si="28"/>
        <v>0</v>
      </c>
      <c r="V155" s="42">
        <f t="shared" si="29"/>
        <v>0</v>
      </c>
      <c r="W155" s="42">
        <f t="shared" ref="W155:W179" si="30">+U155-V155</f>
        <v>0</v>
      </c>
    </row>
    <row r="156" spans="2:23" x14ac:dyDescent="0.2">
      <c r="B156" s="55"/>
      <c r="C156" s="1"/>
      <c r="D156" s="1"/>
      <c r="E156" s="1"/>
      <c r="F156" s="1"/>
      <c r="G156" s="1"/>
      <c r="H156" s="1"/>
      <c r="I156" s="71"/>
      <c r="K156" s="42">
        <f>+I156-J156</f>
        <v>0</v>
      </c>
      <c r="M156" s="102">
        <v>12</v>
      </c>
      <c r="N156" s="102"/>
      <c r="O156" s="102"/>
      <c r="T156" s="193"/>
      <c r="U156" s="42">
        <f t="shared" si="28"/>
        <v>0</v>
      </c>
      <c r="V156" s="42">
        <f t="shared" si="29"/>
        <v>0</v>
      </c>
      <c r="W156" s="42">
        <f t="shared" si="30"/>
        <v>0</v>
      </c>
    </row>
    <row r="157" spans="2:23" x14ac:dyDescent="0.2">
      <c r="B157" s="55"/>
      <c r="C157" s="1"/>
      <c r="D157" s="1"/>
      <c r="E157" s="1"/>
      <c r="F157" s="1"/>
      <c r="G157" s="1"/>
      <c r="H157" s="1"/>
      <c r="I157" s="71"/>
      <c r="K157" s="42">
        <f t="shared" ref="K157:K178" si="31">+I157-J157</f>
        <v>0</v>
      </c>
      <c r="M157" s="102">
        <v>12</v>
      </c>
      <c r="N157" s="102"/>
      <c r="O157" s="102"/>
      <c r="T157" s="193"/>
      <c r="U157" s="42">
        <f t="shared" si="28"/>
        <v>0</v>
      </c>
      <c r="V157" s="42">
        <f t="shared" si="29"/>
        <v>0</v>
      </c>
      <c r="W157" s="42">
        <f t="shared" si="30"/>
        <v>0</v>
      </c>
    </row>
    <row r="158" spans="2:23" x14ac:dyDescent="0.2">
      <c r="B158" s="55"/>
      <c r="C158" s="1"/>
      <c r="D158" s="1"/>
      <c r="E158" s="1"/>
      <c r="F158" s="1"/>
      <c r="G158" s="1"/>
      <c r="H158" s="1"/>
      <c r="I158" s="71"/>
      <c r="K158" s="42">
        <f t="shared" si="31"/>
        <v>0</v>
      </c>
      <c r="M158" s="102">
        <v>12</v>
      </c>
      <c r="N158" s="102"/>
      <c r="O158" s="102"/>
      <c r="T158" s="193"/>
      <c r="U158" s="42">
        <f t="shared" si="28"/>
        <v>0</v>
      </c>
      <c r="V158" s="42">
        <f t="shared" si="29"/>
        <v>0</v>
      </c>
      <c r="W158" s="42">
        <f t="shared" si="30"/>
        <v>0</v>
      </c>
    </row>
    <row r="159" spans="2:23" x14ac:dyDescent="0.2">
      <c r="B159" s="55"/>
      <c r="C159" s="1"/>
      <c r="D159" s="1"/>
      <c r="E159" s="1"/>
      <c r="F159" s="1"/>
      <c r="G159" s="1"/>
      <c r="H159" s="1"/>
      <c r="I159" s="71"/>
      <c r="K159" s="42">
        <f t="shared" si="31"/>
        <v>0</v>
      </c>
      <c r="M159" s="102">
        <v>12</v>
      </c>
      <c r="N159" s="102"/>
      <c r="O159" s="102"/>
      <c r="T159" s="193"/>
      <c r="U159" s="42">
        <f t="shared" si="28"/>
        <v>0</v>
      </c>
      <c r="V159" s="42">
        <f t="shared" si="29"/>
        <v>0</v>
      </c>
      <c r="W159" s="42">
        <f t="shared" si="30"/>
        <v>0</v>
      </c>
    </row>
    <row r="160" spans="2:23" x14ac:dyDescent="0.2">
      <c r="B160" s="55"/>
      <c r="C160" s="1"/>
      <c r="D160" s="1"/>
      <c r="E160" s="1"/>
      <c r="F160" s="1"/>
      <c r="G160" s="1"/>
      <c r="H160" s="1"/>
      <c r="I160" s="71"/>
      <c r="K160" s="42">
        <f t="shared" si="31"/>
        <v>0</v>
      </c>
      <c r="M160" s="102">
        <v>12</v>
      </c>
      <c r="N160" s="102"/>
      <c r="O160" s="102"/>
      <c r="T160" s="193"/>
      <c r="U160" s="42">
        <f t="shared" si="28"/>
        <v>0</v>
      </c>
      <c r="V160" s="42">
        <f t="shared" si="29"/>
        <v>0</v>
      </c>
      <c r="W160" s="42">
        <f t="shared" si="30"/>
        <v>0</v>
      </c>
    </row>
    <row r="161" spans="2:23" x14ac:dyDescent="0.2">
      <c r="B161" s="55"/>
      <c r="C161" s="1"/>
      <c r="D161" s="1"/>
      <c r="E161" s="1"/>
      <c r="F161" s="1"/>
      <c r="G161" s="1"/>
      <c r="H161" s="1"/>
      <c r="I161" s="71"/>
      <c r="K161" s="42">
        <f t="shared" si="31"/>
        <v>0</v>
      </c>
      <c r="M161" s="102">
        <v>12</v>
      </c>
      <c r="N161" s="102"/>
      <c r="O161" s="102"/>
      <c r="T161" s="193"/>
      <c r="U161" s="42">
        <f t="shared" si="28"/>
        <v>0</v>
      </c>
      <c r="V161" s="42">
        <f t="shared" si="29"/>
        <v>0</v>
      </c>
      <c r="W161" s="42">
        <f t="shared" si="30"/>
        <v>0</v>
      </c>
    </row>
    <row r="162" spans="2:23" x14ac:dyDescent="0.2">
      <c r="B162" s="55"/>
      <c r="C162" s="1"/>
      <c r="D162" s="1"/>
      <c r="E162" s="1"/>
      <c r="F162" s="1"/>
      <c r="G162" s="1"/>
      <c r="H162" s="1"/>
      <c r="I162" s="71"/>
      <c r="K162" s="42">
        <f t="shared" si="31"/>
        <v>0</v>
      </c>
      <c r="M162" s="102">
        <v>12</v>
      </c>
      <c r="N162" s="102"/>
      <c r="O162" s="102"/>
      <c r="T162" s="193"/>
      <c r="U162" s="42">
        <f t="shared" si="28"/>
        <v>0</v>
      </c>
      <c r="V162" s="42">
        <f t="shared" si="29"/>
        <v>0</v>
      </c>
      <c r="W162" s="42">
        <f t="shared" si="30"/>
        <v>0</v>
      </c>
    </row>
    <row r="163" spans="2:23" x14ac:dyDescent="0.2">
      <c r="B163" s="55"/>
      <c r="C163" s="1"/>
      <c r="D163" s="1"/>
      <c r="E163" s="1"/>
      <c r="F163" s="1"/>
      <c r="G163" s="1"/>
      <c r="H163" s="1"/>
      <c r="I163" s="71"/>
      <c r="K163" s="42">
        <f t="shared" si="31"/>
        <v>0</v>
      </c>
      <c r="M163" s="102">
        <v>12</v>
      </c>
      <c r="N163" s="102"/>
      <c r="O163" s="102"/>
      <c r="T163" s="193"/>
      <c r="U163" s="42">
        <f t="shared" si="28"/>
        <v>0</v>
      </c>
      <c r="V163" s="42">
        <f t="shared" si="29"/>
        <v>0</v>
      </c>
      <c r="W163" s="42">
        <f t="shared" si="30"/>
        <v>0</v>
      </c>
    </row>
    <row r="164" spans="2:23" x14ac:dyDescent="0.2">
      <c r="B164" s="55"/>
      <c r="C164" s="1"/>
      <c r="D164" s="1"/>
      <c r="E164" s="1"/>
      <c r="F164" s="1"/>
      <c r="G164" s="1"/>
      <c r="H164" s="1"/>
      <c r="I164" s="71"/>
      <c r="K164" s="42">
        <f t="shared" si="31"/>
        <v>0</v>
      </c>
      <c r="M164" s="102">
        <v>12</v>
      </c>
      <c r="N164" s="102"/>
      <c r="O164" s="102"/>
      <c r="T164" s="193"/>
      <c r="U164" s="42">
        <f t="shared" si="28"/>
        <v>0</v>
      </c>
      <c r="V164" s="42">
        <f t="shared" si="29"/>
        <v>0</v>
      </c>
      <c r="W164" s="42">
        <f t="shared" si="30"/>
        <v>0</v>
      </c>
    </row>
    <row r="165" spans="2:23" x14ac:dyDescent="0.2">
      <c r="B165" s="55"/>
      <c r="C165" s="1"/>
      <c r="D165" s="1"/>
      <c r="E165" s="1"/>
      <c r="F165" s="1"/>
      <c r="G165" s="1"/>
      <c r="H165" s="1"/>
      <c r="I165" s="71"/>
      <c r="K165" s="42">
        <f t="shared" si="31"/>
        <v>0</v>
      </c>
      <c r="M165" s="102">
        <v>12</v>
      </c>
      <c r="N165" s="102"/>
      <c r="O165" s="102"/>
      <c r="T165" s="193"/>
      <c r="U165" s="42">
        <f t="shared" si="28"/>
        <v>0</v>
      </c>
      <c r="V165" s="42">
        <f t="shared" si="29"/>
        <v>0</v>
      </c>
      <c r="W165" s="42">
        <f t="shared" si="30"/>
        <v>0</v>
      </c>
    </row>
    <row r="166" spans="2:23" x14ac:dyDescent="0.2">
      <c r="B166" s="55"/>
      <c r="C166" s="1"/>
      <c r="D166" s="1"/>
      <c r="E166" s="1"/>
      <c r="F166" s="1"/>
      <c r="G166" s="1"/>
      <c r="H166" s="1"/>
      <c r="I166" s="71"/>
      <c r="K166" s="42">
        <f t="shared" si="31"/>
        <v>0</v>
      </c>
      <c r="M166" s="102">
        <v>12</v>
      </c>
      <c r="N166" s="102"/>
      <c r="O166" s="102"/>
      <c r="T166" s="193"/>
      <c r="U166" s="42">
        <f t="shared" si="28"/>
        <v>0</v>
      </c>
      <c r="V166" s="42">
        <f t="shared" si="29"/>
        <v>0</v>
      </c>
      <c r="W166" s="42">
        <f t="shared" si="30"/>
        <v>0</v>
      </c>
    </row>
    <row r="167" spans="2:23" x14ac:dyDescent="0.2">
      <c r="B167" s="55"/>
      <c r="C167" s="1"/>
      <c r="D167" s="1"/>
      <c r="E167" s="1"/>
      <c r="F167" s="1"/>
      <c r="G167" s="1"/>
      <c r="H167" s="1"/>
      <c r="I167" s="71"/>
      <c r="K167" s="42">
        <f t="shared" si="31"/>
        <v>0</v>
      </c>
      <c r="M167" s="102">
        <v>12</v>
      </c>
      <c r="N167" s="102"/>
      <c r="O167" s="102"/>
      <c r="T167" s="193"/>
      <c r="U167" s="42">
        <f t="shared" si="28"/>
        <v>0</v>
      </c>
      <c r="V167" s="42">
        <f t="shared" si="29"/>
        <v>0</v>
      </c>
      <c r="W167" s="42">
        <f t="shared" si="30"/>
        <v>0</v>
      </c>
    </row>
    <row r="168" spans="2:23" x14ac:dyDescent="0.2">
      <c r="B168" s="55"/>
      <c r="C168" s="1"/>
      <c r="D168" s="1"/>
      <c r="E168" s="1"/>
      <c r="F168" s="1"/>
      <c r="G168" s="1"/>
      <c r="H168" s="1"/>
      <c r="I168" s="71"/>
      <c r="K168" s="42">
        <f t="shared" si="31"/>
        <v>0</v>
      </c>
      <c r="M168" s="102">
        <v>12</v>
      </c>
      <c r="N168" s="102"/>
      <c r="O168" s="102"/>
      <c r="T168" s="193"/>
      <c r="U168" s="42">
        <f t="shared" si="28"/>
        <v>0</v>
      </c>
      <c r="V168" s="42">
        <f t="shared" si="29"/>
        <v>0</v>
      </c>
      <c r="W168" s="42">
        <f t="shared" si="30"/>
        <v>0</v>
      </c>
    </row>
    <row r="169" spans="2:23" x14ac:dyDescent="0.2">
      <c r="B169" s="55"/>
      <c r="C169" s="1"/>
      <c r="D169" s="1"/>
      <c r="E169" s="1"/>
      <c r="F169" s="1"/>
      <c r="G169" s="1"/>
      <c r="H169" s="1"/>
      <c r="I169" s="71"/>
      <c r="K169" s="42">
        <f t="shared" si="31"/>
        <v>0</v>
      </c>
      <c r="M169" s="102">
        <v>12</v>
      </c>
      <c r="N169" s="102"/>
      <c r="O169" s="102"/>
      <c r="T169" s="193"/>
      <c r="U169" s="42">
        <f t="shared" si="28"/>
        <v>0</v>
      </c>
      <c r="V169" s="42">
        <f t="shared" si="29"/>
        <v>0</v>
      </c>
      <c r="W169" s="42">
        <f t="shared" si="30"/>
        <v>0</v>
      </c>
    </row>
    <row r="170" spans="2:23" x14ac:dyDescent="0.2">
      <c r="B170" s="55"/>
      <c r="C170" s="1"/>
      <c r="D170" s="1"/>
      <c r="E170" s="1"/>
      <c r="F170" s="1"/>
      <c r="G170" s="1"/>
      <c r="H170" s="1"/>
      <c r="I170" s="71"/>
      <c r="K170" s="42">
        <f t="shared" si="31"/>
        <v>0</v>
      </c>
      <c r="M170" s="102">
        <v>12</v>
      </c>
      <c r="N170" s="102"/>
      <c r="O170" s="102"/>
      <c r="T170" s="193"/>
      <c r="U170" s="42">
        <f t="shared" si="28"/>
        <v>0</v>
      </c>
      <c r="V170" s="42">
        <f t="shared" si="29"/>
        <v>0</v>
      </c>
      <c r="W170" s="42">
        <f t="shared" si="30"/>
        <v>0</v>
      </c>
    </row>
    <row r="171" spans="2:23" x14ac:dyDescent="0.2">
      <c r="B171" s="55"/>
      <c r="C171" s="1"/>
      <c r="D171" s="1"/>
      <c r="E171" s="1"/>
      <c r="F171" s="1"/>
      <c r="G171" s="1"/>
      <c r="H171" s="1"/>
      <c r="I171" s="71"/>
      <c r="K171" s="42">
        <f t="shared" si="31"/>
        <v>0</v>
      </c>
      <c r="M171" s="102">
        <v>12</v>
      </c>
      <c r="N171" s="102"/>
      <c r="O171" s="102"/>
      <c r="T171" s="193"/>
      <c r="U171" s="42">
        <f t="shared" si="28"/>
        <v>0</v>
      </c>
      <c r="V171" s="42">
        <f t="shared" si="29"/>
        <v>0</v>
      </c>
      <c r="W171" s="42">
        <f t="shared" si="30"/>
        <v>0</v>
      </c>
    </row>
    <row r="172" spans="2:23" x14ac:dyDescent="0.2">
      <c r="B172" s="55"/>
      <c r="C172" s="1"/>
      <c r="D172" s="1"/>
      <c r="E172" s="1"/>
      <c r="F172" s="1"/>
      <c r="G172" s="1"/>
      <c r="H172" s="1"/>
      <c r="I172" s="71"/>
      <c r="K172" s="42">
        <f t="shared" si="31"/>
        <v>0</v>
      </c>
      <c r="M172" s="102">
        <v>12</v>
      </c>
      <c r="N172" s="102"/>
      <c r="O172" s="102"/>
      <c r="T172" s="193"/>
      <c r="U172" s="42">
        <f t="shared" si="28"/>
        <v>0</v>
      </c>
      <c r="V172" s="42">
        <f t="shared" si="29"/>
        <v>0</v>
      </c>
      <c r="W172" s="42">
        <f t="shared" si="30"/>
        <v>0</v>
      </c>
    </row>
    <row r="173" spans="2:23" x14ac:dyDescent="0.2">
      <c r="B173" s="55"/>
      <c r="C173" s="1"/>
      <c r="D173" s="1"/>
      <c r="E173" s="1"/>
      <c r="F173" s="1"/>
      <c r="G173" s="1"/>
      <c r="H173" s="1"/>
      <c r="I173" s="71"/>
      <c r="K173" s="42">
        <f t="shared" si="31"/>
        <v>0</v>
      </c>
      <c r="M173" s="102">
        <v>12</v>
      </c>
      <c r="N173" s="102"/>
      <c r="O173" s="102"/>
      <c r="T173" s="193"/>
      <c r="U173" s="42">
        <f t="shared" si="28"/>
        <v>0</v>
      </c>
      <c r="V173" s="42">
        <f t="shared" si="29"/>
        <v>0</v>
      </c>
      <c r="W173" s="42">
        <f t="shared" si="30"/>
        <v>0</v>
      </c>
    </row>
    <row r="174" spans="2:23" x14ac:dyDescent="0.2">
      <c r="B174" s="55"/>
      <c r="C174" s="1"/>
      <c r="D174" s="1"/>
      <c r="E174" s="1"/>
      <c r="F174" s="1"/>
      <c r="G174" s="1"/>
      <c r="H174" s="1"/>
      <c r="I174" s="71"/>
      <c r="K174" s="42">
        <f t="shared" si="31"/>
        <v>0</v>
      </c>
      <c r="M174" s="102">
        <v>12</v>
      </c>
      <c r="N174" s="102"/>
      <c r="O174" s="102"/>
      <c r="T174" s="193"/>
      <c r="U174" s="42">
        <f t="shared" si="28"/>
        <v>0</v>
      </c>
      <c r="V174" s="42">
        <f t="shared" si="29"/>
        <v>0</v>
      </c>
      <c r="W174" s="42">
        <f t="shared" si="30"/>
        <v>0</v>
      </c>
    </row>
    <row r="175" spans="2:23" x14ac:dyDescent="0.2">
      <c r="B175" s="55"/>
      <c r="C175" s="1"/>
      <c r="D175" s="1"/>
      <c r="E175" s="1"/>
      <c r="F175" s="1"/>
      <c r="G175" s="1"/>
      <c r="H175" s="1"/>
      <c r="I175" s="71"/>
      <c r="K175" s="42">
        <f t="shared" si="31"/>
        <v>0</v>
      </c>
      <c r="M175" s="102">
        <v>12</v>
      </c>
      <c r="N175" s="102"/>
      <c r="O175" s="102"/>
      <c r="T175" s="193"/>
      <c r="U175" s="42">
        <f t="shared" si="28"/>
        <v>0</v>
      </c>
      <c r="V175" s="42">
        <f t="shared" si="29"/>
        <v>0</v>
      </c>
      <c r="W175" s="42">
        <f t="shared" si="30"/>
        <v>0</v>
      </c>
    </row>
    <row r="176" spans="2:23" x14ac:dyDescent="0.2">
      <c r="B176" s="55"/>
      <c r="C176" s="1"/>
      <c r="D176" s="1"/>
      <c r="E176" s="1"/>
      <c r="F176" s="1"/>
      <c r="G176" s="1"/>
      <c r="H176" s="1"/>
      <c r="I176" s="71"/>
      <c r="K176" s="42">
        <f t="shared" si="31"/>
        <v>0</v>
      </c>
      <c r="M176" s="102">
        <v>12</v>
      </c>
      <c r="N176" s="102"/>
      <c r="O176" s="102"/>
      <c r="T176" s="193"/>
      <c r="U176" s="42">
        <f t="shared" si="28"/>
        <v>0</v>
      </c>
      <c r="V176" s="42">
        <f t="shared" si="29"/>
        <v>0</v>
      </c>
      <c r="W176" s="42">
        <f t="shared" si="30"/>
        <v>0</v>
      </c>
    </row>
    <row r="177" spans="2:23" x14ac:dyDescent="0.2">
      <c r="B177" s="55"/>
      <c r="C177" s="1"/>
      <c r="D177" s="1"/>
      <c r="E177" s="1"/>
      <c r="F177" s="1"/>
      <c r="G177" s="1"/>
      <c r="H177" s="1"/>
      <c r="I177" s="71"/>
      <c r="K177" s="42">
        <f t="shared" si="31"/>
        <v>0</v>
      </c>
      <c r="M177" s="102">
        <v>12</v>
      </c>
      <c r="N177" s="102"/>
      <c r="O177" s="102"/>
      <c r="T177" s="193"/>
      <c r="U177" s="42">
        <f t="shared" si="28"/>
        <v>0</v>
      </c>
      <c r="V177" s="42">
        <f t="shared" si="29"/>
        <v>0</v>
      </c>
      <c r="W177" s="42">
        <f t="shared" si="30"/>
        <v>0</v>
      </c>
    </row>
    <row r="178" spans="2:23" x14ac:dyDescent="0.2">
      <c r="B178" s="55"/>
      <c r="C178" s="1"/>
      <c r="D178" s="1"/>
      <c r="E178" s="1"/>
      <c r="F178" s="1"/>
      <c r="G178" s="1"/>
      <c r="H178" s="1"/>
      <c r="I178" s="71"/>
      <c r="K178" s="42">
        <f t="shared" si="31"/>
        <v>0</v>
      </c>
      <c r="M178" s="102">
        <v>12</v>
      </c>
      <c r="N178" s="102"/>
      <c r="O178" s="102"/>
      <c r="T178" s="193"/>
      <c r="U178" s="42">
        <f t="shared" si="28"/>
        <v>0</v>
      </c>
      <c r="V178" s="42">
        <f t="shared" si="29"/>
        <v>0</v>
      </c>
      <c r="W178" s="42">
        <f t="shared" si="30"/>
        <v>0</v>
      </c>
    </row>
    <row r="179" spans="2:23" x14ac:dyDescent="0.2">
      <c r="B179" s="55"/>
      <c r="C179" s="1"/>
      <c r="D179" s="1"/>
      <c r="E179" s="1"/>
      <c r="F179" s="1"/>
      <c r="G179" s="1"/>
      <c r="H179" s="1"/>
      <c r="I179" s="71"/>
      <c r="K179" s="42">
        <f>+I179-J179</f>
        <v>0</v>
      </c>
      <c r="M179" s="102">
        <v>12</v>
      </c>
      <c r="N179" s="102"/>
      <c r="O179" s="102"/>
      <c r="T179" s="193"/>
      <c r="U179" s="42">
        <f t="shared" si="28"/>
        <v>0</v>
      </c>
      <c r="V179" s="42">
        <f t="shared" si="29"/>
        <v>0</v>
      </c>
      <c r="W179" s="42">
        <f t="shared" si="30"/>
        <v>0</v>
      </c>
    </row>
    <row r="181" spans="2:23" ht="13.5" thickBot="1" x14ac:dyDescent="0.25">
      <c r="C181" s="42" t="s">
        <v>350</v>
      </c>
      <c r="I181" s="50">
        <f>SUM(I153:I180)</f>
        <v>0</v>
      </c>
      <c r="J181" s="50">
        <f>SUM(J153:J180)</f>
        <v>0</v>
      </c>
      <c r="K181" s="50">
        <f>SUM(K153:K180)</f>
        <v>0</v>
      </c>
      <c r="L181" s="50">
        <f>SUM(L153:L180)</f>
        <v>0</v>
      </c>
      <c r="M181" s="50"/>
      <c r="N181" s="50">
        <f t="shared" ref="N181:W181" si="32">SUM(N153:N180)</f>
        <v>0</v>
      </c>
      <c r="O181" s="50">
        <f t="shared" si="32"/>
        <v>0</v>
      </c>
      <c r="P181" s="50">
        <f t="shared" si="32"/>
        <v>0</v>
      </c>
      <c r="Q181" s="50">
        <f t="shared" si="32"/>
        <v>0</v>
      </c>
      <c r="R181" s="50">
        <f t="shared" si="32"/>
        <v>0</v>
      </c>
      <c r="S181" s="50">
        <f t="shared" si="32"/>
        <v>0</v>
      </c>
      <c r="T181" s="50">
        <f t="shared" si="32"/>
        <v>0</v>
      </c>
      <c r="U181" s="50">
        <f t="shared" si="32"/>
        <v>0</v>
      </c>
      <c r="V181" s="50">
        <f t="shared" si="32"/>
        <v>0</v>
      </c>
      <c r="W181" s="50">
        <f t="shared" si="32"/>
        <v>0</v>
      </c>
    </row>
    <row r="182" spans="2:23" ht="13.5" thickTop="1" x14ac:dyDescent="0.2">
      <c r="G182" s="42" t="s">
        <v>695</v>
      </c>
      <c r="I182" s="42">
        <f>I181-FARegister!I198</f>
        <v>0</v>
      </c>
      <c r="L182" s="42">
        <f>L181-FARegister!L198</f>
        <v>0</v>
      </c>
      <c r="N182" s="42">
        <f>N181-FARegister!N198</f>
        <v>0</v>
      </c>
      <c r="P182" s="42">
        <f>P181-FARegister!P198</f>
        <v>0</v>
      </c>
      <c r="U182" s="42">
        <f>U181-FARegister!X198</f>
        <v>0</v>
      </c>
    </row>
    <row r="184" spans="2:23" x14ac:dyDescent="0.2">
      <c r="B184" s="199" t="s">
        <v>352</v>
      </c>
      <c r="I184" s="238"/>
      <c r="J184" s="238"/>
    </row>
    <row r="185" spans="2:23" x14ac:dyDescent="0.2">
      <c r="B185" s="200"/>
      <c r="I185" s="19"/>
      <c r="J185" s="19"/>
      <c r="K185" s="19"/>
      <c r="L185" s="19"/>
      <c r="M185" s="19"/>
      <c r="N185" s="19"/>
      <c r="O185" s="19" t="s">
        <v>164</v>
      </c>
      <c r="P185" s="19"/>
      <c r="Q185" s="257" t="s">
        <v>683</v>
      </c>
      <c r="R185" s="258" t="s">
        <v>690</v>
      </c>
      <c r="S185" s="259" t="s">
        <v>684</v>
      </c>
      <c r="T185" s="19"/>
      <c r="U185" s="19"/>
      <c r="V185" s="19"/>
      <c r="W185" s="19"/>
    </row>
    <row r="186" spans="2:23" x14ac:dyDescent="0.2">
      <c r="B186" s="201" t="s">
        <v>27</v>
      </c>
      <c r="C186" s="67" t="s">
        <v>231</v>
      </c>
      <c r="D186" s="67"/>
      <c r="E186" s="107"/>
      <c r="F186" s="108"/>
      <c r="G186" s="107"/>
      <c r="H186" s="107"/>
      <c r="I186" s="21" t="s">
        <v>384</v>
      </c>
      <c r="J186" s="21" t="s">
        <v>693</v>
      </c>
      <c r="K186" s="21" t="s">
        <v>574</v>
      </c>
      <c r="L186" s="21" t="s">
        <v>276</v>
      </c>
      <c r="M186" s="21" t="s">
        <v>422</v>
      </c>
      <c r="N186" s="21" t="s">
        <v>576</v>
      </c>
      <c r="O186" s="21" t="s">
        <v>694</v>
      </c>
      <c r="P186" s="21" t="s">
        <v>682</v>
      </c>
      <c r="Q186" s="244" t="s">
        <v>685</v>
      </c>
      <c r="R186" s="21" t="s">
        <v>691</v>
      </c>
      <c r="S186" s="245" t="s">
        <v>686</v>
      </c>
      <c r="T186" s="21" t="s">
        <v>689</v>
      </c>
      <c r="U186" s="21" t="s">
        <v>384</v>
      </c>
      <c r="V186" s="21" t="s">
        <v>688</v>
      </c>
      <c r="W186" s="21" t="s">
        <v>574</v>
      </c>
    </row>
    <row r="188" spans="2:23" x14ac:dyDescent="0.2">
      <c r="B188" s="91"/>
      <c r="C188" s="251" t="s">
        <v>696</v>
      </c>
      <c r="D188" s="1"/>
      <c r="E188" s="1"/>
      <c r="F188" s="1"/>
      <c r="G188" s="1"/>
      <c r="H188" s="16"/>
      <c r="I188" s="252">
        <f>FARegister!I237</f>
        <v>0</v>
      </c>
      <c r="J188" s="252">
        <f>FARegister!J237</f>
        <v>0</v>
      </c>
      <c r="K188" s="251">
        <f>+I188-J188</f>
        <v>0</v>
      </c>
      <c r="L188" s="252">
        <f>FARegister!L237</f>
        <v>0</v>
      </c>
      <c r="M188" s="252">
        <v>12</v>
      </c>
      <c r="N188" s="252">
        <f>FARegister!N237</f>
        <v>0</v>
      </c>
      <c r="O188" s="252">
        <f>FARegister!O237</f>
        <v>0</v>
      </c>
      <c r="P188" s="252">
        <f>FARegister!P237</f>
        <v>0</v>
      </c>
      <c r="Q188" s="252">
        <f>FARegister!S237</f>
        <v>0</v>
      </c>
      <c r="R188" s="252">
        <f>FARegister!T237</f>
        <v>0</v>
      </c>
      <c r="S188" s="252">
        <f>FARegister!U237</f>
        <v>0</v>
      </c>
      <c r="T188" s="252">
        <f>FARegister!W237</f>
        <v>0</v>
      </c>
      <c r="U188" s="251">
        <f t="shared" ref="U188:U218" si="33">I188+L188-N188</f>
        <v>0</v>
      </c>
      <c r="V188" s="251">
        <f t="shared" ref="V188:V218" si="34">J188+T188-O188</f>
        <v>0</v>
      </c>
      <c r="W188" s="251">
        <f>+U188-V188</f>
        <v>0</v>
      </c>
    </row>
    <row r="189" spans="2:23" x14ac:dyDescent="0.2">
      <c r="B189" s="91"/>
      <c r="C189" s="1"/>
      <c r="D189" s="1"/>
      <c r="E189" s="1"/>
      <c r="F189" s="1"/>
      <c r="G189" s="1"/>
      <c r="H189" s="16"/>
      <c r="I189" s="102"/>
      <c r="K189" s="42">
        <f t="shared" ref="K189:K216" si="35">+I189-J189</f>
        <v>0</v>
      </c>
      <c r="L189" s="102"/>
      <c r="M189" s="102">
        <v>12</v>
      </c>
      <c r="N189" s="102"/>
      <c r="O189" s="102"/>
      <c r="T189" s="193"/>
      <c r="U189" s="42">
        <f t="shared" si="33"/>
        <v>0</v>
      </c>
      <c r="V189" s="42">
        <f t="shared" si="34"/>
        <v>0</v>
      </c>
      <c r="W189" s="42">
        <f t="shared" ref="W189" si="36">+U189-V189</f>
        <v>0</v>
      </c>
    </row>
    <row r="190" spans="2:23" x14ac:dyDescent="0.2">
      <c r="B190" s="91"/>
      <c r="C190" s="1"/>
      <c r="D190" s="1"/>
      <c r="E190" s="1"/>
      <c r="F190" s="1"/>
      <c r="G190" s="1"/>
      <c r="H190" s="16"/>
      <c r="I190" s="102"/>
      <c r="K190" s="42">
        <f t="shared" si="35"/>
        <v>0</v>
      </c>
      <c r="L190" s="102"/>
      <c r="M190" s="102">
        <v>12</v>
      </c>
      <c r="N190" s="102"/>
      <c r="O190" s="102"/>
      <c r="T190" s="193"/>
      <c r="U190" s="42">
        <f t="shared" si="33"/>
        <v>0</v>
      </c>
      <c r="V190" s="42">
        <f t="shared" si="34"/>
        <v>0</v>
      </c>
      <c r="W190" s="42">
        <f t="shared" ref="W190:W218" si="37">+U190-V190</f>
        <v>0</v>
      </c>
    </row>
    <row r="191" spans="2:23" x14ac:dyDescent="0.2">
      <c r="B191" s="91"/>
      <c r="C191" s="1"/>
      <c r="D191" s="1"/>
      <c r="E191" s="1"/>
      <c r="F191" s="1"/>
      <c r="G191" s="1"/>
      <c r="H191" s="16"/>
      <c r="I191" s="102"/>
      <c r="K191" s="42">
        <f t="shared" si="35"/>
        <v>0</v>
      </c>
      <c r="L191" s="102"/>
      <c r="M191" s="102">
        <v>12</v>
      </c>
      <c r="N191" s="102"/>
      <c r="O191" s="102"/>
      <c r="T191" s="193"/>
      <c r="U191" s="42">
        <f t="shared" si="33"/>
        <v>0</v>
      </c>
      <c r="V191" s="42">
        <f t="shared" si="34"/>
        <v>0</v>
      </c>
      <c r="W191" s="42">
        <f t="shared" si="37"/>
        <v>0</v>
      </c>
    </row>
    <row r="192" spans="2:23" x14ac:dyDescent="0.2">
      <c r="B192" s="91"/>
      <c r="C192" s="1"/>
      <c r="D192" s="1"/>
      <c r="E192" s="1"/>
      <c r="F192" s="1"/>
      <c r="G192" s="1"/>
      <c r="H192" s="16"/>
      <c r="I192" s="102"/>
      <c r="K192" s="42">
        <f t="shared" si="35"/>
        <v>0</v>
      </c>
      <c r="L192" s="102"/>
      <c r="M192" s="102">
        <v>12</v>
      </c>
      <c r="N192" s="102"/>
      <c r="O192" s="102"/>
      <c r="T192" s="193"/>
      <c r="U192" s="42">
        <f t="shared" si="33"/>
        <v>0</v>
      </c>
      <c r="V192" s="42">
        <f t="shared" si="34"/>
        <v>0</v>
      </c>
      <c r="W192" s="42">
        <f t="shared" si="37"/>
        <v>0</v>
      </c>
    </row>
    <row r="193" spans="2:23" x14ac:dyDescent="0.2">
      <c r="B193" s="91"/>
      <c r="C193" s="1"/>
      <c r="D193" s="1"/>
      <c r="E193" s="1"/>
      <c r="F193" s="1"/>
      <c r="G193" s="1"/>
      <c r="H193" s="16"/>
      <c r="I193" s="102"/>
      <c r="K193" s="42">
        <f t="shared" si="35"/>
        <v>0</v>
      </c>
      <c r="L193" s="102"/>
      <c r="M193" s="102">
        <v>12</v>
      </c>
      <c r="N193" s="102"/>
      <c r="O193" s="102"/>
      <c r="T193" s="193"/>
      <c r="U193" s="42">
        <f t="shared" si="33"/>
        <v>0</v>
      </c>
      <c r="V193" s="42">
        <f t="shared" si="34"/>
        <v>0</v>
      </c>
      <c r="W193" s="42">
        <f t="shared" si="37"/>
        <v>0</v>
      </c>
    </row>
    <row r="194" spans="2:23" x14ac:dyDescent="0.2">
      <c r="B194" s="91"/>
      <c r="C194" s="1"/>
      <c r="D194" s="1"/>
      <c r="E194" s="1"/>
      <c r="F194" s="1"/>
      <c r="G194" s="1"/>
      <c r="H194" s="16"/>
      <c r="I194" s="102"/>
      <c r="K194" s="42">
        <f t="shared" si="35"/>
        <v>0</v>
      </c>
      <c r="L194" s="102"/>
      <c r="M194" s="102">
        <v>12</v>
      </c>
      <c r="N194" s="102"/>
      <c r="O194" s="102"/>
      <c r="T194" s="193"/>
      <c r="U194" s="42">
        <f t="shared" si="33"/>
        <v>0</v>
      </c>
      <c r="V194" s="42">
        <f t="shared" si="34"/>
        <v>0</v>
      </c>
      <c r="W194" s="42">
        <f t="shared" si="37"/>
        <v>0</v>
      </c>
    </row>
    <row r="195" spans="2:23" x14ac:dyDescent="0.2">
      <c r="B195" s="91"/>
      <c r="C195" s="1"/>
      <c r="D195" s="1"/>
      <c r="E195" s="1"/>
      <c r="F195" s="1"/>
      <c r="G195" s="1"/>
      <c r="H195" s="16"/>
      <c r="I195" s="102"/>
      <c r="K195" s="42">
        <f t="shared" si="35"/>
        <v>0</v>
      </c>
      <c r="L195" s="102"/>
      <c r="M195" s="102">
        <v>12</v>
      </c>
      <c r="N195" s="102"/>
      <c r="O195" s="102"/>
      <c r="T195" s="193"/>
      <c r="U195" s="42">
        <f t="shared" si="33"/>
        <v>0</v>
      </c>
      <c r="V195" s="42">
        <f t="shared" si="34"/>
        <v>0</v>
      </c>
      <c r="W195" s="42">
        <f t="shared" si="37"/>
        <v>0</v>
      </c>
    </row>
    <row r="196" spans="2:23" x14ac:dyDescent="0.2">
      <c r="B196" s="91"/>
      <c r="C196" s="1"/>
      <c r="D196" s="1"/>
      <c r="E196" s="1"/>
      <c r="F196" s="1"/>
      <c r="G196" s="1"/>
      <c r="H196" s="16"/>
      <c r="I196" s="102"/>
      <c r="K196" s="42">
        <f t="shared" si="35"/>
        <v>0</v>
      </c>
      <c r="L196" s="102"/>
      <c r="M196" s="102">
        <v>12</v>
      </c>
      <c r="N196" s="102"/>
      <c r="O196" s="102"/>
      <c r="T196" s="193"/>
      <c r="U196" s="42">
        <f t="shared" si="33"/>
        <v>0</v>
      </c>
      <c r="V196" s="42">
        <f t="shared" si="34"/>
        <v>0</v>
      </c>
      <c r="W196" s="42">
        <f t="shared" si="37"/>
        <v>0</v>
      </c>
    </row>
    <row r="197" spans="2:23" x14ac:dyDescent="0.2">
      <c r="B197" s="91"/>
      <c r="C197" s="1"/>
      <c r="D197" s="1"/>
      <c r="E197" s="1"/>
      <c r="F197" s="1"/>
      <c r="G197" s="1"/>
      <c r="H197" s="16"/>
      <c r="I197" s="102"/>
      <c r="K197" s="42">
        <f t="shared" si="35"/>
        <v>0</v>
      </c>
      <c r="L197" s="102"/>
      <c r="M197" s="102">
        <v>12</v>
      </c>
      <c r="N197" s="102"/>
      <c r="O197" s="102"/>
      <c r="T197" s="193"/>
      <c r="U197" s="42">
        <f t="shared" si="33"/>
        <v>0</v>
      </c>
      <c r="V197" s="42">
        <f t="shared" si="34"/>
        <v>0</v>
      </c>
      <c r="W197" s="42">
        <f t="shared" si="37"/>
        <v>0</v>
      </c>
    </row>
    <row r="198" spans="2:23" x14ac:dyDescent="0.2">
      <c r="B198" s="91"/>
      <c r="C198" s="1"/>
      <c r="D198" s="1"/>
      <c r="E198" s="1"/>
      <c r="F198" s="1"/>
      <c r="G198" s="1"/>
      <c r="H198" s="16"/>
      <c r="I198" s="102"/>
      <c r="K198" s="42">
        <f t="shared" si="35"/>
        <v>0</v>
      </c>
      <c r="L198" s="102"/>
      <c r="M198" s="102">
        <v>12</v>
      </c>
      <c r="N198" s="102"/>
      <c r="O198" s="102"/>
      <c r="T198" s="193"/>
      <c r="U198" s="42">
        <f t="shared" si="33"/>
        <v>0</v>
      </c>
      <c r="V198" s="42">
        <f t="shared" si="34"/>
        <v>0</v>
      </c>
      <c r="W198" s="42">
        <f t="shared" si="37"/>
        <v>0</v>
      </c>
    </row>
    <row r="199" spans="2:23" x14ac:dyDescent="0.2">
      <c r="B199" s="91"/>
      <c r="C199" s="1"/>
      <c r="D199" s="1"/>
      <c r="E199" s="1"/>
      <c r="F199" s="1"/>
      <c r="G199" s="1"/>
      <c r="H199" s="16"/>
      <c r="I199" s="102"/>
      <c r="K199" s="42">
        <f t="shared" si="35"/>
        <v>0</v>
      </c>
      <c r="L199" s="102"/>
      <c r="M199" s="102">
        <v>12</v>
      </c>
      <c r="N199" s="102"/>
      <c r="O199" s="102"/>
      <c r="T199" s="193"/>
      <c r="U199" s="42">
        <f t="shared" si="33"/>
        <v>0</v>
      </c>
      <c r="V199" s="42">
        <f t="shared" si="34"/>
        <v>0</v>
      </c>
      <c r="W199" s="42">
        <f t="shared" si="37"/>
        <v>0</v>
      </c>
    </row>
    <row r="200" spans="2:23" x14ac:dyDescent="0.2">
      <c r="B200" s="91"/>
      <c r="C200" s="1"/>
      <c r="D200" s="1"/>
      <c r="E200" s="1"/>
      <c r="F200" s="1"/>
      <c r="G200" s="1"/>
      <c r="H200" s="16"/>
      <c r="I200" s="102"/>
      <c r="K200" s="42">
        <f t="shared" si="35"/>
        <v>0</v>
      </c>
      <c r="L200" s="102"/>
      <c r="M200" s="102">
        <v>12</v>
      </c>
      <c r="N200" s="102"/>
      <c r="O200" s="102"/>
      <c r="T200" s="193"/>
      <c r="U200" s="42">
        <f t="shared" si="33"/>
        <v>0</v>
      </c>
      <c r="V200" s="42">
        <f t="shared" si="34"/>
        <v>0</v>
      </c>
      <c r="W200" s="42">
        <f t="shared" si="37"/>
        <v>0</v>
      </c>
    </row>
    <row r="201" spans="2:23" x14ac:dyDescent="0.2">
      <c r="B201" s="91"/>
      <c r="C201" s="1"/>
      <c r="D201" s="1"/>
      <c r="E201" s="1"/>
      <c r="F201" s="1"/>
      <c r="G201" s="1"/>
      <c r="H201" s="16"/>
      <c r="I201" s="102"/>
      <c r="K201" s="42">
        <f t="shared" si="35"/>
        <v>0</v>
      </c>
      <c r="L201" s="102"/>
      <c r="M201" s="102">
        <v>12</v>
      </c>
      <c r="N201" s="102"/>
      <c r="O201" s="102"/>
      <c r="T201" s="193"/>
      <c r="U201" s="42">
        <f t="shared" si="33"/>
        <v>0</v>
      </c>
      <c r="V201" s="42">
        <f t="shared" si="34"/>
        <v>0</v>
      </c>
      <c r="W201" s="42">
        <f t="shared" si="37"/>
        <v>0</v>
      </c>
    </row>
    <row r="202" spans="2:23" x14ac:dyDescent="0.2">
      <c r="B202" s="91"/>
      <c r="C202" s="1"/>
      <c r="D202" s="1"/>
      <c r="E202" s="1"/>
      <c r="F202" s="1"/>
      <c r="G202" s="1"/>
      <c r="H202" s="16"/>
      <c r="I202" s="102"/>
      <c r="K202" s="42">
        <f t="shared" si="35"/>
        <v>0</v>
      </c>
      <c r="L202" s="102"/>
      <c r="M202" s="102">
        <v>12</v>
      </c>
      <c r="N202" s="102"/>
      <c r="O202" s="102"/>
      <c r="T202" s="193"/>
      <c r="U202" s="42">
        <f t="shared" si="33"/>
        <v>0</v>
      </c>
      <c r="V202" s="42">
        <f t="shared" si="34"/>
        <v>0</v>
      </c>
      <c r="W202" s="42">
        <f t="shared" si="37"/>
        <v>0</v>
      </c>
    </row>
    <row r="203" spans="2:23" x14ac:dyDescent="0.2">
      <c r="B203" s="91"/>
      <c r="C203" s="1"/>
      <c r="D203" s="1"/>
      <c r="E203" s="1"/>
      <c r="F203" s="1"/>
      <c r="G203" s="1"/>
      <c r="H203" s="16"/>
      <c r="I203" s="102"/>
      <c r="K203" s="42">
        <f t="shared" si="35"/>
        <v>0</v>
      </c>
      <c r="L203" s="102"/>
      <c r="M203" s="102">
        <v>12</v>
      </c>
      <c r="N203" s="102"/>
      <c r="O203" s="102"/>
      <c r="T203" s="193"/>
      <c r="U203" s="42">
        <f t="shared" si="33"/>
        <v>0</v>
      </c>
      <c r="V203" s="42">
        <f t="shared" si="34"/>
        <v>0</v>
      </c>
      <c r="W203" s="42">
        <f t="shared" si="37"/>
        <v>0</v>
      </c>
    </row>
    <row r="204" spans="2:23" x14ac:dyDescent="0.2">
      <c r="B204" s="91"/>
      <c r="C204" s="1"/>
      <c r="D204" s="1"/>
      <c r="E204" s="1"/>
      <c r="F204" s="1"/>
      <c r="G204" s="1"/>
      <c r="H204" s="16"/>
      <c r="I204" s="102"/>
      <c r="K204" s="42">
        <f t="shared" si="35"/>
        <v>0</v>
      </c>
      <c r="L204" s="102"/>
      <c r="M204" s="102">
        <v>12</v>
      </c>
      <c r="N204" s="102"/>
      <c r="O204" s="102"/>
      <c r="T204" s="193"/>
      <c r="U204" s="42">
        <f t="shared" si="33"/>
        <v>0</v>
      </c>
      <c r="V204" s="42">
        <f t="shared" si="34"/>
        <v>0</v>
      </c>
      <c r="W204" s="42">
        <f t="shared" si="37"/>
        <v>0</v>
      </c>
    </row>
    <row r="205" spans="2:23" x14ac:dyDescent="0.2">
      <c r="B205" s="91"/>
      <c r="C205" s="1"/>
      <c r="D205" s="1"/>
      <c r="E205" s="1"/>
      <c r="F205" s="1"/>
      <c r="G205" s="1"/>
      <c r="H205" s="16"/>
      <c r="I205" s="102"/>
      <c r="K205" s="42">
        <f t="shared" si="35"/>
        <v>0</v>
      </c>
      <c r="L205" s="102"/>
      <c r="M205" s="102">
        <v>12</v>
      </c>
      <c r="N205" s="102"/>
      <c r="O205" s="102"/>
      <c r="T205" s="193"/>
      <c r="U205" s="42">
        <f t="shared" si="33"/>
        <v>0</v>
      </c>
      <c r="V205" s="42">
        <f t="shared" si="34"/>
        <v>0</v>
      </c>
      <c r="W205" s="42">
        <f t="shared" si="37"/>
        <v>0</v>
      </c>
    </row>
    <row r="206" spans="2:23" x14ac:dyDescent="0.2">
      <c r="B206" s="91"/>
      <c r="C206" s="1"/>
      <c r="D206" s="1"/>
      <c r="E206" s="1"/>
      <c r="F206" s="1"/>
      <c r="G206" s="1"/>
      <c r="H206" s="16"/>
      <c r="I206" s="102"/>
      <c r="K206" s="42">
        <f t="shared" si="35"/>
        <v>0</v>
      </c>
      <c r="L206" s="102"/>
      <c r="M206" s="102">
        <v>12</v>
      </c>
      <c r="N206" s="102"/>
      <c r="O206" s="102"/>
      <c r="T206" s="193"/>
      <c r="U206" s="42">
        <f t="shared" si="33"/>
        <v>0</v>
      </c>
      <c r="V206" s="42">
        <f t="shared" si="34"/>
        <v>0</v>
      </c>
      <c r="W206" s="42">
        <f t="shared" si="37"/>
        <v>0</v>
      </c>
    </row>
    <row r="207" spans="2:23" x14ac:dyDescent="0.2">
      <c r="B207" s="91"/>
      <c r="C207" s="1"/>
      <c r="D207" s="1"/>
      <c r="E207" s="1"/>
      <c r="F207" s="1"/>
      <c r="G207" s="1"/>
      <c r="H207" s="16"/>
      <c r="I207" s="102"/>
      <c r="K207" s="42">
        <f t="shared" si="35"/>
        <v>0</v>
      </c>
      <c r="L207" s="102"/>
      <c r="M207" s="102">
        <v>12</v>
      </c>
      <c r="N207" s="102"/>
      <c r="O207" s="102"/>
      <c r="T207" s="193"/>
      <c r="U207" s="42">
        <f t="shared" si="33"/>
        <v>0</v>
      </c>
      <c r="V207" s="42">
        <f t="shared" si="34"/>
        <v>0</v>
      </c>
      <c r="W207" s="42">
        <f t="shared" si="37"/>
        <v>0</v>
      </c>
    </row>
    <row r="208" spans="2:23" x14ac:dyDescent="0.2">
      <c r="B208" s="91"/>
      <c r="C208" s="1"/>
      <c r="D208" s="1"/>
      <c r="E208" s="1"/>
      <c r="F208" s="1"/>
      <c r="G208" s="1"/>
      <c r="H208" s="16"/>
      <c r="I208" s="102"/>
      <c r="K208" s="42">
        <f t="shared" si="35"/>
        <v>0</v>
      </c>
      <c r="L208" s="102"/>
      <c r="M208" s="102">
        <v>12</v>
      </c>
      <c r="N208" s="102"/>
      <c r="O208" s="102"/>
      <c r="T208" s="193"/>
      <c r="U208" s="42">
        <f t="shared" si="33"/>
        <v>0</v>
      </c>
      <c r="V208" s="42">
        <f t="shared" si="34"/>
        <v>0</v>
      </c>
      <c r="W208" s="42">
        <f t="shared" si="37"/>
        <v>0</v>
      </c>
    </row>
    <row r="209" spans="2:23" x14ac:dyDescent="0.2">
      <c r="B209" s="91"/>
      <c r="C209" s="1"/>
      <c r="D209" s="1"/>
      <c r="E209" s="1"/>
      <c r="F209" s="1"/>
      <c r="G209" s="1"/>
      <c r="H209" s="16"/>
      <c r="I209" s="102"/>
      <c r="K209" s="42">
        <f t="shared" si="35"/>
        <v>0</v>
      </c>
      <c r="L209" s="102"/>
      <c r="M209" s="102">
        <v>12</v>
      </c>
      <c r="N209" s="102"/>
      <c r="O209" s="102"/>
      <c r="T209" s="193"/>
      <c r="U209" s="42">
        <f t="shared" si="33"/>
        <v>0</v>
      </c>
      <c r="V209" s="42">
        <f t="shared" si="34"/>
        <v>0</v>
      </c>
      <c r="W209" s="42">
        <f t="shared" si="37"/>
        <v>0</v>
      </c>
    </row>
    <row r="210" spans="2:23" x14ac:dyDescent="0.2">
      <c r="B210" s="91"/>
      <c r="C210" s="1"/>
      <c r="D210" s="1"/>
      <c r="E210" s="1"/>
      <c r="F210" s="1"/>
      <c r="G210" s="1"/>
      <c r="H210" s="16"/>
      <c r="I210" s="102"/>
      <c r="K210" s="42">
        <f t="shared" si="35"/>
        <v>0</v>
      </c>
      <c r="L210" s="102"/>
      <c r="M210" s="102">
        <v>12</v>
      </c>
      <c r="N210" s="102"/>
      <c r="O210" s="102"/>
      <c r="T210" s="193"/>
      <c r="U210" s="42">
        <f t="shared" si="33"/>
        <v>0</v>
      </c>
      <c r="V210" s="42">
        <f t="shared" si="34"/>
        <v>0</v>
      </c>
      <c r="W210" s="42">
        <f t="shared" si="37"/>
        <v>0</v>
      </c>
    </row>
    <row r="211" spans="2:23" x14ac:dyDescent="0.2">
      <c r="B211" s="91"/>
      <c r="C211" s="1"/>
      <c r="D211" s="1"/>
      <c r="E211" s="1"/>
      <c r="F211" s="1"/>
      <c r="G211" s="1"/>
      <c r="H211" s="16"/>
      <c r="I211" s="102"/>
      <c r="K211" s="42">
        <f t="shared" si="35"/>
        <v>0</v>
      </c>
      <c r="L211" s="102"/>
      <c r="M211" s="102">
        <v>12</v>
      </c>
      <c r="N211" s="102"/>
      <c r="O211" s="102"/>
      <c r="T211" s="193"/>
      <c r="U211" s="42">
        <f t="shared" si="33"/>
        <v>0</v>
      </c>
      <c r="V211" s="42">
        <f t="shared" si="34"/>
        <v>0</v>
      </c>
      <c r="W211" s="42">
        <f t="shared" si="37"/>
        <v>0</v>
      </c>
    </row>
    <row r="212" spans="2:23" x14ac:dyDescent="0.2">
      <c r="B212" s="91"/>
      <c r="C212" s="1"/>
      <c r="D212" s="1"/>
      <c r="E212" s="1"/>
      <c r="F212" s="1"/>
      <c r="G212" s="1"/>
      <c r="H212" s="16"/>
      <c r="I212" s="102"/>
      <c r="K212" s="42">
        <f t="shared" si="35"/>
        <v>0</v>
      </c>
      <c r="L212" s="102"/>
      <c r="M212" s="102">
        <v>12</v>
      </c>
      <c r="N212" s="102"/>
      <c r="O212" s="102"/>
      <c r="T212" s="193"/>
      <c r="U212" s="42">
        <f t="shared" si="33"/>
        <v>0</v>
      </c>
      <c r="V212" s="42">
        <f t="shared" si="34"/>
        <v>0</v>
      </c>
      <c r="W212" s="42">
        <f t="shared" si="37"/>
        <v>0</v>
      </c>
    </row>
    <row r="213" spans="2:23" x14ac:dyDescent="0.2">
      <c r="B213" s="91"/>
      <c r="C213" s="1"/>
      <c r="D213" s="1"/>
      <c r="E213" s="1"/>
      <c r="F213" s="1"/>
      <c r="G213" s="1"/>
      <c r="H213" s="16"/>
      <c r="I213" s="102"/>
      <c r="K213" s="42">
        <f t="shared" si="35"/>
        <v>0</v>
      </c>
      <c r="L213" s="102"/>
      <c r="M213" s="102">
        <v>12</v>
      </c>
      <c r="N213" s="102"/>
      <c r="O213" s="102"/>
      <c r="T213" s="193"/>
      <c r="U213" s="42">
        <f t="shared" si="33"/>
        <v>0</v>
      </c>
      <c r="V213" s="42">
        <f t="shared" si="34"/>
        <v>0</v>
      </c>
      <c r="W213" s="42">
        <f t="shared" si="37"/>
        <v>0</v>
      </c>
    </row>
    <row r="214" spans="2:23" x14ac:dyDescent="0.2">
      <c r="B214" s="91"/>
      <c r="C214" s="1"/>
      <c r="D214" s="1"/>
      <c r="E214" s="1"/>
      <c r="F214" s="1"/>
      <c r="G214" s="1"/>
      <c r="H214" s="16"/>
      <c r="I214" s="102"/>
      <c r="K214" s="42">
        <f t="shared" si="35"/>
        <v>0</v>
      </c>
      <c r="L214" s="102"/>
      <c r="M214" s="102">
        <v>12</v>
      </c>
      <c r="N214" s="102"/>
      <c r="O214" s="102"/>
      <c r="T214" s="193"/>
      <c r="U214" s="42">
        <f t="shared" si="33"/>
        <v>0</v>
      </c>
      <c r="V214" s="42">
        <f t="shared" si="34"/>
        <v>0</v>
      </c>
      <c r="W214" s="42">
        <f t="shared" si="37"/>
        <v>0</v>
      </c>
    </row>
    <row r="215" spans="2:23" x14ac:dyDescent="0.2">
      <c r="B215" s="91"/>
      <c r="C215" s="1"/>
      <c r="D215" s="1"/>
      <c r="E215" s="1"/>
      <c r="F215" s="1"/>
      <c r="G215" s="1"/>
      <c r="H215" s="16"/>
      <c r="I215" s="102"/>
      <c r="K215" s="42">
        <f t="shared" si="35"/>
        <v>0</v>
      </c>
      <c r="L215" s="102"/>
      <c r="M215" s="102">
        <v>12</v>
      </c>
      <c r="N215" s="102"/>
      <c r="O215" s="102"/>
      <c r="T215" s="193"/>
      <c r="U215" s="42">
        <f t="shared" si="33"/>
        <v>0</v>
      </c>
      <c r="V215" s="42">
        <f t="shared" si="34"/>
        <v>0</v>
      </c>
      <c r="W215" s="42">
        <f t="shared" si="37"/>
        <v>0</v>
      </c>
    </row>
    <row r="216" spans="2:23" x14ac:dyDescent="0.2">
      <c r="B216" s="91"/>
      <c r="C216" s="1"/>
      <c r="D216" s="1"/>
      <c r="E216" s="1"/>
      <c r="F216" s="1"/>
      <c r="G216" s="1"/>
      <c r="H216" s="16"/>
      <c r="I216" s="102"/>
      <c r="K216" s="42">
        <f t="shared" si="35"/>
        <v>0</v>
      </c>
      <c r="L216" s="102"/>
      <c r="M216" s="102">
        <v>12</v>
      </c>
      <c r="N216" s="102"/>
      <c r="O216" s="102"/>
      <c r="T216" s="193"/>
      <c r="U216" s="42">
        <f t="shared" si="33"/>
        <v>0</v>
      </c>
      <c r="V216" s="42">
        <f t="shared" si="34"/>
        <v>0</v>
      </c>
      <c r="W216" s="42">
        <f t="shared" si="37"/>
        <v>0</v>
      </c>
    </row>
    <row r="217" spans="2:23" x14ac:dyDescent="0.2">
      <c r="B217" s="204"/>
      <c r="C217" s="1"/>
      <c r="D217" s="1"/>
      <c r="E217" s="1"/>
      <c r="F217" s="1"/>
      <c r="G217" s="1"/>
      <c r="H217" s="16"/>
      <c r="I217" s="102"/>
      <c r="K217" s="42">
        <f>+I217-J217</f>
        <v>0</v>
      </c>
      <c r="L217" s="102"/>
      <c r="M217" s="102">
        <v>12</v>
      </c>
      <c r="N217" s="102"/>
      <c r="O217" s="102"/>
      <c r="T217" s="193"/>
      <c r="U217" s="42">
        <f t="shared" si="33"/>
        <v>0</v>
      </c>
      <c r="V217" s="42">
        <f t="shared" si="34"/>
        <v>0</v>
      </c>
      <c r="W217" s="42">
        <f t="shared" si="37"/>
        <v>0</v>
      </c>
    </row>
    <row r="218" spans="2:23" x14ac:dyDescent="0.2">
      <c r="B218" s="204"/>
      <c r="C218" s="1"/>
      <c r="D218" s="1"/>
      <c r="E218" s="1"/>
      <c r="F218" s="1"/>
      <c r="G218" s="1"/>
      <c r="H218" s="16"/>
      <c r="I218" s="102"/>
      <c r="K218" s="42">
        <f>+I218-J218</f>
        <v>0</v>
      </c>
      <c r="L218" s="102"/>
      <c r="M218" s="102">
        <v>12</v>
      </c>
      <c r="N218" s="102"/>
      <c r="O218" s="102"/>
      <c r="T218" s="193"/>
      <c r="U218" s="42">
        <f t="shared" si="33"/>
        <v>0</v>
      </c>
      <c r="V218" s="42">
        <f t="shared" si="34"/>
        <v>0</v>
      </c>
      <c r="W218" s="42">
        <f t="shared" si="37"/>
        <v>0</v>
      </c>
    </row>
    <row r="220" spans="2:23" ht="13.5" thickBot="1" x14ac:dyDescent="0.25">
      <c r="C220" s="42" t="s">
        <v>350</v>
      </c>
      <c r="I220" s="50">
        <f>SUM(I187:I219)</f>
        <v>0</v>
      </c>
      <c r="J220" s="50">
        <f>SUM(J187:J219)</f>
        <v>0</v>
      </c>
      <c r="K220" s="50">
        <f>SUM(K187:K219)</f>
        <v>0</v>
      </c>
      <c r="L220" s="50">
        <f>SUM(L187:L219)</f>
        <v>0</v>
      </c>
      <c r="M220" s="50"/>
      <c r="N220" s="50">
        <f t="shared" ref="N220:W220" si="38">SUM(N187:N219)</f>
        <v>0</v>
      </c>
      <c r="O220" s="50">
        <f t="shared" si="38"/>
        <v>0</v>
      </c>
      <c r="P220" s="50">
        <f t="shared" si="38"/>
        <v>0</v>
      </c>
      <c r="Q220" s="50">
        <f t="shared" si="38"/>
        <v>0</v>
      </c>
      <c r="R220" s="50">
        <f t="shared" si="38"/>
        <v>0</v>
      </c>
      <c r="S220" s="50">
        <f t="shared" si="38"/>
        <v>0</v>
      </c>
      <c r="T220" s="50">
        <f t="shared" si="38"/>
        <v>0</v>
      </c>
      <c r="U220" s="50">
        <f t="shared" si="38"/>
        <v>0</v>
      </c>
      <c r="V220" s="50">
        <f t="shared" si="38"/>
        <v>0</v>
      </c>
      <c r="W220" s="50">
        <f t="shared" si="38"/>
        <v>0</v>
      </c>
    </row>
    <row r="221" spans="2:23" ht="13.5" thickTop="1" x14ac:dyDescent="0.2">
      <c r="G221" s="42" t="s">
        <v>695</v>
      </c>
      <c r="I221" s="42">
        <f>I220-FARegister!I237</f>
        <v>0</v>
      </c>
      <c r="L221" s="42">
        <f>L220-FARegister!L237</f>
        <v>0</v>
      </c>
      <c r="N221" s="42">
        <f>N220-FARegister!N237</f>
        <v>0</v>
      </c>
      <c r="P221" s="42">
        <f>P220-FARegister!P237</f>
        <v>0</v>
      </c>
      <c r="U221" s="42">
        <f>U220-FARegister!X237</f>
        <v>0</v>
      </c>
    </row>
    <row r="223" spans="2:23" ht="14.25" x14ac:dyDescent="0.2">
      <c r="B223" s="203" t="s">
        <v>346</v>
      </c>
      <c r="I223" s="238"/>
      <c r="J223" s="238"/>
    </row>
    <row r="224" spans="2:23" x14ac:dyDescent="0.2">
      <c r="B224" s="200"/>
      <c r="I224" s="19"/>
      <c r="J224" s="19"/>
      <c r="K224" s="19"/>
      <c r="L224" s="19"/>
      <c r="M224" s="19"/>
      <c r="N224" s="19"/>
      <c r="O224" s="19" t="s">
        <v>164</v>
      </c>
      <c r="P224" s="19"/>
      <c r="Q224" s="257" t="s">
        <v>683</v>
      </c>
      <c r="R224" s="258" t="s">
        <v>690</v>
      </c>
      <c r="S224" s="259" t="s">
        <v>684</v>
      </c>
      <c r="T224" s="19"/>
      <c r="U224" s="19"/>
      <c r="V224" s="19"/>
      <c r="W224" s="19"/>
    </row>
    <row r="225" spans="2:23" x14ac:dyDescent="0.2">
      <c r="B225" s="201" t="s">
        <v>27</v>
      </c>
      <c r="C225" s="67" t="s">
        <v>231</v>
      </c>
      <c r="D225" s="67"/>
      <c r="E225" s="107"/>
      <c r="F225" s="108"/>
      <c r="G225" s="107"/>
      <c r="H225" s="107"/>
      <c r="I225" s="21" t="s">
        <v>384</v>
      </c>
      <c r="J225" s="21" t="s">
        <v>693</v>
      </c>
      <c r="K225" s="21" t="s">
        <v>574</v>
      </c>
      <c r="L225" s="21" t="s">
        <v>276</v>
      </c>
      <c r="M225" s="21" t="s">
        <v>422</v>
      </c>
      <c r="N225" s="21" t="s">
        <v>576</v>
      </c>
      <c r="O225" s="21" t="s">
        <v>694</v>
      </c>
      <c r="P225" s="21" t="s">
        <v>682</v>
      </c>
      <c r="Q225" s="244" t="s">
        <v>685</v>
      </c>
      <c r="R225" s="21" t="s">
        <v>691</v>
      </c>
      <c r="S225" s="245" t="s">
        <v>686</v>
      </c>
      <c r="T225" s="21" t="s">
        <v>689</v>
      </c>
      <c r="U225" s="21" t="s">
        <v>384</v>
      </c>
      <c r="V225" s="21" t="s">
        <v>688</v>
      </c>
      <c r="W225" s="21" t="s">
        <v>574</v>
      </c>
    </row>
    <row r="227" spans="2:23" x14ac:dyDescent="0.2">
      <c r="C227" s="251" t="s">
        <v>696</v>
      </c>
      <c r="D227" s="251"/>
      <c r="E227" s="251"/>
      <c r="F227" s="251"/>
      <c r="G227" s="251"/>
      <c r="H227" s="251"/>
      <c r="I227" s="251">
        <f>FARegister!I342</f>
        <v>0</v>
      </c>
      <c r="J227" s="251">
        <f>FARegister!J342</f>
        <v>0</v>
      </c>
      <c r="K227" s="251">
        <f t="shared" ref="K227:K234" si="39">+I227-J227</f>
        <v>0</v>
      </c>
      <c r="L227" s="251">
        <f>FARegister!L342</f>
        <v>0</v>
      </c>
      <c r="M227" s="252">
        <v>12</v>
      </c>
      <c r="N227" s="251">
        <f>FARegister!N342</f>
        <v>0</v>
      </c>
      <c r="O227" s="251">
        <f>FARegister!O342</f>
        <v>0</v>
      </c>
      <c r="P227" s="251">
        <f>FARegister!P342</f>
        <v>0</v>
      </c>
      <c r="Q227" s="251">
        <f>FARegister!S342</f>
        <v>0</v>
      </c>
      <c r="R227" s="251">
        <f>FARegister!T342</f>
        <v>0</v>
      </c>
      <c r="S227" s="251">
        <f>FARegister!U342</f>
        <v>0</v>
      </c>
      <c r="T227" s="251">
        <f>FARegister!W342</f>
        <v>0</v>
      </c>
      <c r="U227" s="251">
        <f t="shared" ref="U227:U258" si="40">I227+L227-N227</f>
        <v>0</v>
      </c>
      <c r="V227" s="251">
        <f t="shared" ref="V227:V258" si="41">J227+T227-O227</f>
        <v>0</v>
      </c>
      <c r="W227" s="251">
        <f t="shared" ref="W227:W228" si="42">+U227-V227</f>
        <v>0</v>
      </c>
    </row>
    <row r="228" spans="2:23" x14ac:dyDescent="0.2">
      <c r="C228" s="178"/>
      <c r="K228" s="42">
        <f t="shared" si="39"/>
        <v>0</v>
      </c>
      <c r="M228" s="102">
        <v>12</v>
      </c>
      <c r="T228" s="193"/>
      <c r="U228" s="42">
        <f t="shared" si="40"/>
        <v>0</v>
      </c>
      <c r="V228" s="42">
        <f t="shared" si="41"/>
        <v>0</v>
      </c>
      <c r="W228" s="42">
        <f t="shared" si="42"/>
        <v>0</v>
      </c>
    </row>
    <row r="229" spans="2:23" x14ac:dyDescent="0.2">
      <c r="B229" s="55"/>
      <c r="C229" s="1"/>
      <c r="D229" s="1"/>
      <c r="E229" s="1"/>
      <c r="F229" s="1"/>
      <c r="G229" s="1"/>
      <c r="K229" s="42">
        <f t="shared" si="39"/>
        <v>0</v>
      </c>
      <c r="M229" s="102">
        <v>12</v>
      </c>
      <c r="N229" s="102"/>
      <c r="O229" s="102"/>
      <c r="T229" s="193"/>
      <c r="U229" s="42">
        <f t="shared" si="40"/>
        <v>0</v>
      </c>
      <c r="V229" s="42">
        <f t="shared" si="41"/>
        <v>0</v>
      </c>
      <c r="W229" s="42">
        <f t="shared" ref="W229:W292" si="43">+U229-V229</f>
        <v>0</v>
      </c>
    </row>
    <row r="230" spans="2:23" x14ac:dyDescent="0.2">
      <c r="B230" s="55"/>
      <c r="C230" s="1"/>
      <c r="D230" s="1"/>
      <c r="E230" s="1"/>
      <c r="F230" s="1"/>
      <c r="G230" s="1"/>
      <c r="K230" s="42">
        <f t="shared" si="39"/>
        <v>0</v>
      </c>
      <c r="M230" s="102">
        <v>12</v>
      </c>
      <c r="N230" s="102"/>
      <c r="O230" s="102"/>
      <c r="T230" s="193"/>
      <c r="U230" s="42">
        <f t="shared" si="40"/>
        <v>0</v>
      </c>
      <c r="V230" s="42">
        <f t="shared" si="41"/>
        <v>0</v>
      </c>
      <c r="W230" s="42">
        <f t="shared" si="43"/>
        <v>0</v>
      </c>
    </row>
    <row r="231" spans="2:23" x14ac:dyDescent="0.2">
      <c r="B231" s="55"/>
      <c r="C231" s="27"/>
      <c r="D231" s="1"/>
      <c r="E231" s="1"/>
      <c r="F231" s="1"/>
      <c r="G231" s="1"/>
      <c r="K231" s="42">
        <f t="shared" si="39"/>
        <v>0</v>
      </c>
      <c r="M231" s="102">
        <v>12</v>
      </c>
      <c r="N231" s="102"/>
      <c r="O231" s="102"/>
      <c r="T231" s="193"/>
      <c r="U231" s="42">
        <f t="shared" si="40"/>
        <v>0</v>
      </c>
      <c r="V231" s="42">
        <f t="shared" si="41"/>
        <v>0</v>
      </c>
      <c r="W231" s="42">
        <f t="shared" si="43"/>
        <v>0</v>
      </c>
    </row>
    <row r="232" spans="2:23" x14ac:dyDescent="0.2">
      <c r="B232" s="55"/>
      <c r="C232" s="1"/>
      <c r="D232" s="1"/>
      <c r="E232" s="1"/>
      <c r="F232" s="1"/>
      <c r="G232" s="1"/>
      <c r="K232" s="42">
        <f t="shared" si="39"/>
        <v>0</v>
      </c>
      <c r="M232" s="102">
        <v>12</v>
      </c>
      <c r="N232" s="102"/>
      <c r="O232" s="102"/>
      <c r="T232" s="193"/>
      <c r="U232" s="42">
        <f t="shared" si="40"/>
        <v>0</v>
      </c>
      <c r="V232" s="42">
        <f t="shared" si="41"/>
        <v>0</v>
      </c>
      <c r="W232" s="42">
        <f t="shared" si="43"/>
        <v>0</v>
      </c>
    </row>
    <row r="233" spans="2:23" x14ac:dyDescent="0.2">
      <c r="B233" s="55"/>
      <c r="C233" s="1"/>
      <c r="D233" s="27"/>
      <c r="E233" s="27"/>
      <c r="F233" s="27"/>
      <c r="G233" s="27"/>
      <c r="K233" s="42">
        <f t="shared" si="39"/>
        <v>0</v>
      </c>
      <c r="M233" s="102">
        <v>12</v>
      </c>
      <c r="N233" s="102"/>
      <c r="O233" s="102"/>
      <c r="T233" s="193"/>
      <c r="U233" s="42">
        <f t="shared" si="40"/>
        <v>0</v>
      </c>
      <c r="V233" s="42">
        <f t="shared" si="41"/>
        <v>0</v>
      </c>
      <c r="W233" s="42">
        <f t="shared" si="43"/>
        <v>0</v>
      </c>
    </row>
    <row r="234" spans="2:23" x14ac:dyDescent="0.2">
      <c r="B234" s="55"/>
      <c r="C234" s="1"/>
      <c r="D234" s="27"/>
      <c r="E234" s="27"/>
      <c r="F234" s="27"/>
      <c r="G234" s="27"/>
      <c r="K234" s="42">
        <f t="shared" si="39"/>
        <v>0</v>
      </c>
      <c r="M234" s="102">
        <v>12</v>
      </c>
      <c r="N234" s="102"/>
      <c r="O234" s="102"/>
      <c r="T234" s="193"/>
      <c r="U234" s="42">
        <f t="shared" si="40"/>
        <v>0</v>
      </c>
      <c r="V234" s="42">
        <f t="shared" si="41"/>
        <v>0</v>
      </c>
      <c r="W234" s="42">
        <f t="shared" si="43"/>
        <v>0</v>
      </c>
    </row>
    <row r="235" spans="2:23" ht="15" x14ac:dyDescent="0.25">
      <c r="B235" s="55"/>
      <c r="C235" s="27"/>
      <c r="D235" s="195"/>
      <c r="E235" s="195"/>
      <c r="F235" s="196"/>
      <c r="G235" s="195"/>
      <c r="K235" s="42">
        <f>+I235-J235</f>
        <v>0</v>
      </c>
      <c r="M235" s="102">
        <v>12</v>
      </c>
      <c r="N235" s="102"/>
      <c r="O235" s="102"/>
      <c r="T235" s="193"/>
      <c r="U235" s="42">
        <f t="shared" si="40"/>
        <v>0</v>
      </c>
      <c r="V235" s="42">
        <f t="shared" si="41"/>
        <v>0</v>
      </c>
      <c r="W235" s="42">
        <f t="shared" si="43"/>
        <v>0</v>
      </c>
    </row>
    <row r="236" spans="2:23" ht="15" x14ac:dyDescent="0.25">
      <c r="B236" s="206"/>
      <c r="C236" s="178"/>
      <c r="D236" s="195"/>
      <c r="E236" s="195"/>
      <c r="F236" s="196"/>
      <c r="G236" s="195"/>
      <c r="K236" s="42">
        <f>+I236-J236</f>
        <v>0</v>
      </c>
      <c r="M236" s="102">
        <v>12</v>
      </c>
      <c r="N236" s="102"/>
      <c r="O236" s="102"/>
      <c r="T236" s="193"/>
      <c r="U236" s="42">
        <f t="shared" si="40"/>
        <v>0</v>
      </c>
      <c r="V236" s="42">
        <f t="shared" si="41"/>
        <v>0</v>
      </c>
      <c r="W236" s="42">
        <f t="shared" si="43"/>
        <v>0</v>
      </c>
    </row>
    <row r="237" spans="2:23" ht="15" x14ac:dyDescent="0.25">
      <c r="B237" s="206"/>
      <c r="C237" s="195"/>
      <c r="D237" s="195"/>
      <c r="E237" s="195"/>
      <c r="F237" s="196"/>
      <c r="G237" s="195"/>
      <c r="K237" s="42">
        <f>+I237-J237</f>
        <v>0</v>
      </c>
      <c r="M237" s="102">
        <v>12</v>
      </c>
      <c r="N237" s="102"/>
      <c r="O237" s="102"/>
      <c r="T237" s="193"/>
      <c r="U237" s="42">
        <f t="shared" si="40"/>
        <v>0</v>
      </c>
      <c r="V237" s="42">
        <f t="shared" si="41"/>
        <v>0</v>
      </c>
      <c r="W237" s="42">
        <f t="shared" si="43"/>
        <v>0</v>
      </c>
    </row>
    <row r="238" spans="2:23" ht="15" x14ac:dyDescent="0.25">
      <c r="B238" s="206"/>
      <c r="C238" s="195"/>
      <c r="D238" s="195"/>
      <c r="E238" s="195"/>
      <c r="F238" s="196"/>
      <c r="G238" s="195"/>
      <c r="K238" s="42">
        <f>+I238-J238</f>
        <v>0</v>
      </c>
      <c r="M238" s="102">
        <v>12</v>
      </c>
      <c r="N238" s="102"/>
      <c r="O238" s="102"/>
      <c r="T238" s="193"/>
      <c r="U238" s="42">
        <f t="shared" si="40"/>
        <v>0</v>
      </c>
      <c r="V238" s="42">
        <f t="shared" si="41"/>
        <v>0</v>
      </c>
      <c r="W238" s="42">
        <f t="shared" si="43"/>
        <v>0</v>
      </c>
    </row>
    <row r="239" spans="2:23" ht="15" x14ac:dyDescent="0.25">
      <c r="B239" s="206"/>
      <c r="C239" s="195"/>
      <c r="D239" s="195"/>
      <c r="E239" s="195"/>
      <c r="F239" s="196"/>
      <c r="G239" s="195"/>
      <c r="K239" s="42">
        <f>+I239-J239</f>
        <v>0</v>
      </c>
      <c r="M239" s="102">
        <v>12</v>
      </c>
      <c r="N239" s="102"/>
      <c r="O239" s="102"/>
      <c r="T239" s="193"/>
      <c r="U239" s="42">
        <f t="shared" si="40"/>
        <v>0</v>
      </c>
      <c r="V239" s="42">
        <f t="shared" si="41"/>
        <v>0</v>
      </c>
      <c r="W239" s="42">
        <f t="shared" si="43"/>
        <v>0</v>
      </c>
    </row>
    <row r="240" spans="2:23" ht="15" x14ac:dyDescent="0.25">
      <c r="B240" s="206"/>
      <c r="C240" s="195"/>
      <c r="D240" s="195"/>
      <c r="E240" s="195"/>
      <c r="F240" s="196"/>
      <c r="G240" s="195"/>
      <c r="K240" s="42">
        <f t="shared" ref="K240:K323" si="44">+I240-J240</f>
        <v>0</v>
      </c>
      <c r="M240" s="102">
        <v>12</v>
      </c>
      <c r="N240" s="102"/>
      <c r="O240" s="102"/>
      <c r="T240" s="193"/>
      <c r="U240" s="42">
        <f t="shared" si="40"/>
        <v>0</v>
      </c>
      <c r="V240" s="42">
        <f t="shared" si="41"/>
        <v>0</v>
      </c>
      <c r="W240" s="42">
        <f t="shared" si="43"/>
        <v>0</v>
      </c>
    </row>
    <row r="241" spans="2:23" ht="15" x14ac:dyDescent="0.25">
      <c r="B241" s="206"/>
      <c r="C241" s="195"/>
      <c r="D241" s="195"/>
      <c r="E241" s="195"/>
      <c r="F241" s="196"/>
      <c r="G241" s="195"/>
      <c r="K241" s="42">
        <f t="shared" si="44"/>
        <v>0</v>
      </c>
      <c r="M241" s="102">
        <v>12</v>
      </c>
      <c r="N241" s="102"/>
      <c r="O241" s="102"/>
      <c r="T241" s="193"/>
      <c r="U241" s="42">
        <f t="shared" si="40"/>
        <v>0</v>
      </c>
      <c r="V241" s="42">
        <f t="shared" si="41"/>
        <v>0</v>
      </c>
      <c r="W241" s="42">
        <f t="shared" si="43"/>
        <v>0</v>
      </c>
    </row>
    <row r="242" spans="2:23" ht="15" x14ac:dyDescent="0.25">
      <c r="B242" s="206"/>
      <c r="C242" s="197"/>
      <c r="D242" s="195"/>
      <c r="E242" s="195"/>
      <c r="F242" s="196"/>
      <c r="G242" s="195"/>
      <c r="K242" s="42">
        <f t="shared" si="44"/>
        <v>0</v>
      </c>
      <c r="M242" s="102">
        <v>12</v>
      </c>
      <c r="N242" s="102"/>
      <c r="O242" s="102"/>
      <c r="T242" s="193"/>
      <c r="U242" s="42">
        <f t="shared" si="40"/>
        <v>0</v>
      </c>
      <c r="V242" s="42">
        <f t="shared" si="41"/>
        <v>0</v>
      </c>
      <c r="W242" s="42">
        <f t="shared" si="43"/>
        <v>0</v>
      </c>
    </row>
    <row r="243" spans="2:23" ht="15" x14ac:dyDescent="0.25">
      <c r="B243" s="206"/>
      <c r="C243" s="195"/>
      <c r="D243" s="195"/>
      <c r="E243" s="195"/>
      <c r="F243" s="196"/>
      <c r="G243" s="195"/>
      <c r="K243" s="42">
        <f t="shared" si="44"/>
        <v>0</v>
      </c>
      <c r="M243" s="102">
        <v>12</v>
      </c>
      <c r="N243" s="102"/>
      <c r="O243" s="102"/>
      <c r="T243" s="193"/>
      <c r="U243" s="42">
        <f t="shared" si="40"/>
        <v>0</v>
      </c>
      <c r="V243" s="42">
        <f t="shared" si="41"/>
        <v>0</v>
      </c>
      <c r="W243" s="42">
        <f t="shared" si="43"/>
        <v>0</v>
      </c>
    </row>
    <row r="244" spans="2:23" ht="15" x14ac:dyDescent="0.25">
      <c r="B244" s="206"/>
      <c r="C244" s="195"/>
      <c r="D244" s="195"/>
      <c r="E244" s="195"/>
      <c r="F244" s="196"/>
      <c r="G244" s="195"/>
      <c r="K244" s="42">
        <f t="shared" si="44"/>
        <v>0</v>
      </c>
      <c r="M244" s="102">
        <v>12</v>
      </c>
      <c r="N244" s="102"/>
      <c r="O244" s="102"/>
      <c r="T244" s="193"/>
      <c r="U244" s="42">
        <f t="shared" si="40"/>
        <v>0</v>
      </c>
      <c r="V244" s="42">
        <f t="shared" si="41"/>
        <v>0</v>
      </c>
      <c r="W244" s="42">
        <f t="shared" si="43"/>
        <v>0</v>
      </c>
    </row>
    <row r="245" spans="2:23" ht="15" x14ac:dyDescent="0.25">
      <c r="B245" s="206"/>
      <c r="C245" s="195"/>
      <c r="D245" s="195"/>
      <c r="E245" s="195"/>
      <c r="F245" s="196"/>
      <c r="G245" s="195"/>
      <c r="K245" s="42">
        <f t="shared" si="44"/>
        <v>0</v>
      </c>
      <c r="M245" s="102">
        <v>12</v>
      </c>
      <c r="N245" s="102"/>
      <c r="O245" s="102"/>
      <c r="T245" s="193"/>
      <c r="U245" s="42">
        <f t="shared" si="40"/>
        <v>0</v>
      </c>
      <c r="V245" s="42">
        <f t="shared" si="41"/>
        <v>0</v>
      </c>
      <c r="W245" s="42">
        <f t="shared" si="43"/>
        <v>0</v>
      </c>
    </row>
    <row r="246" spans="2:23" ht="15" x14ac:dyDescent="0.25">
      <c r="B246" s="206"/>
      <c r="C246" s="195"/>
      <c r="D246" s="195"/>
      <c r="E246" s="195"/>
      <c r="F246" s="196"/>
      <c r="G246" s="195"/>
      <c r="K246" s="42">
        <f t="shared" si="44"/>
        <v>0</v>
      </c>
      <c r="M246" s="102">
        <v>12</v>
      </c>
      <c r="N246" s="102"/>
      <c r="O246" s="102"/>
      <c r="T246" s="193"/>
      <c r="U246" s="42">
        <f t="shared" si="40"/>
        <v>0</v>
      </c>
      <c r="V246" s="42">
        <f t="shared" si="41"/>
        <v>0</v>
      </c>
      <c r="W246" s="42">
        <f t="shared" si="43"/>
        <v>0</v>
      </c>
    </row>
    <row r="247" spans="2:23" ht="15" x14ac:dyDescent="0.25">
      <c r="B247" s="206"/>
      <c r="C247" s="195"/>
      <c r="D247" s="195"/>
      <c r="E247" s="195"/>
      <c r="F247" s="196"/>
      <c r="G247" s="195"/>
      <c r="K247" s="42">
        <f t="shared" si="44"/>
        <v>0</v>
      </c>
      <c r="M247" s="102">
        <v>12</v>
      </c>
      <c r="N247" s="102"/>
      <c r="O247" s="102"/>
      <c r="T247" s="193"/>
      <c r="U247" s="42">
        <f t="shared" si="40"/>
        <v>0</v>
      </c>
      <c r="V247" s="42">
        <f t="shared" si="41"/>
        <v>0</v>
      </c>
      <c r="W247" s="42">
        <f t="shared" si="43"/>
        <v>0</v>
      </c>
    </row>
    <row r="248" spans="2:23" ht="15" x14ac:dyDescent="0.25">
      <c r="B248" s="206"/>
      <c r="C248" s="195"/>
      <c r="D248" s="195"/>
      <c r="E248" s="195"/>
      <c r="F248" s="196"/>
      <c r="G248" s="195"/>
      <c r="K248" s="42">
        <f t="shared" si="44"/>
        <v>0</v>
      </c>
      <c r="M248" s="102">
        <v>12</v>
      </c>
      <c r="N248" s="102"/>
      <c r="O248" s="102"/>
      <c r="T248" s="193"/>
      <c r="U248" s="42">
        <f t="shared" si="40"/>
        <v>0</v>
      </c>
      <c r="V248" s="42">
        <f t="shared" si="41"/>
        <v>0</v>
      </c>
      <c r="W248" s="42">
        <f t="shared" si="43"/>
        <v>0</v>
      </c>
    </row>
    <row r="249" spans="2:23" ht="15" x14ac:dyDescent="0.25">
      <c r="B249" s="206"/>
      <c r="C249" s="195"/>
      <c r="D249" s="195"/>
      <c r="E249" s="195"/>
      <c r="F249" s="196"/>
      <c r="G249" s="195"/>
      <c r="K249" s="42">
        <f t="shared" si="44"/>
        <v>0</v>
      </c>
      <c r="M249" s="102">
        <v>12</v>
      </c>
      <c r="N249" s="102"/>
      <c r="O249" s="102"/>
      <c r="T249" s="193"/>
      <c r="U249" s="42">
        <f t="shared" si="40"/>
        <v>0</v>
      </c>
      <c r="V249" s="42">
        <f t="shared" si="41"/>
        <v>0</v>
      </c>
      <c r="W249" s="42">
        <f t="shared" si="43"/>
        <v>0</v>
      </c>
    </row>
    <row r="250" spans="2:23" ht="15" x14ac:dyDescent="0.25">
      <c r="B250" s="206"/>
      <c r="C250" s="195"/>
      <c r="D250" s="195"/>
      <c r="E250" s="195"/>
      <c r="F250" s="196"/>
      <c r="G250" s="195"/>
      <c r="K250" s="42">
        <f t="shared" si="44"/>
        <v>0</v>
      </c>
      <c r="M250" s="102">
        <v>12</v>
      </c>
      <c r="N250" s="102"/>
      <c r="O250" s="102"/>
      <c r="T250" s="193"/>
      <c r="U250" s="42">
        <f t="shared" si="40"/>
        <v>0</v>
      </c>
      <c r="V250" s="42">
        <f t="shared" si="41"/>
        <v>0</v>
      </c>
      <c r="W250" s="42">
        <f t="shared" si="43"/>
        <v>0</v>
      </c>
    </row>
    <row r="251" spans="2:23" ht="15" x14ac:dyDescent="0.25">
      <c r="B251" s="206"/>
      <c r="C251" s="195"/>
      <c r="D251" s="195"/>
      <c r="E251" s="195"/>
      <c r="F251" s="196"/>
      <c r="G251" s="195"/>
      <c r="K251" s="42">
        <f t="shared" si="44"/>
        <v>0</v>
      </c>
      <c r="M251" s="102">
        <v>12</v>
      </c>
      <c r="N251" s="102"/>
      <c r="O251" s="102"/>
      <c r="T251" s="193"/>
      <c r="U251" s="42">
        <f t="shared" si="40"/>
        <v>0</v>
      </c>
      <c r="V251" s="42">
        <f t="shared" si="41"/>
        <v>0</v>
      </c>
      <c r="W251" s="42">
        <f t="shared" si="43"/>
        <v>0</v>
      </c>
    </row>
    <row r="252" spans="2:23" ht="15" x14ac:dyDescent="0.25">
      <c r="B252" s="206"/>
      <c r="C252" s="195"/>
      <c r="D252" s="195"/>
      <c r="E252" s="195"/>
      <c r="F252" s="196"/>
      <c r="G252" s="195"/>
      <c r="K252" s="42">
        <f t="shared" si="44"/>
        <v>0</v>
      </c>
      <c r="M252" s="102">
        <v>12</v>
      </c>
      <c r="N252" s="102"/>
      <c r="O252" s="102"/>
      <c r="T252" s="193"/>
      <c r="U252" s="42">
        <f t="shared" si="40"/>
        <v>0</v>
      </c>
      <c r="V252" s="42">
        <f t="shared" si="41"/>
        <v>0</v>
      </c>
      <c r="W252" s="42">
        <f t="shared" si="43"/>
        <v>0</v>
      </c>
    </row>
    <row r="253" spans="2:23" ht="15" x14ac:dyDescent="0.25">
      <c r="B253" s="206"/>
      <c r="C253" s="195"/>
      <c r="D253" s="195"/>
      <c r="E253" s="195"/>
      <c r="F253" s="196"/>
      <c r="G253" s="195"/>
      <c r="K253" s="42">
        <f t="shared" si="44"/>
        <v>0</v>
      </c>
      <c r="M253" s="102">
        <v>12</v>
      </c>
      <c r="N253" s="102"/>
      <c r="O253" s="102"/>
      <c r="T253" s="193"/>
      <c r="U253" s="42">
        <f t="shared" si="40"/>
        <v>0</v>
      </c>
      <c r="V253" s="42">
        <f t="shared" si="41"/>
        <v>0</v>
      </c>
      <c r="W253" s="42">
        <f t="shared" si="43"/>
        <v>0</v>
      </c>
    </row>
    <row r="254" spans="2:23" ht="15" x14ac:dyDescent="0.25">
      <c r="B254" s="206"/>
      <c r="C254" s="195"/>
      <c r="D254" s="195"/>
      <c r="E254" s="195"/>
      <c r="F254" s="196"/>
      <c r="G254" s="195"/>
      <c r="K254" s="42">
        <f t="shared" si="44"/>
        <v>0</v>
      </c>
      <c r="M254" s="102">
        <v>12</v>
      </c>
      <c r="N254" s="102"/>
      <c r="O254" s="102"/>
      <c r="T254" s="193"/>
      <c r="U254" s="42">
        <f t="shared" si="40"/>
        <v>0</v>
      </c>
      <c r="V254" s="42">
        <f t="shared" si="41"/>
        <v>0</v>
      </c>
      <c r="W254" s="42">
        <f t="shared" si="43"/>
        <v>0</v>
      </c>
    </row>
    <row r="255" spans="2:23" ht="15" x14ac:dyDescent="0.25">
      <c r="B255" s="206"/>
      <c r="C255" s="195"/>
      <c r="D255" s="195"/>
      <c r="E255" s="195"/>
      <c r="F255" s="196"/>
      <c r="G255" s="195"/>
      <c r="K255" s="42">
        <f t="shared" si="44"/>
        <v>0</v>
      </c>
      <c r="M255" s="102">
        <v>12</v>
      </c>
      <c r="N255" s="102"/>
      <c r="O255" s="102"/>
      <c r="T255" s="193"/>
      <c r="U255" s="42">
        <f t="shared" si="40"/>
        <v>0</v>
      </c>
      <c r="V255" s="42">
        <f t="shared" si="41"/>
        <v>0</v>
      </c>
      <c r="W255" s="42">
        <f t="shared" si="43"/>
        <v>0</v>
      </c>
    </row>
    <row r="256" spans="2:23" ht="15" x14ac:dyDescent="0.25">
      <c r="B256" s="206"/>
      <c r="C256" s="195"/>
      <c r="D256" s="195"/>
      <c r="E256" s="195"/>
      <c r="F256" s="196"/>
      <c r="G256" s="195"/>
      <c r="K256" s="42">
        <f t="shared" si="44"/>
        <v>0</v>
      </c>
      <c r="M256" s="102">
        <v>12</v>
      </c>
      <c r="N256" s="102"/>
      <c r="O256" s="102"/>
      <c r="T256" s="193"/>
      <c r="U256" s="42">
        <f t="shared" si="40"/>
        <v>0</v>
      </c>
      <c r="V256" s="42">
        <f t="shared" si="41"/>
        <v>0</v>
      </c>
      <c r="W256" s="42">
        <f t="shared" si="43"/>
        <v>0</v>
      </c>
    </row>
    <row r="257" spans="2:23" ht="15" x14ac:dyDescent="0.25">
      <c r="B257" s="206"/>
      <c r="C257" s="195"/>
      <c r="D257" s="195"/>
      <c r="E257" s="195"/>
      <c r="F257" s="196"/>
      <c r="G257" s="195"/>
      <c r="K257" s="42">
        <f t="shared" si="44"/>
        <v>0</v>
      </c>
      <c r="M257" s="102">
        <v>12</v>
      </c>
      <c r="N257" s="102"/>
      <c r="O257" s="102"/>
      <c r="T257" s="193"/>
      <c r="U257" s="42">
        <f t="shared" si="40"/>
        <v>0</v>
      </c>
      <c r="V257" s="42">
        <f t="shared" si="41"/>
        <v>0</v>
      </c>
      <c r="W257" s="42">
        <f t="shared" si="43"/>
        <v>0</v>
      </c>
    </row>
    <row r="258" spans="2:23" ht="15" x14ac:dyDescent="0.25">
      <c r="B258" s="206"/>
      <c r="C258" s="195"/>
      <c r="D258" s="195"/>
      <c r="E258" s="195"/>
      <c r="F258" s="196"/>
      <c r="G258" s="195"/>
      <c r="K258" s="42">
        <f t="shared" si="44"/>
        <v>0</v>
      </c>
      <c r="M258" s="102">
        <v>12</v>
      </c>
      <c r="N258" s="102"/>
      <c r="O258" s="102"/>
      <c r="T258" s="193"/>
      <c r="U258" s="42">
        <f t="shared" si="40"/>
        <v>0</v>
      </c>
      <c r="V258" s="42">
        <f t="shared" si="41"/>
        <v>0</v>
      </c>
      <c r="W258" s="42">
        <f t="shared" si="43"/>
        <v>0</v>
      </c>
    </row>
    <row r="259" spans="2:23" ht="15" x14ac:dyDescent="0.25">
      <c r="B259" s="206"/>
      <c r="C259" s="195"/>
      <c r="D259" s="195"/>
      <c r="E259" s="195"/>
      <c r="F259" s="196"/>
      <c r="G259" s="195"/>
      <c r="K259" s="42">
        <f t="shared" si="44"/>
        <v>0</v>
      </c>
      <c r="M259" s="102">
        <v>12</v>
      </c>
      <c r="N259" s="102"/>
      <c r="O259" s="102"/>
      <c r="T259" s="193"/>
      <c r="U259" s="42">
        <f t="shared" ref="U259:U290" si="45">I259+L259-N259</f>
        <v>0</v>
      </c>
      <c r="V259" s="42">
        <f t="shared" ref="V259:V290" si="46">J259+T259-O259</f>
        <v>0</v>
      </c>
      <c r="W259" s="42">
        <f t="shared" si="43"/>
        <v>0</v>
      </c>
    </row>
    <row r="260" spans="2:23" ht="15" x14ac:dyDescent="0.25">
      <c r="B260" s="206"/>
      <c r="C260" s="195"/>
      <c r="D260" s="195"/>
      <c r="E260" s="195"/>
      <c r="F260" s="196"/>
      <c r="G260" s="195"/>
      <c r="K260" s="42">
        <f t="shared" si="44"/>
        <v>0</v>
      </c>
      <c r="M260" s="102">
        <v>12</v>
      </c>
      <c r="N260" s="102"/>
      <c r="O260" s="102"/>
      <c r="T260" s="193"/>
      <c r="U260" s="42">
        <f t="shared" si="45"/>
        <v>0</v>
      </c>
      <c r="V260" s="42">
        <f t="shared" si="46"/>
        <v>0</v>
      </c>
      <c r="W260" s="42">
        <f t="shared" si="43"/>
        <v>0</v>
      </c>
    </row>
    <row r="261" spans="2:23" ht="15" x14ac:dyDescent="0.25">
      <c r="B261" s="206"/>
      <c r="C261" s="195"/>
      <c r="D261" s="195"/>
      <c r="E261" s="195"/>
      <c r="F261" s="196"/>
      <c r="G261" s="195"/>
      <c r="K261" s="42">
        <f t="shared" si="44"/>
        <v>0</v>
      </c>
      <c r="M261" s="102">
        <v>12</v>
      </c>
      <c r="N261" s="102"/>
      <c r="O261" s="102"/>
      <c r="T261" s="193"/>
      <c r="U261" s="42">
        <f t="shared" si="45"/>
        <v>0</v>
      </c>
      <c r="V261" s="42">
        <f t="shared" si="46"/>
        <v>0</v>
      </c>
      <c r="W261" s="42">
        <f t="shared" si="43"/>
        <v>0</v>
      </c>
    </row>
    <row r="262" spans="2:23" ht="15" x14ac:dyDescent="0.25">
      <c r="B262" s="206"/>
      <c r="C262" s="195"/>
      <c r="D262" s="195"/>
      <c r="E262" s="195"/>
      <c r="F262" s="196"/>
      <c r="G262" s="195"/>
      <c r="K262" s="42">
        <f t="shared" si="44"/>
        <v>0</v>
      </c>
      <c r="M262" s="102">
        <v>12</v>
      </c>
      <c r="N262" s="102"/>
      <c r="O262" s="102"/>
      <c r="T262" s="193"/>
      <c r="U262" s="42">
        <f t="shared" si="45"/>
        <v>0</v>
      </c>
      <c r="V262" s="42">
        <f t="shared" si="46"/>
        <v>0</v>
      </c>
      <c r="W262" s="42">
        <f t="shared" si="43"/>
        <v>0</v>
      </c>
    </row>
    <row r="263" spans="2:23" ht="15" x14ac:dyDescent="0.25">
      <c r="B263" s="206"/>
      <c r="C263" s="195"/>
      <c r="D263" s="195"/>
      <c r="E263" s="195"/>
      <c r="F263" s="196"/>
      <c r="G263" s="195"/>
      <c r="K263" s="42">
        <f t="shared" si="44"/>
        <v>0</v>
      </c>
      <c r="M263" s="102">
        <v>12</v>
      </c>
      <c r="N263" s="102"/>
      <c r="O263" s="102"/>
      <c r="T263" s="193"/>
      <c r="U263" s="42">
        <f t="shared" si="45"/>
        <v>0</v>
      </c>
      <c r="V263" s="42">
        <f t="shared" si="46"/>
        <v>0</v>
      </c>
      <c r="W263" s="42">
        <f t="shared" si="43"/>
        <v>0</v>
      </c>
    </row>
    <row r="264" spans="2:23" ht="15" x14ac:dyDescent="0.25">
      <c r="B264" s="206"/>
      <c r="C264" s="195"/>
      <c r="D264" s="195"/>
      <c r="E264" s="195"/>
      <c r="F264" s="196"/>
      <c r="G264" s="195"/>
      <c r="K264" s="42">
        <f t="shared" si="44"/>
        <v>0</v>
      </c>
      <c r="M264" s="102">
        <v>12</v>
      </c>
      <c r="N264" s="102"/>
      <c r="O264" s="102"/>
      <c r="T264" s="193"/>
      <c r="U264" s="42">
        <f t="shared" si="45"/>
        <v>0</v>
      </c>
      <c r="V264" s="42">
        <f t="shared" si="46"/>
        <v>0</v>
      </c>
      <c r="W264" s="42">
        <f t="shared" si="43"/>
        <v>0</v>
      </c>
    </row>
    <row r="265" spans="2:23" ht="15" x14ac:dyDescent="0.25">
      <c r="B265" s="206"/>
      <c r="C265" s="195"/>
      <c r="D265" s="195"/>
      <c r="E265" s="195"/>
      <c r="F265" s="196"/>
      <c r="G265" s="195"/>
      <c r="K265" s="42">
        <f t="shared" si="44"/>
        <v>0</v>
      </c>
      <c r="M265" s="102">
        <v>12</v>
      </c>
      <c r="N265" s="102"/>
      <c r="O265" s="102"/>
      <c r="T265" s="193"/>
      <c r="U265" s="42">
        <f t="shared" si="45"/>
        <v>0</v>
      </c>
      <c r="V265" s="42">
        <f t="shared" si="46"/>
        <v>0</v>
      </c>
      <c r="W265" s="42">
        <f t="shared" si="43"/>
        <v>0</v>
      </c>
    </row>
    <row r="266" spans="2:23" ht="15" x14ac:dyDescent="0.25">
      <c r="B266" s="206"/>
      <c r="C266" s="195"/>
      <c r="D266" s="195"/>
      <c r="E266" s="195"/>
      <c r="F266" s="196"/>
      <c r="G266" s="195"/>
      <c r="K266" s="42">
        <f t="shared" si="44"/>
        <v>0</v>
      </c>
      <c r="M266" s="102">
        <v>12</v>
      </c>
      <c r="N266" s="102"/>
      <c r="O266" s="102"/>
      <c r="T266" s="193"/>
      <c r="U266" s="42">
        <f t="shared" si="45"/>
        <v>0</v>
      </c>
      <c r="V266" s="42">
        <f t="shared" si="46"/>
        <v>0</v>
      </c>
      <c r="W266" s="42">
        <f t="shared" si="43"/>
        <v>0</v>
      </c>
    </row>
    <row r="267" spans="2:23" ht="15" x14ac:dyDescent="0.25">
      <c r="B267" s="206"/>
      <c r="C267" s="195"/>
      <c r="D267" s="195"/>
      <c r="E267" s="195"/>
      <c r="F267" s="196"/>
      <c r="G267" s="195"/>
      <c r="K267" s="42">
        <f t="shared" si="44"/>
        <v>0</v>
      </c>
      <c r="M267" s="102">
        <v>12</v>
      </c>
      <c r="N267" s="102"/>
      <c r="O267" s="102"/>
      <c r="T267" s="193"/>
      <c r="U267" s="42">
        <f t="shared" si="45"/>
        <v>0</v>
      </c>
      <c r="V267" s="42">
        <f t="shared" si="46"/>
        <v>0</v>
      </c>
      <c r="W267" s="42">
        <f t="shared" si="43"/>
        <v>0</v>
      </c>
    </row>
    <row r="268" spans="2:23" ht="15" x14ac:dyDescent="0.25">
      <c r="B268" s="206"/>
      <c r="C268" s="195"/>
      <c r="D268" s="195"/>
      <c r="E268" s="195"/>
      <c r="F268" s="196"/>
      <c r="G268" s="195"/>
      <c r="K268" s="42">
        <f t="shared" si="44"/>
        <v>0</v>
      </c>
      <c r="M268" s="102">
        <v>12</v>
      </c>
      <c r="N268" s="102"/>
      <c r="O268" s="102"/>
      <c r="T268" s="193"/>
      <c r="U268" s="42">
        <f t="shared" si="45"/>
        <v>0</v>
      </c>
      <c r="V268" s="42">
        <f t="shared" si="46"/>
        <v>0</v>
      </c>
      <c r="W268" s="42">
        <f t="shared" si="43"/>
        <v>0</v>
      </c>
    </row>
    <row r="269" spans="2:23" ht="15" x14ac:dyDescent="0.25">
      <c r="B269" s="206"/>
      <c r="C269" s="195"/>
      <c r="D269" s="195"/>
      <c r="E269" s="195"/>
      <c r="F269" s="196"/>
      <c r="G269" s="195"/>
      <c r="K269" s="42">
        <f t="shared" si="44"/>
        <v>0</v>
      </c>
      <c r="M269" s="102">
        <v>12</v>
      </c>
      <c r="N269" s="102"/>
      <c r="O269" s="102"/>
      <c r="T269" s="193"/>
      <c r="U269" s="42">
        <f t="shared" si="45"/>
        <v>0</v>
      </c>
      <c r="V269" s="42">
        <f t="shared" si="46"/>
        <v>0</v>
      </c>
      <c r="W269" s="42">
        <f t="shared" si="43"/>
        <v>0</v>
      </c>
    </row>
    <row r="270" spans="2:23" ht="15" x14ac:dyDescent="0.25">
      <c r="B270" s="206"/>
      <c r="C270" s="195"/>
      <c r="D270" s="195"/>
      <c r="E270" s="195"/>
      <c r="F270" s="196"/>
      <c r="G270" s="195"/>
      <c r="K270" s="42">
        <f t="shared" si="44"/>
        <v>0</v>
      </c>
      <c r="M270" s="102">
        <v>12</v>
      </c>
      <c r="N270" s="102"/>
      <c r="O270" s="102"/>
      <c r="T270" s="193"/>
      <c r="U270" s="42">
        <f t="shared" si="45"/>
        <v>0</v>
      </c>
      <c r="V270" s="42">
        <f t="shared" si="46"/>
        <v>0</v>
      </c>
      <c r="W270" s="42">
        <f t="shared" si="43"/>
        <v>0</v>
      </c>
    </row>
    <row r="271" spans="2:23" ht="15" x14ac:dyDescent="0.25">
      <c r="B271" s="206"/>
      <c r="C271" s="195"/>
      <c r="D271" s="195"/>
      <c r="E271" s="195"/>
      <c r="F271" s="196"/>
      <c r="G271" s="195"/>
      <c r="K271" s="42">
        <f t="shared" si="44"/>
        <v>0</v>
      </c>
      <c r="M271" s="102">
        <v>12</v>
      </c>
      <c r="N271" s="102"/>
      <c r="O271" s="102"/>
      <c r="T271" s="193"/>
      <c r="U271" s="42">
        <f t="shared" si="45"/>
        <v>0</v>
      </c>
      <c r="V271" s="42">
        <f t="shared" si="46"/>
        <v>0</v>
      </c>
      <c r="W271" s="42">
        <f t="shared" si="43"/>
        <v>0</v>
      </c>
    </row>
    <row r="272" spans="2:23" ht="15" x14ac:dyDescent="0.25">
      <c r="B272" s="206"/>
      <c r="C272" s="195"/>
      <c r="D272" s="195"/>
      <c r="E272" s="195"/>
      <c r="F272" s="196"/>
      <c r="G272" s="195"/>
      <c r="K272" s="42">
        <f t="shared" si="44"/>
        <v>0</v>
      </c>
      <c r="M272" s="102">
        <v>12</v>
      </c>
      <c r="N272" s="102"/>
      <c r="O272" s="102"/>
      <c r="T272" s="193"/>
      <c r="U272" s="42">
        <f t="shared" si="45"/>
        <v>0</v>
      </c>
      <c r="V272" s="42">
        <f t="shared" si="46"/>
        <v>0</v>
      </c>
      <c r="W272" s="42">
        <f t="shared" si="43"/>
        <v>0</v>
      </c>
    </row>
    <row r="273" spans="2:23" ht="15" x14ac:dyDescent="0.25">
      <c r="B273" s="206"/>
      <c r="C273" s="195"/>
      <c r="D273" s="195"/>
      <c r="E273" s="195"/>
      <c r="F273" s="196"/>
      <c r="G273" s="195"/>
      <c r="K273" s="42">
        <f t="shared" si="44"/>
        <v>0</v>
      </c>
      <c r="M273" s="102">
        <v>12</v>
      </c>
      <c r="N273" s="102"/>
      <c r="O273" s="102"/>
      <c r="T273" s="193"/>
      <c r="U273" s="42">
        <f t="shared" si="45"/>
        <v>0</v>
      </c>
      <c r="V273" s="42">
        <f t="shared" si="46"/>
        <v>0</v>
      </c>
      <c r="W273" s="42">
        <f t="shared" si="43"/>
        <v>0</v>
      </c>
    </row>
    <row r="274" spans="2:23" ht="15" x14ac:dyDescent="0.25">
      <c r="B274" s="206"/>
      <c r="C274" s="195"/>
      <c r="D274" s="195"/>
      <c r="E274" s="195"/>
      <c r="F274" s="196"/>
      <c r="G274" s="195"/>
      <c r="K274" s="42">
        <f t="shared" si="44"/>
        <v>0</v>
      </c>
      <c r="M274" s="102">
        <v>12</v>
      </c>
      <c r="N274" s="102"/>
      <c r="O274" s="102"/>
      <c r="T274" s="193"/>
      <c r="U274" s="42">
        <f t="shared" si="45"/>
        <v>0</v>
      </c>
      <c r="V274" s="42">
        <f t="shared" si="46"/>
        <v>0</v>
      </c>
      <c r="W274" s="42">
        <f t="shared" si="43"/>
        <v>0</v>
      </c>
    </row>
    <row r="275" spans="2:23" ht="15" x14ac:dyDescent="0.25">
      <c r="B275" s="206"/>
      <c r="C275" s="195"/>
      <c r="D275" s="195"/>
      <c r="E275" s="195"/>
      <c r="F275" s="196"/>
      <c r="G275" s="195"/>
      <c r="K275" s="42">
        <f t="shared" si="44"/>
        <v>0</v>
      </c>
      <c r="M275" s="102">
        <v>12</v>
      </c>
      <c r="N275" s="102"/>
      <c r="O275" s="102"/>
      <c r="T275" s="193"/>
      <c r="U275" s="42">
        <f t="shared" si="45"/>
        <v>0</v>
      </c>
      <c r="V275" s="42">
        <f t="shared" si="46"/>
        <v>0</v>
      </c>
      <c r="W275" s="42">
        <f t="shared" si="43"/>
        <v>0</v>
      </c>
    </row>
    <row r="276" spans="2:23" ht="15" x14ac:dyDescent="0.25">
      <c r="B276" s="206"/>
      <c r="C276" s="195"/>
      <c r="D276" s="195"/>
      <c r="E276" s="195"/>
      <c r="F276" s="196"/>
      <c r="G276" s="195"/>
      <c r="K276" s="42">
        <f t="shared" si="44"/>
        <v>0</v>
      </c>
      <c r="M276" s="102">
        <v>12</v>
      </c>
      <c r="N276" s="102"/>
      <c r="O276" s="102"/>
      <c r="T276" s="193"/>
      <c r="U276" s="42">
        <f t="shared" si="45"/>
        <v>0</v>
      </c>
      <c r="V276" s="42">
        <f t="shared" si="46"/>
        <v>0</v>
      </c>
      <c r="W276" s="42">
        <f t="shared" si="43"/>
        <v>0</v>
      </c>
    </row>
    <row r="277" spans="2:23" ht="15" x14ac:dyDescent="0.25">
      <c r="B277" s="206"/>
      <c r="C277" s="195"/>
      <c r="D277" s="195"/>
      <c r="E277" s="195"/>
      <c r="F277" s="196"/>
      <c r="G277" s="195"/>
      <c r="K277" s="42">
        <f t="shared" si="44"/>
        <v>0</v>
      </c>
      <c r="M277" s="102">
        <v>12</v>
      </c>
      <c r="N277" s="102"/>
      <c r="O277" s="102"/>
      <c r="T277" s="193"/>
      <c r="U277" s="42">
        <f t="shared" si="45"/>
        <v>0</v>
      </c>
      <c r="V277" s="42">
        <f t="shared" si="46"/>
        <v>0</v>
      </c>
      <c r="W277" s="42">
        <f t="shared" si="43"/>
        <v>0</v>
      </c>
    </row>
    <row r="278" spans="2:23" ht="15" x14ac:dyDescent="0.25">
      <c r="B278" s="206"/>
      <c r="C278" s="195"/>
      <c r="D278" s="195"/>
      <c r="E278" s="195"/>
      <c r="F278" s="196"/>
      <c r="G278" s="195"/>
      <c r="K278" s="42">
        <f t="shared" si="44"/>
        <v>0</v>
      </c>
      <c r="M278" s="102">
        <v>12</v>
      </c>
      <c r="N278" s="102"/>
      <c r="O278" s="102"/>
      <c r="T278" s="193"/>
      <c r="U278" s="42">
        <f t="shared" si="45"/>
        <v>0</v>
      </c>
      <c r="V278" s="42">
        <f t="shared" si="46"/>
        <v>0</v>
      </c>
      <c r="W278" s="42">
        <f t="shared" si="43"/>
        <v>0</v>
      </c>
    </row>
    <row r="279" spans="2:23" ht="15" x14ac:dyDescent="0.25">
      <c r="B279" s="206"/>
      <c r="C279" s="195"/>
      <c r="D279" s="195"/>
      <c r="E279" s="195"/>
      <c r="F279" s="196"/>
      <c r="G279" s="195"/>
      <c r="K279" s="42">
        <f t="shared" si="44"/>
        <v>0</v>
      </c>
      <c r="M279" s="102">
        <v>12</v>
      </c>
      <c r="N279" s="102"/>
      <c r="O279" s="102"/>
      <c r="T279" s="193"/>
      <c r="U279" s="42">
        <f t="shared" si="45"/>
        <v>0</v>
      </c>
      <c r="V279" s="42">
        <f t="shared" si="46"/>
        <v>0</v>
      </c>
      <c r="W279" s="42">
        <f t="shared" si="43"/>
        <v>0</v>
      </c>
    </row>
    <row r="280" spans="2:23" ht="15" x14ac:dyDescent="0.25">
      <c r="B280" s="206"/>
      <c r="C280" s="195"/>
      <c r="D280" s="195"/>
      <c r="E280" s="195"/>
      <c r="F280" s="196"/>
      <c r="G280" s="195"/>
      <c r="K280" s="42">
        <f t="shared" si="44"/>
        <v>0</v>
      </c>
      <c r="M280" s="102">
        <v>12</v>
      </c>
      <c r="N280" s="102"/>
      <c r="O280" s="102"/>
      <c r="T280" s="193"/>
      <c r="U280" s="42">
        <f t="shared" si="45"/>
        <v>0</v>
      </c>
      <c r="V280" s="42">
        <f t="shared" si="46"/>
        <v>0</v>
      </c>
      <c r="W280" s="42">
        <f t="shared" si="43"/>
        <v>0</v>
      </c>
    </row>
    <row r="281" spans="2:23" ht="15" x14ac:dyDescent="0.25">
      <c r="B281" s="206"/>
      <c r="C281" s="195"/>
      <c r="D281" s="195"/>
      <c r="E281" s="195"/>
      <c r="F281" s="196"/>
      <c r="G281" s="195"/>
      <c r="K281" s="42">
        <f t="shared" si="44"/>
        <v>0</v>
      </c>
      <c r="M281" s="102">
        <v>12</v>
      </c>
      <c r="N281" s="102"/>
      <c r="O281" s="102"/>
      <c r="T281" s="193"/>
      <c r="U281" s="42">
        <f t="shared" si="45"/>
        <v>0</v>
      </c>
      <c r="V281" s="42">
        <f t="shared" si="46"/>
        <v>0</v>
      </c>
      <c r="W281" s="42">
        <f t="shared" si="43"/>
        <v>0</v>
      </c>
    </row>
    <row r="282" spans="2:23" ht="15" x14ac:dyDescent="0.25">
      <c r="B282" s="206"/>
      <c r="C282" s="195"/>
      <c r="D282" s="195"/>
      <c r="E282" s="195"/>
      <c r="F282" s="196"/>
      <c r="G282" s="195"/>
      <c r="K282" s="42">
        <f t="shared" si="44"/>
        <v>0</v>
      </c>
      <c r="M282" s="102">
        <v>12</v>
      </c>
      <c r="N282" s="102"/>
      <c r="O282" s="102"/>
      <c r="T282" s="193"/>
      <c r="U282" s="42">
        <f t="shared" si="45"/>
        <v>0</v>
      </c>
      <c r="V282" s="42">
        <f t="shared" si="46"/>
        <v>0</v>
      </c>
      <c r="W282" s="42">
        <f t="shared" si="43"/>
        <v>0</v>
      </c>
    </row>
    <row r="283" spans="2:23" ht="15" x14ac:dyDescent="0.25">
      <c r="B283" s="206"/>
      <c r="C283" s="195"/>
      <c r="D283" s="195"/>
      <c r="E283" s="195"/>
      <c r="F283" s="196"/>
      <c r="G283" s="195"/>
      <c r="K283" s="42">
        <f t="shared" si="44"/>
        <v>0</v>
      </c>
      <c r="M283" s="102">
        <v>12</v>
      </c>
      <c r="N283" s="102"/>
      <c r="O283" s="102"/>
      <c r="T283" s="193"/>
      <c r="U283" s="42">
        <f t="shared" si="45"/>
        <v>0</v>
      </c>
      <c r="V283" s="42">
        <f t="shared" si="46"/>
        <v>0</v>
      </c>
      <c r="W283" s="42">
        <f t="shared" si="43"/>
        <v>0</v>
      </c>
    </row>
    <row r="284" spans="2:23" ht="15" x14ac:dyDescent="0.25">
      <c r="B284" s="206"/>
      <c r="C284" s="195"/>
      <c r="D284" s="195"/>
      <c r="E284" s="195"/>
      <c r="F284" s="196"/>
      <c r="G284" s="195"/>
      <c r="K284" s="42">
        <f t="shared" si="44"/>
        <v>0</v>
      </c>
      <c r="M284" s="102">
        <v>12</v>
      </c>
      <c r="N284" s="102"/>
      <c r="O284" s="102"/>
      <c r="T284" s="193"/>
      <c r="U284" s="42">
        <f t="shared" si="45"/>
        <v>0</v>
      </c>
      <c r="V284" s="42">
        <f t="shared" si="46"/>
        <v>0</v>
      </c>
      <c r="W284" s="42">
        <f t="shared" si="43"/>
        <v>0</v>
      </c>
    </row>
    <row r="285" spans="2:23" ht="15" x14ac:dyDescent="0.25">
      <c r="B285" s="206"/>
      <c r="C285" s="195"/>
      <c r="D285" s="195"/>
      <c r="E285" s="195"/>
      <c r="F285" s="196"/>
      <c r="G285" s="195"/>
      <c r="K285" s="42">
        <f t="shared" si="44"/>
        <v>0</v>
      </c>
      <c r="M285" s="102">
        <v>12</v>
      </c>
      <c r="N285" s="102"/>
      <c r="O285" s="102"/>
      <c r="T285" s="193"/>
      <c r="U285" s="42">
        <f t="shared" si="45"/>
        <v>0</v>
      </c>
      <c r="V285" s="42">
        <f t="shared" si="46"/>
        <v>0</v>
      </c>
      <c r="W285" s="42">
        <f t="shared" si="43"/>
        <v>0</v>
      </c>
    </row>
    <row r="286" spans="2:23" ht="15" x14ac:dyDescent="0.25">
      <c r="B286" s="206"/>
      <c r="C286" s="195"/>
      <c r="D286" s="195"/>
      <c r="E286" s="195"/>
      <c r="F286" s="196"/>
      <c r="G286" s="195"/>
      <c r="K286" s="42">
        <f t="shared" si="44"/>
        <v>0</v>
      </c>
      <c r="M286" s="102">
        <v>12</v>
      </c>
      <c r="N286" s="102"/>
      <c r="O286" s="102"/>
      <c r="T286" s="193"/>
      <c r="U286" s="42">
        <f t="shared" si="45"/>
        <v>0</v>
      </c>
      <c r="V286" s="42">
        <f t="shared" si="46"/>
        <v>0</v>
      </c>
      <c r="W286" s="42">
        <f t="shared" si="43"/>
        <v>0</v>
      </c>
    </row>
    <row r="287" spans="2:23" ht="15" x14ac:dyDescent="0.25">
      <c r="B287" s="206"/>
      <c r="C287" s="195"/>
      <c r="D287" s="195"/>
      <c r="E287" s="195"/>
      <c r="F287" s="196"/>
      <c r="G287" s="195"/>
      <c r="K287" s="42">
        <f t="shared" si="44"/>
        <v>0</v>
      </c>
      <c r="M287" s="102">
        <v>12</v>
      </c>
      <c r="N287" s="102"/>
      <c r="O287" s="102"/>
      <c r="T287" s="193"/>
      <c r="U287" s="42">
        <f t="shared" si="45"/>
        <v>0</v>
      </c>
      <c r="V287" s="42">
        <f t="shared" si="46"/>
        <v>0</v>
      </c>
      <c r="W287" s="42">
        <f t="shared" si="43"/>
        <v>0</v>
      </c>
    </row>
    <row r="288" spans="2:23" ht="15" x14ac:dyDescent="0.25">
      <c r="B288" s="206"/>
      <c r="C288" s="195"/>
      <c r="D288" s="195"/>
      <c r="E288" s="195"/>
      <c r="F288" s="196"/>
      <c r="G288" s="195"/>
      <c r="K288" s="42">
        <f t="shared" si="44"/>
        <v>0</v>
      </c>
      <c r="M288" s="102">
        <v>12</v>
      </c>
      <c r="N288" s="102"/>
      <c r="O288" s="102"/>
      <c r="T288" s="193"/>
      <c r="U288" s="42">
        <f t="shared" si="45"/>
        <v>0</v>
      </c>
      <c r="V288" s="42">
        <f t="shared" si="46"/>
        <v>0</v>
      </c>
      <c r="W288" s="42">
        <f t="shared" si="43"/>
        <v>0</v>
      </c>
    </row>
    <row r="289" spans="2:23" ht="15" x14ac:dyDescent="0.25">
      <c r="B289" s="206"/>
      <c r="C289" s="195"/>
      <c r="D289" s="195"/>
      <c r="E289" s="195"/>
      <c r="F289" s="196"/>
      <c r="G289" s="195"/>
      <c r="K289" s="42">
        <f t="shared" si="44"/>
        <v>0</v>
      </c>
      <c r="M289" s="102">
        <v>12</v>
      </c>
      <c r="N289" s="102"/>
      <c r="O289" s="102"/>
      <c r="T289" s="193"/>
      <c r="U289" s="42">
        <f t="shared" si="45"/>
        <v>0</v>
      </c>
      <c r="V289" s="42">
        <f t="shared" si="46"/>
        <v>0</v>
      </c>
      <c r="W289" s="42">
        <f t="shared" si="43"/>
        <v>0</v>
      </c>
    </row>
    <row r="290" spans="2:23" ht="15" x14ac:dyDescent="0.25">
      <c r="B290" s="206"/>
      <c r="C290" s="195"/>
      <c r="D290" s="195"/>
      <c r="E290" s="195"/>
      <c r="F290" s="196"/>
      <c r="G290" s="195"/>
      <c r="K290" s="42">
        <f t="shared" si="44"/>
        <v>0</v>
      </c>
      <c r="M290" s="102">
        <v>12</v>
      </c>
      <c r="N290" s="102"/>
      <c r="O290" s="102"/>
      <c r="T290" s="193"/>
      <c r="U290" s="42">
        <f t="shared" si="45"/>
        <v>0</v>
      </c>
      <c r="V290" s="42">
        <f t="shared" si="46"/>
        <v>0</v>
      </c>
      <c r="W290" s="42">
        <f t="shared" si="43"/>
        <v>0</v>
      </c>
    </row>
    <row r="291" spans="2:23" ht="15" x14ac:dyDescent="0.25">
      <c r="B291" s="206"/>
      <c r="C291" s="195"/>
      <c r="D291" s="195"/>
      <c r="E291" s="195"/>
      <c r="F291" s="196"/>
      <c r="G291" s="195"/>
      <c r="K291" s="42">
        <f t="shared" si="44"/>
        <v>0</v>
      </c>
      <c r="M291" s="102">
        <v>12</v>
      </c>
      <c r="N291" s="102"/>
      <c r="O291" s="102"/>
      <c r="T291" s="193"/>
      <c r="U291" s="42">
        <f t="shared" ref="U291:U323" si="47">I291+L291-N291</f>
        <v>0</v>
      </c>
      <c r="V291" s="42">
        <f t="shared" ref="V291:V323" si="48">J291+T291-O291</f>
        <v>0</v>
      </c>
      <c r="W291" s="42">
        <f t="shared" si="43"/>
        <v>0</v>
      </c>
    </row>
    <row r="292" spans="2:23" ht="15" x14ac:dyDescent="0.25">
      <c r="B292" s="206"/>
      <c r="C292" s="195"/>
      <c r="D292" s="195"/>
      <c r="E292" s="195"/>
      <c r="F292" s="196"/>
      <c r="G292" s="195"/>
      <c r="K292" s="42">
        <f t="shared" si="44"/>
        <v>0</v>
      </c>
      <c r="M292" s="102">
        <v>12</v>
      </c>
      <c r="N292" s="102"/>
      <c r="O292" s="102"/>
      <c r="T292" s="193"/>
      <c r="U292" s="42">
        <f t="shared" si="47"/>
        <v>0</v>
      </c>
      <c r="V292" s="42">
        <f t="shared" si="48"/>
        <v>0</v>
      </c>
      <c r="W292" s="42">
        <f t="shared" si="43"/>
        <v>0</v>
      </c>
    </row>
    <row r="293" spans="2:23" ht="15" x14ac:dyDescent="0.25">
      <c r="B293" s="206"/>
      <c r="C293" s="195"/>
      <c r="D293" s="195"/>
      <c r="E293" s="195"/>
      <c r="F293" s="196"/>
      <c r="G293" s="195"/>
      <c r="K293" s="42">
        <f t="shared" si="44"/>
        <v>0</v>
      </c>
      <c r="M293" s="102">
        <v>12</v>
      </c>
      <c r="N293" s="102"/>
      <c r="O293" s="102"/>
      <c r="T293" s="193"/>
      <c r="U293" s="42">
        <f t="shared" si="47"/>
        <v>0</v>
      </c>
      <c r="V293" s="42">
        <f t="shared" si="48"/>
        <v>0</v>
      </c>
      <c r="W293" s="42">
        <f t="shared" ref="W293:W323" si="49">+U293-V293</f>
        <v>0</v>
      </c>
    </row>
    <row r="294" spans="2:23" ht="15" x14ac:dyDescent="0.25">
      <c r="B294" s="206"/>
      <c r="C294" s="195"/>
      <c r="D294" s="195"/>
      <c r="E294" s="195"/>
      <c r="F294" s="196"/>
      <c r="G294" s="195"/>
      <c r="K294" s="42">
        <f t="shared" si="44"/>
        <v>0</v>
      </c>
      <c r="M294" s="102">
        <v>12</v>
      </c>
      <c r="N294" s="102"/>
      <c r="O294" s="102"/>
      <c r="T294" s="193"/>
      <c r="U294" s="42">
        <f t="shared" si="47"/>
        <v>0</v>
      </c>
      <c r="V294" s="42">
        <f t="shared" si="48"/>
        <v>0</v>
      </c>
      <c r="W294" s="42">
        <f t="shared" si="49"/>
        <v>0</v>
      </c>
    </row>
    <row r="295" spans="2:23" ht="15" x14ac:dyDescent="0.25">
      <c r="B295" s="206"/>
      <c r="C295" s="195"/>
      <c r="D295" s="195"/>
      <c r="E295" s="195"/>
      <c r="F295" s="196"/>
      <c r="G295" s="195"/>
      <c r="K295" s="42">
        <f t="shared" si="44"/>
        <v>0</v>
      </c>
      <c r="M295" s="102">
        <v>12</v>
      </c>
      <c r="N295" s="102"/>
      <c r="O295" s="102"/>
      <c r="T295" s="193"/>
      <c r="U295" s="42">
        <f t="shared" si="47"/>
        <v>0</v>
      </c>
      <c r="V295" s="42">
        <f t="shared" si="48"/>
        <v>0</v>
      </c>
      <c r="W295" s="42">
        <f t="shared" si="49"/>
        <v>0</v>
      </c>
    </row>
    <row r="296" spans="2:23" ht="15" x14ac:dyDescent="0.25">
      <c r="B296" s="206"/>
      <c r="C296" s="195"/>
      <c r="D296" s="195"/>
      <c r="E296" s="195"/>
      <c r="F296" s="196"/>
      <c r="G296" s="195"/>
      <c r="K296" s="42">
        <f t="shared" si="44"/>
        <v>0</v>
      </c>
      <c r="M296" s="102">
        <v>12</v>
      </c>
      <c r="N296" s="102"/>
      <c r="O296" s="102"/>
      <c r="T296" s="193"/>
      <c r="U296" s="42">
        <f t="shared" si="47"/>
        <v>0</v>
      </c>
      <c r="V296" s="42">
        <f t="shared" si="48"/>
        <v>0</v>
      </c>
      <c r="W296" s="42">
        <f t="shared" si="49"/>
        <v>0</v>
      </c>
    </row>
    <row r="297" spans="2:23" ht="15" x14ac:dyDescent="0.25">
      <c r="B297" s="206"/>
      <c r="C297" s="195"/>
      <c r="D297" s="195"/>
      <c r="E297" s="195"/>
      <c r="F297" s="196"/>
      <c r="G297" s="195"/>
      <c r="K297" s="42">
        <f t="shared" si="44"/>
        <v>0</v>
      </c>
      <c r="M297" s="102">
        <v>12</v>
      </c>
      <c r="N297" s="102"/>
      <c r="O297" s="102"/>
      <c r="T297" s="193"/>
      <c r="U297" s="42">
        <f t="shared" si="47"/>
        <v>0</v>
      </c>
      <c r="V297" s="42">
        <f t="shared" si="48"/>
        <v>0</v>
      </c>
      <c r="W297" s="42">
        <f t="shared" si="49"/>
        <v>0</v>
      </c>
    </row>
    <row r="298" spans="2:23" ht="15" x14ac:dyDescent="0.25">
      <c r="B298" s="206"/>
      <c r="C298" s="195"/>
      <c r="D298" s="195"/>
      <c r="E298" s="195"/>
      <c r="F298" s="196"/>
      <c r="G298" s="195"/>
      <c r="K298" s="42">
        <f t="shared" si="44"/>
        <v>0</v>
      </c>
      <c r="M298" s="102">
        <v>12</v>
      </c>
      <c r="N298" s="102"/>
      <c r="O298" s="102"/>
      <c r="T298" s="193"/>
      <c r="U298" s="42">
        <f t="shared" si="47"/>
        <v>0</v>
      </c>
      <c r="V298" s="42">
        <f t="shared" si="48"/>
        <v>0</v>
      </c>
      <c r="W298" s="42">
        <f t="shared" si="49"/>
        <v>0</v>
      </c>
    </row>
    <row r="299" spans="2:23" ht="15" x14ac:dyDescent="0.25">
      <c r="B299" s="206"/>
      <c r="C299" s="195"/>
      <c r="D299" s="195"/>
      <c r="E299" s="195"/>
      <c r="F299" s="196"/>
      <c r="G299" s="195"/>
      <c r="K299" s="42">
        <f t="shared" si="44"/>
        <v>0</v>
      </c>
      <c r="M299" s="102">
        <v>12</v>
      </c>
      <c r="N299" s="102"/>
      <c r="O299" s="102"/>
      <c r="T299" s="193"/>
      <c r="U299" s="42">
        <f t="shared" si="47"/>
        <v>0</v>
      </c>
      <c r="V299" s="42">
        <f t="shared" si="48"/>
        <v>0</v>
      </c>
      <c r="W299" s="42">
        <f t="shared" si="49"/>
        <v>0</v>
      </c>
    </row>
    <row r="300" spans="2:23" ht="15" x14ac:dyDescent="0.25">
      <c r="B300" s="206"/>
      <c r="C300" s="195"/>
      <c r="D300" s="195"/>
      <c r="E300" s="195"/>
      <c r="F300" s="196"/>
      <c r="G300" s="195"/>
      <c r="K300" s="42">
        <f t="shared" si="44"/>
        <v>0</v>
      </c>
      <c r="M300" s="102">
        <v>12</v>
      </c>
      <c r="N300" s="102"/>
      <c r="O300" s="102"/>
      <c r="T300" s="193"/>
      <c r="U300" s="42">
        <f t="shared" si="47"/>
        <v>0</v>
      </c>
      <c r="V300" s="42">
        <f t="shared" si="48"/>
        <v>0</v>
      </c>
      <c r="W300" s="42">
        <f t="shared" si="49"/>
        <v>0</v>
      </c>
    </row>
    <row r="301" spans="2:23" ht="15" x14ac:dyDescent="0.25">
      <c r="B301" s="206"/>
      <c r="C301" s="195"/>
      <c r="D301" s="195"/>
      <c r="E301" s="195"/>
      <c r="F301" s="196"/>
      <c r="G301" s="195"/>
      <c r="K301" s="42">
        <f t="shared" si="44"/>
        <v>0</v>
      </c>
      <c r="M301" s="102">
        <v>12</v>
      </c>
      <c r="N301" s="102"/>
      <c r="O301" s="102"/>
      <c r="T301" s="193"/>
      <c r="U301" s="42">
        <f t="shared" si="47"/>
        <v>0</v>
      </c>
      <c r="V301" s="42">
        <f t="shared" si="48"/>
        <v>0</v>
      </c>
      <c r="W301" s="42">
        <f t="shared" si="49"/>
        <v>0</v>
      </c>
    </row>
    <row r="302" spans="2:23" ht="15" x14ac:dyDescent="0.25">
      <c r="B302" s="206"/>
      <c r="C302" s="195"/>
      <c r="D302" s="195"/>
      <c r="E302" s="195"/>
      <c r="F302" s="196"/>
      <c r="G302" s="195"/>
      <c r="K302" s="42">
        <f t="shared" si="44"/>
        <v>0</v>
      </c>
      <c r="M302" s="102">
        <v>12</v>
      </c>
      <c r="N302" s="102"/>
      <c r="O302" s="102"/>
      <c r="T302" s="193"/>
      <c r="U302" s="42">
        <f t="shared" si="47"/>
        <v>0</v>
      </c>
      <c r="V302" s="42">
        <f t="shared" si="48"/>
        <v>0</v>
      </c>
      <c r="W302" s="42">
        <f t="shared" si="49"/>
        <v>0</v>
      </c>
    </row>
    <row r="303" spans="2:23" ht="15" x14ac:dyDescent="0.25">
      <c r="B303" s="206"/>
      <c r="C303" s="195"/>
      <c r="D303" s="195"/>
      <c r="E303" s="195"/>
      <c r="F303" s="196"/>
      <c r="G303" s="195"/>
      <c r="K303" s="42">
        <f t="shared" si="44"/>
        <v>0</v>
      </c>
      <c r="M303" s="102">
        <v>12</v>
      </c>
      <c r="N303" s="102"/>
      <c r="O303" s="102"/>
      <c r="T303" s="193"/>
      <c r="U303" s="42">
        <f t="shared" si="47"/>
        <v>0</v>
      </c>
      <c r="V303" s="42">
        <f t="shared" si="48"/>
        <v>0</v>
      </c>
      <c r="W303" s="42">
        <f t="shared" si="49"/>
        <v>0</v>
      </c>
    </row>
    <row r="304" spans="2:23" ht="15" x14ac:dyDescent="0.25">
      <c r="B304" s="206"/>
      <c r="C304" s="195"/>
      <c r="D304" s="195"/>
      <c r="E304" s="195"/>
      <c r="F304" s="196"/>
      <c r="G304" s="195"/>
      <c r="K304" s="42">
        <f t="shared" si="44"/>
        <v>0</v>
      </c>
      <c r="M304" s="102">
        <v>12</v>
      </c>
      <c r="N304" s="102"/>
      <c r="O304" s="102"/>
      <c r="T304" s="193"/>
      <c r="U304" s="42">
        <f t="shared" si="47"/>
        <v>0</v>
      </c>
      <c r="V304" s="42">
        <f t="shared" si="48"/>
        <v>0</v>
      </c>
      <c r="W304" s="42">
        <f t="shared" si="49"/>
        <v>0</v>
      </c>
    </row>
    <row r="305" spans="2:23" ht="15" x14ac:dyDescent="0.25">
      <c r="B305" s="206"/>
      <c r="C305" s="195"/>
      <c r="D305" s="195"/>
      <c r="E305" s="195"/>
      <c r="F305" s="196"/>
      <c r="G305" s="195"/>
      <c r="K305" s="42">
        <f t="shared" si="44"/>
        <v>0</v>
      </c>
      <c r="M305" s="102">
        <v>12</v>
      </c>
      <c r="N305" s="102"/>
      <c r="O305" s="102"/>
      <c r="T305" s="193"/>
      <c r="U305" s="42">
        <f t="shared" si="47"/>
        <v>0</v>
      </c>
      <c r="V305" s="42">
        <f t="shared" si="48"/>
        <v>0</v>
      </c>
      <c r="W305" s="42">
        <f t="shared" si="49"/>
        <v>0</v>
      </c>
    </row>
    <row r="306" spans="2:23" ht="15" x14ac:dyDescent="0.25">
      <c r="B306" s="206"/>
      <c r="C306" s="195"/>
      <c r="D306" s="195"/>
      <c r="E306" s="195"/>
      <c r="F306" s="196"/>
      <c r="G306" s="195"/>
      <c r="K306" s="42">
        <f t="shared" si="44"/>
        <v>0</v>
      </c>
      <c r="M306" s="102">
        <v>12</v>
      </c>
      <c r="N306" s="102"/>
      <c r="O306" s="102"/>
      <c r="T306" s="193"/>
      <c r="U306" s="42">
        <f t="shared" si="47"/>
        <v>0</v>
      </c>
      <c r="V306" s="42">
        <f t="shared" si="48"/>
        <v>0</v>
      </c>
      <c r="W306" s="42">
        <f t="shared" si="49"/>
        <v>0</v>
      </c>
    </row>
    <row r="307" spans="2:23" ht="15" x14ac:dyDescent="0.25">
      <c r="B307" s="206"/>
      <c r="C307" s="195"/>
      <c r="D307" s="195"/>
      <c r="E307" s="195"/>
      <c r="F307" s="196"/>
      <c r="G307" s="195"/>
      <c r="K307" s="42">
        <f t="shared" si="44"/>
        <v>0</v>
      </c>
      <c r="M307" s="102">
        <v>12</v>
      </c>
      <c r="N307" s="102"/>
      <c r="O307" s="102"/>
      <c r="T307" s="193"/>
      <c r="U307" s="42">
        <f t="shared" si="47"/>
        <v>0</v>
      </c>
      <c r="V307" s="42">
        <f t="shared" si="48"/>
        <v>0</v>
      </c>
      <c r="W307" s="42">
        <f t="shared" si="49"/>
        <v>0</v>
      </c>
    </row>
    <row r="308" spans="2:23" ht="15" x14ac:dyDescent="0.25">
      <c r="B308" s="206"/>
      <c r="C308" s="195"/>
      <c r="D308" s="195"/>
      <c r="E308" s="195"/>
      <c r="F308" s="196"/>
      <c r="G308" s="195"/>
      <c r="K308" s="42">
        <f t="shared" si="44"/>
        <v>0</v>
      </c>
      <c r="M308" s="102">
        <v>12</v>
      </c>
      <c r="N308" s="102"/>
      <c r="O308" s="102"/>
      <c r="T308" s="193"/>
      <c r="U308" s="42">
        <f t="shared" si="47"/>
        <v>0</v>
      </c>
      <c r="V308" s="42">
        <f t="shared" si="48"/>
        <v>0</v>
      </c>
      <c r="W308" s="42">
        <f t="shared" si="49"/>
        <v>0</v>
      </c>
    </row>
    <row r="309" spans="2:23" ht="15" x14ac:dyDescent="0.25">
      <c r="B309" s="206"/>
      <c r="C309" s="195"/>
      <c r="D309" s="195"/>
      <c r="E309" s="195"/>
      <c r="F309" s="196"/>
      <c r="G309" s="195"/>
      <c r="K309" s="42">
        <f t="shared" si="44"/>
        <v>0</v>
      </c>
      <c r="M309" s="102">
        <v>12</v>
      </c>
      <c r="N309" s="102"/>
      <c r="O309" s="102"/>
      <c r="T309" s="193"/>
      <c r="U309" s="42">
        <f t="shared" si="47"/>
        <v>0</v>
      </c>
      <c r="V309" s="42">
        <f t="shared" si="48"/>
        <v>0</v>
      </c>
      <c r="W309" s="42">
        <f t="shared" si="49"/>
        <v>0</v>
      </c>
    </row>
    <row r="310" spans="2:23" ht="15" x14ac:dyDescent="0.25">
      <c r="B310" s="206"/>
      <c r="C310" s="195"/>
      <c r="D310" s="195"/>
      <c r="E310" s="195"/>
      <c r="F310" s="196"/>
      <c r="G310" s="195"/>
      <c r="K310" s="42">
        <f t="shared" si="44"/>
        <v>0</v>
      </c>
      <c r="M310" s="102">
        <v>12</v>
      </c>
      <c r="N310" s="102"/>
      <c r="O310" s="102"/>
      <c r="T310" s="193"/>
      <c r="U310" s="42">
        <f t="shared" si="47"/>
        <v>0</v>
      </c>
      <c r="V310" s="42">
        <f t="shared" si="48"/>
        <v>0</v>
      </c>
      <c r="W310" s="42">
        <f t="shared" si="49"/>
        <v>0</v>
      </c>
    </row>
    <row r="311" spans="2:23" ht="15" x14ac:dyDescent="0.25">
      <c r="B311" s="206"/>
      <c r="C311" s="195"/>
      <c r="D311" s="195"/>
      <c r="E311" s="195"/>
      <c r="F311" s="196"/>
      <c r="G311" s="195"/>
      <c r="K311" s="42">
        <f t="shared" si="44"/>
        <v>0</v>
      </c>
      <c r="M311" s="102">
        <v>12</v>
      </c>
      <c r="N311" s="102"/>
      <c r="O311" s="102"/>
      <c r="T311" s="193"/>
      <c r="U311" s="42">
        <f t="shared" si="47"/>
        <v>0</v>
      </c>
      <c r="V311" s="42">
        <f t="shared" si="48"/>
        <v>0</v>
      </c>
      <c r="W311" s="42">
        <f t="shared" si="49"/>
        <v>0</v>
      </c>
    </row>
    <row r="312" spans="2:23" ht="15" x14ac:dyDescent="0.25">
      <c r="B312" s="206"/>
      <c r="C312" s="195"/>
      <c r="D312" s="195"/>
      <c r="E312" s="195"/>
      <c r="F312" s="196"/>
      <c r="G312" s="195"/>
      <c r="K312" s="42">
        <f t="shared" si="44"/>
        <v>0</v>
      </c>
      <c r="M312" s="102">
        <v>12</v>
      </c>
      <c r="N312" s="102"/>
      <c r="O312" s="102"/>
      <c r="T312" s="193"/>
      <c r="U312" s="42">
        <f t="shared" si="47"/>
        <v>0</v>
      </c>
      <c r="V312" s="42">
        <f t="shared" si="48"/>
        <v>0</v>
      </c>
      <c r="W312" s="42">
        <f t="shared" si="49"/>
        <v>0</v>
      </c>
    </row>
    <row r="313" spans="2:23" ht="15" x14ac:dyDescent="0.25">
      <c r="B313" s="206"/>
      <c r="C313" s="195"/>
      <c r="D313" s="195"/>
      <c r="E313" s="195"/>
      <c r="F313" s="196"/>
      <c r="G313" s="195"/>
      <c r="K313" s="42">
        <f t="shared" si="44"/>
        <v>0</v>
      </c>
      <c r="M313" s="102">
        <v>12</v>
      </c>
      <c r="N313" s="102"/>
      <c r="O313" s="102"/>
      <c r="T313" s="193"/>
      <c r="U313" s="42">
        <f t="shared" si="47"/>
        <v>0</v>
      </c>
      <c r="V313" s="42">
        <f t="shared" si="48"/>
        <v>0</v>
      </c>
      <c r="W313" s="42">
        <f t="shared" si="49"/>
        <v>0</v>
      </c>
    </row>
    <row r="314" spans="2:23" ht="15" x14ac:dyDescent="0.25">
      <c r="B314" s="206"/>
      <c r="C314" s="195"/>
      <c r="D314" s="195"/>
      <c r="E314" s="195"/>
      <c r="F314" s="196"/>
      <c r="G314" s="195"/>
      <c r="K314" s="42">
        <f t="shared" si="44"/>
        <v>0</v>
      </c>
      <c r="M314" s="102">
        <v>12</v>
      </c>
      <c r="N314" s="102"/>
      <c r="O314" s="102"/>
      <c r="T314" s="193"/>
      <c r="U314" s="42">
        <f t="shared" si="47"/>
        <v>0</v>
      </c>
      <c r="V314" s="42">
        <f t="shared" si="48"/>
        <v>0</v>
      </c>
      <c r="W314" s="42">
        <f t="shared" si="49"/>
        <v>0</v>
      </c>
    </row>
    <row r="315" spans="2:23" ht="15" x14ac:dyDescent="0.25">
      <c r="B315" s="206"/>
      <c r="C315" s="195"/>
      <c r="D315" s="195"/>
      <c r="E315" s="195"/>
      <c r="F315" s="196"/>
      <c r="G315" s="195"/>
      <c r="K315" s="42">
        <f t="shared" si="44"/>
        <v>0</v>
      </c>
      <c r="M315" s="102">
        <v>12</v>
      </c>
      <c r="N315" s="102"/>
      <c r="O315" s="102"/>
      <c r="T315" s="193"/>
      <c r="U315" s="42">
        <f t="shared" si="47"/>
        <v>0</v>
      </c>
      <c r="V315" s="42">
        <f t="shared" si="48"/>
        <v>0</v>
      </c>
      <c r="W315" s="42">
        <f t="shared" si="49"/>
        <v>0</v>
      </c>
    </row>
    <row r="316" spans="2:23" ht="15" x14ac:dyDescent="0.25">
      <c r="B316" s="206"/>
      <c r="C316" s="195"/>
      <c r="D316" s="195"/>
      <c r="E316" s="195"/>
      <c r="F316" s="196"/>
      <c r="G316" s="195"/>
      <c r="K316" s="42">
        <f t="shared" si="44"/>
        <v>0</v>
      </c>
      <c r="M316" s="102">
        <v>12</v>
      </c>
      <c r="N316" s="102"/>
      <c r="O316" s="102"/>
      <c r="T316" s="193"/>
      <c r="U316" s="42">
        <f t="shared" si="47"/>
        <v>0</v>
      </c>
      <c r="V316" s="42">
        <f t="shared" si="48"/>
        <v>0</v>
      </c>
      <c r="W316" s="42">
        <f t="shared" si="49"/>
        <v>0</v>
      </c>
    </row>
    <row r="317" spans="2:23" ht="15" x14ac:dyDescent="0.25">
      <c r="B317" s="206"/>
      <c r="C317" s="195"/>
      <c r="D317" s="195"/>
      <c r="E317" s="195"/>
      <c r="F317" s="196"/>
      <c r="G317" s="195"/>
      <c r="K317" s="42">
        <f t="shared" si="44"/>
        <v>0</v>
      </c>
      <c r="M317" s="102">
        <v>12</v>
      </c>
      <c r="N317" s="102"/>
      <c r="O317" s="102"/>
      <c r="T317" s="193"/>
      <c r="U317" s="42">
        <f t="shared" si="47"/>
        <v>0</v>
      </c>
      <c r="V317" s="42">
        <f t="shared" si="48"/>
        <v>0</v>
      </c>
      <c r="W317" s="42">
        <f t="shared" si="49"/>
        <v>0</v>
      </c>
    </row>
    <row r="318" spans="2:23" ht="15" x14ac:dyDescent="0.25">
      <c r="B318" s="206"/>
      <c r="C318" s="195"/>
      <c r="D318" s="195"/>
      <c r="E318" s="195"/>
      <c r="F318" s="196"/>
      <c r="G318" s="195"/>
      <c r="K318" s="42">
        <f t="shared" si="44"/>
        <v>0</v>
      </c>
      <c r="M318" s="102">
        <v>12</v>
      </c>
      <c r="N318" s="102"/>
      <c r="O318" s="102"/>
      <c r="T318" s="193"/>
      <c r="U318" s="42">
        <f t="shared" si="47"/>
        <v>0</v>
      </c>
      <c r="V318" s="42">
        <f t="shared" si="48"/>
        <v>0</v>
      </c>
      <c r="W318" s="42">
        <f t="shared" si="49"/>
        <v>0</v>
      </c>
    </row>
    <row r="319" spans="2:23" ht="15" x14ac:dyDescent="0.25">
      <c r="B319" s="206"/>
      <c r="C319" s="195"/>
      <c r="D319" s="195"/>
      <c r="E319" s="195"/>
      <c r="F319" s="196"/>
      <c r="G319" s="195"/>
      <c r="K319" s="42">
        <f t="shared" si="44"/>
        <v>0</v>
      </c>
      <c r="M319" s="102">
        <v>12</v>
      </c>
      <c r="N319" s="102"/>
      <c r="O319" s="102"/>
      <c r="T319" s="193"/>
      <c r="U319" s="42">
        <f t="shared" si="47"/>
        <v>0</v>
      </c>
      <c r="V319" s="42">
        <f t="shared" si="48"/>
        <v>0</v>
      </c>
      <c r="W319" s="42">
        <f t="shared" si="49"/>
        <v>0</v>
      </c>
    </row>
    <row r="320" spans="2:23" ht="15" x14ac:dyDescent="0.25">
      <c r="B320" s="206"/>
      <c r="C320" s="195"/>
      <c r="D320" s="195"/>
      <c r="E320" s="195"/>
      <c r="F320" s="196"/>
      <c r="G320" s="195"/>
      <c r="K320" s="42">
        <f t="shared" si="44"/>
        <v>0</v>
      </c>
      <c r="M320" s="102">
        <v>12</v>
      </c>
      <c r="N320" s="102"/>
      <c r="O320" s="102"/>
      <c r="T320" s="193"/>
      <c r="U320" s="42">
        <f t="shared" si="47"/>
        <v>0</v>
      </c>
      <c r="V320" s="42">
        <f t="shared" si="48"/>
        <v>0</v>
      </c>
      <c r="W320" s="42">
        <f t="shared" si="49"/>
        <v>0</v>
      </c>
    </row>
    <row r="321" spans="2:23" ht="15" x14ac:dyDescent="0.25">
      <c r="B321" s="206"/>
      <c r="C321" s="195"/>
      <c r="D321" s="195"/>
      <c r="E321" s="195"/>
      <c r="F321" s="196"/>
      <c r="G321" s="195"/>
      <c r="K321" s="42">
        <f t="shared" si="44"/>
        <v>0</v>
      </c>
      <c r="M321" s="102">
        <v>12</v>
      </c>
      <c r="N321" s="102"/>
      <c r="O321" s="102"/>
      <c r="T321" s="193"/>
      <c r="U321" s="42">
        <f t="shared" si="47"/>
        <v>0</v>
      </c>
      <c r="V321" s="42">
        <f t="shared" si="48"/>
        <v>0</v>
      </c>
      <c r="W321" s="42">
        <f t="shared" si="49"/>
        <v>0</v>
      </c>
    </row>
    <row r="322" spans="2:23" ht="15" x14ac:dyDescent="0.25">
      <c r="B322" s="206"/>
      <c r="C322" s="195"/>
      <c r="D322" s="195"/>
      <c r="E322" s="195"/>
      <c r="F322" s="196"/>
      <c r="G322" s="195"/>
      <c r="K322" s="42">
        <f t="shared" si="44"/>
        <v>0</v>
      </c>
      <c r="M322" s="102">
        <v>12</v>
      </c>
      <c r="N322" s="102"/>
      <c r="O322" s="102"/>
      <c r="T322" s="193"/>
      <c r="U322" s="42">
        <f t="shared" si="47"/>
        <v>0</v>
      </c>
      <c r="V322" s="42">
        <f t="shared" si="48"/>
        <v>0</v>
      </c>
      <c r="W322" s="42">
        <f t="shared" si="49"/>
        <v>0</v>
      </c>
    </row>
    <row r="323" spans="2:23" ht="15" x14ac:dyDescent="0.25">
      <c r="B323" s="206"/>
      <c r="C323" s="195"/>
      <c r="D323" s="195"/>
      <c r="E323" s="195"/>
      <c r="F323" s="196"/>
      <c r="G323" s="195"/>
      <c r="K323" s="42">
        <f t="shared" si="44"/>
        <v>0</v>
      </c>
      <c r="M323" s="102">
        <v>12</v>
      </c>
      <c r="N323" s="102"/>
      <c r="O323" s="102"/>
      <c r="T323" s="193"/>
      <c r="U323" s="42">
        <f t="shared" si="47"/>
        <v>0</v>
      </c>
      <c r="V323" s="42">
        <f t="shared" si="48"/>
        <v>0</v>
      </c>
      <c r="W323" s="42">
        <f t="shared" si="49"/>
        <v>0</v>
      </c>
    </row>
    <row r="325" spans="2:23" ht="13.5" thickBot="1" x14ac:dyDescent="0.25">
      <c r="C325" s="42" t="s">
        <v>350</v>
      </c>
      <c r="I325" s="50">
        <f>SUM(I226:I324)</f>
        <v>0</v>
      </c>
      <c r="J325" s="50">
        <f t="shared" ref="J325:W325" si="50">SUM(J226:J324)</f>
        <v>0</v>
      </c>
      <c r="K325" s="50">
        <f t="shared" si="50"/>
        <v>0</v>
      </c>
      <c r="L325" s="50">
        <f t="shared" si="50"/>
        <v>0</v>
      </c>
      <c r="M325" s="50"/>
      <c r="N325" s="50">
        <f t="shared" si="50"/>
        <v>0</v>
      </c>
      <c r="O325" s="50">
        <f t="shared" si="50"/>
        <v>0</v>
      </c>
      <c r="P325" s="50">
        <f t="shared" si="50"/>
        <v>0</v>
      </c>
      <c r="Q325" s="50">
        <f t="shared" si="50"/>
        <v>0</v>
      </c>
      <c r="R325" s="50">
        <f t="shared" si="50"/>
        <v>0</v>
      </c>
      <c r="S325" s="50">
        <f t="shared" si="50"/>
        <v>0</v>
      </c>
      <c r="T325" s="50">
        <f t="shared" si="50"/>
        <v>0</v>
      </c>
      <c r="U325" s="50">
        <f t="shared" si="50"/>
        <v>0</v>
      </c>
      <c r="V325" s="50">
        <f t="shared" si="50"/>
        <v>0</v>
      </c>
      <c r="W325" s="50">
        <f t="shared" si="50"/>
        <v>0</v>
      </c>
    </row>
    <row r="326" spans="2:23" ht="13.5" thickTop="1" x14ac:dyDescent="0.2">
      <c r="G326" s="42" t="s">
        <v>695</v>
      </c>
      <c r="I326" s="42">
        <f>I325-FARegister!I342</f>
        <v>0</v>
      </c>
      <c r="L326" s="42">
        <f>L325-FARegister!L342</f>
        <v>0</v>
      </c>
      <c r="N326" s="42">
        <f>N325-FARegister!N342</f>
        <v>0</v>
      </c>
      <c r="P326" s="42">
        <f>P325-FARegister!P342</f>
        <v>0</v>
      </c>
      <c r="U326" s="42">
        <f>U325-FARegister!X342</f>
        <v>0</v>
      </c>
    </row>
    <row r="328" spans="2:23" ht="13.5" thickBot="1" x14ac:dyDescent="0.25">
      <c r="C328" s="63" t="s">
        <v>335</v>
      </c>
      <c r="D328" s="63"/>
      <c r="E328" s="63"/>
      <c r="F328" s="63"/>
      <c r="G328" s="63"/>
      <c r="I328" s="50">
        <f>SUM(+I104+I147+I181+I220+I325)</f>
        <v>0</v>
      </c>
      <c r="J328" s="50">
        <f t="shared" ref="J328:W328" si="51">SUM(+J104+J147+J181+J220+J325)</f>
        <v>0</v>
      </c>
      <c r="K328" s="50">
        <f t="shared" si="51"/>
        <v>0</v>
      </c>
      <c r="L328" s="50">
        <f t="shared" si="51"/>
        <v>0</v>
      </c>
      <c r="M328" s="50">
        <f t="shared" si="51"/>
        <v>0</v>
      </c>
      <c r="N328" s="50">
        <f t="shared" si="51"/>
        <v>0</v>
      </c>
      <c r="O328" s="50">
        <f t="shared" si="51"/>
        <v>0</v>
      </c>
      <c r="P328" s="50">
        <f t="shared" si="51"/>
        <v>0</v>
      </c>
      <c r="Q328" s="50">
        <f t="shared" si="51"/>
        <v>0</v>
      </c>
      <c r="R328" s="50">
        <f t="shared" si="51"/>
        <v>0</v>
      </c>
      <c r="S328" s="50">
        <f t="shared" si="51"/>
        <v>0</v>
      </c>
      <c r="T328" s="50">
        <f t="shared" si="51"/>
        <v>0</v>
      </c>
      <c r="U328" s="50">
        <f t="shared" si="51"/>
        <v>0</v>
      </c>
      <c r="V328" s="50">
        <f t="shared" si="51"/>
        <v>0</v>
      </c>
      <c r="W328" s="50">
        <f t="shared" si="51"/>
        <v>0</v>
      </c>
    </row>
    <row r="329" spans="2:23" ht="13.5" thickTop="1" x14ac:dyDescent="0.2">
      <c r="C329" s="63"/>
      <c r="D329" s="63"/>
      <c r="E329" s="63"/>
      <c r="F329" s="63"/>
      <c r="G329" s="63"/>
      <c r="I329" s="42">
        <f>I328-I15</f>
        <v>0</v>
      </c>
      <c r="J329" s="42">
        <f>J328-J15</f>
        <v>0</v>
      </c>
      <c r="K329" s="42">
        <f>K328-K15</f>
        <v>0</v>
      </c>
      <c r="L329" s="42">
        <f>L328-L15</f>
        <v>0</v>
      </c>
      <c r="N329" s="42">
        <f t="shared" ref="N329:W329" si="52">N328-N15</f>
        <v>0</v>
      </c>
      <c r="O329" s="42">
        <f t="shared" si="52"/>
        <v>0</v>
      </c>
      <c r="P329" s="42">
        <f t="shared" si="52"/>
        <v>0</v>
      </c>
      <c r="Q329" s="42">
        <f t="shared" si="52"/>
        <v>0</v>
      </c>
      <c r="R329" s="42">
        <f t="shared" si="52"/>
        <v>0</v>
      </c>
      <c r="S329" s="42">
        <f t="shared" si="52"/>
        <v>0</v>
      </c>
      <c r="T329" s="42">
        <f t="shared" si="52"/>
        <v>0</v>
      </c>
      <c r="U329" s="42">
        <f t="shared" si="52"/>
        <v>0</v>
      </c>
      <c r="V329" s="42">
        <f t="shared" si="52"/>
        <v>0</v>
      </c>
      <c r="W329" s="42">
        <f t="shared" si="52"/>
        <v>0</v>
      </c>
    </row>
  </sheetData>
  <mergeCells count="1">
    <mergeCell ref="Q7:S7"/>
  </mergeCells>
  <hyperlinks>
    <hyperlink ref="C4" location="TrialBalance!A1" display="FIXED ASSETS" xr:uid="{34957956-EC23-450D-933D-3047B166374A}"/>
  </hyperlinks>
  <pageMargins left="0" right="0" top="0" bottom="0.75" header="0.3" footer="0.3"/>
  <pageSetup paperSize="9" scale="42" fitToHeight="0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V173"/>
  <sheetViews>
    <sheetView zoomScale="50" zoomScaleNormal="50" zoomScaleSheetLayoutView="50" workbookViewId="0">
      <pane xSplit="4" ySplit="10" topLeftCell="E11" activePane="bottomRight" state="frozen"/>
      <selection pane="topRight" activeCell="E1" sqref="E1"/>
      <selection pane="bottomLeft" activeCell="A12" sqref="A12"/>
      <selection pane="bottomRight" activeCell="B12" sqref="B12"/>
    </sheetView>
  </sheetViews>
  <sheetFormatPr defaultRowHeight="24" customHeight="1" x14ac:dyDescent="0.35"/>
  <cols>
    <col min="1" max="1" width="4.7109375" style="33" customWidth="1"/>
    <col min="2" max="2" width="8.85546875" style="33" customWidth="1"/>
    <col min="3" max="3" width="52.7109375" style="33" bestFit="1" customWidth="1"/>
    <col min="4" max="4" width="3" style="33" customWidth="1"/>
    <col min="5" max="5" width="14.85546875" style="33" customWidth="1"/>
    <col min="6" max="6" width="25.28515625" style="34" bestFit="1" customWidth="1"/>
    <col min="7" max="7" width="24.7109375" style="34" bestFit="1" customWidth="1"/>
    <col min="8" max="9" width="29.28515625" style="34" bestFit="1" customWidth="1"/>
    <col min="10" max="10" width="23.28515625" style="34" customWidth="1"/>
    <col min="11" max="11" width="23.5703125" style="34" customWidth="1"/>
    <col min="12" max="12" width="28.7109375" style="34" bestFit="1" customWidth="1"/>
    <col min="13" max="13" width="23.85546875" style="34" bestFit="1" customWidth="1"/>
    <col min="14" max="14" width="8.85546875" style="34" customWidth="1"/>
    <col min="15" max="18" width="28.5703125" style="34" customWidth="1"/>
    <col min="19" max="19" width="22.7109375" style="34" bestFit="1" customWidth="1"/>
    <col min="20" max="20" width="24.7109375" style="92" bestFit="1" customWidth="1"/>
    <col min="21" max="21" width="26.7109375" style="92" bestFit="1" customWidth="1"/>
    <col min="22" max="22" width="21.85546875" style="92" bestFit="1" customWidth="1"/>
    <col min="23" max="16384" width="9.140625" style="92"/>
  </cols>
  <sheetData>
    <row r="1" spans="2:22" ht="24" customHeight="1" x14ac:dyDescent="0.35">
      <c r="B1" s="34"/>
      <c r="C1" s="34"/>
      <c r="D1" s="34"/>
      <c r="E1" s="34"/>
    </row>
    <row r="2" spans="2:22" ht="24" customHeight="1" x14ac:dyDescent="0.35">
      <c r="B2" s="34"/>
      <c r="C2" s="34"/>
      <c r="D2" s="34"/>
      <c r="E2" s="34"/>
      <c r="K2" s="94"/>
      <c r="L2" s="94"/>
      <c r="M2" s="94"/>
    </row>
    <row r="3" spans="2:22" ht="52.5" customHeight="1" x14ac:dyDescent="0.35">
      <c r="B3" s="34"/>
      <c r="C3" s="189" t="str">
        <f>Criteria!E9</f>
        <v>ABC TRUST</v>
      </c>
      <c r="D3" s="213"/>
      <c r="E3" s="213"/>
      <c r="F3" s="213"/>
      <c r="L3" s="191" t="s">
        <v>90</v>
      </c>
      <c r="M3" s="95"/>
    </row>
    <row r="4" spans="2:22" ht="24" customHeight="1" x14ac:dyDescent="0.35">
      <c r="B4" s="34"/>
      <c r="C4" s="9" t="s">
        <v>89</v>
      </c>
      <c r="D4" s="94"/>
      <c r="E4" s="94" t="str">
        <f>Criteria!E20</f>
        <v>29 FEBRUARY 2024</v>
      </c>
      <c r="K4" s="92"/>
    </row>
    <row r="5" spans="2:22" ht="52.5" customHeight="1" x14ac:dyDescent="0.35">
      <c r="B5" s="34"/>
      <c r="C5" s="190" t="s">
        <v>356</v>
      </c>
      <c r="D5" s="34"/>
      <c r="E5" s="34"/>
      <c r="K5" s="92"/>
      <c r="L5" s="191" t="s">
        <v>91</v>
      </c>
      <c r="M5" s="93"/>
    </row>
    <row r="6" spans="2:22" ht="24" customHeight="1" x14ac:dyDescent="0.35">
      <c r="B6" s="34"/>
      <c r="C6" s="185"/>
      <c r="D6" s="34"/>
      <c r="E6" s="34"/>
      <c r="K6" s="94"/>
      <c r="L6" s="94"/>
      <c r="M6" s="94"/>
    </row>
    <row r="7" spans="2:22" ht="24" customHeight="1" x14ac:dyDescent="0.35">
      <c r="B7" s="34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</row>
    <row r="8" spans="2:22" ht="24" customHeight="1" x14ac:dyDescent="0.35">
      <c r="B8" s="34"/>
      <c r="C8" s="34"/>
      <c r="D8" s="34"/>
      <c r="E8" s="34"/>
      <c r="O8" s="118"/>
      <c r="P8" s="119"/>
      <c r="Q8" s="119"/>
      <c r="R8" s="170"/>
      <c r="S8" s="119"/>
      <c r="T8" s="121"/>
      <c r="U8" s="121"/>
      <c r="V8" s="122"/>
    </row>
    <row r="9" spans="2:22" ht="24" customHeight="1" x14ac:dyDescent="0.35">
      <c r="B9" s="34"/>
      <c r="C9" s="34"/>
      <c r="D9" s="34"/>
      <c r="E9" s="34"/>
      <c r="O9" s="515" t="s">
        <v>616</v>
      </c>
      <c r="P9" s="516"/>
      <c r="Q9" s="516"/>
      <c r="R9" s="517"/>
      <c r="S9" s="516" t="s">
        <v>356</v>
      </c>
      <c r="T9" s="516"/>
      <c r="U9" s="516"/>
      <c r="V9" s="517"/>
    </row>
    <row r="10" spans="2:22" ht="24" customHeight="1" x14ac:dyDescent="0.35">
      <c r="B10" s="34"/>
      <c r="C10" s="94" t="s">
        <v>357</v>
      </c>
      <c r="D10" s="34"/>
      <c r="E10" s="34" t="s">
        <v>93</v>
      </c>
      <c r="F10" s="97" t="s">
        <v>358</v>
      </c>
      <c r="G10" s="97" t="s">
        <v>65</v>
      </c>
      <c r="H10" s="97" t="s">
        <v>359</v>
      </c>
      <c r="I10" s="97" t="s">
        <v>512</v>
      </c>
      <c r="J10" s="98" t="s">
        <v>360</v>
      </c>
      <c r="K10" s="98" t="s">
        <v>361</v>
      </c>
      <c r="L10" s="98" t="s">
        <v>362</v>
      </c>
      <c r="M10" s="98" t="s">
        <v>363</v>
      </c>
      <c r="O10" s="171" t="s">
        <v>556</v>
      </c>
      <c r="P10" s="94" t="s">
        <v>557</v>
      </c>
      <c r="Q10" s="94" t="s">
        <v>363</v>
      </c>
      <c r="R10" s="172" t="s">
        <v>515</v>
      </c>
      <c r="S10" s="97" t="s">
        <v>493</v>
      </c>
      <c r="T10" s="128" t="s">
        <v>492</v>
      </c>
      <c r="U10" s="129" t="s">
        <v>494</v>
      </c>
      <c r="V10" s="130" t="s">
        <v>229</v>
      </c>
    </row>
    <row r="11" spans="2:22" ht="24" customHeight="1" x14ac:dyDescent="0.35">
      <c r="B11" s="34"/>
      <c r="C11" s="34"/>
      <c r="D11" s="34"/>
      <c r="E11" s="34"/>
      <c r="O11" s="120"/>
      <c r="R11" s="173"/>
      <c r="V11" s="123"/>
    </row>
    <row r="12" spans="2:22" ht="24" customHeight="1" x14ac:dyDescent="0.35">
      <c r="B12" s="287" t="s">
        <v>18</v>
      </c>
      <c r="C12" s="34"/>
      <c r="D12" s="34"/>
      <c r="E12" s="34"/>
      <c r="O12" s="120"/>
      <c r="Q12" s="94"/>
      <c r="R12" s="173"/>
      <c r="U12" s="131"/>
      <c r="V12" s="123"/>
    </row>
    <row r="13" spans="2:22" ht="24" hidden="1" customHeight="1" x14ac:dyDescent="0.35">
      <c r="B13" s="34" t="s">
        <v>17</v>
      </c>
      <c r="C13" s="34" t="s">
        <v>18</v>
      </c>
      <c r="D13" s="34"/>
      <c r="E13" s="34"/>
      <c r="O13" s="120"/>
      <c r="Q13" s="94"/>
      <c r="R13" s="173"/>
      <c r="U13" s="131"/>
      <c r="V13" s="123"/>
    </row>
    <row r="14" spans="2:22" ht="24" customHeight="1" x14ac:dyDescent="0.35">
      <c r="B14" s="34"/>
      <c r="C14" s="34"/>
      <c r="D14" s="34"/>
      <c r="E14" s="34"/>
      <c r="O14" s="120"/>
      <c r="Q14" s="94"/>
      <c r="R14" s="173"/>
      <c r="U14" s="131"/>
      <c r="V14" s="123"/>
    </row>
    <row r="15" spans="2:22" ht="24" customHeight="1" x14ac:dyDescent="0.35">
      <c r="B15" s="34"/>
      <c r="C15" s="106" t="str">
        <f>IF(B12="Odd","March","March and April")</f>
        <v>March and April</v>
      </c>
      <c r="D15" s="105"/>
      <c r="E15" s="105"/>
      <c r="F15" s="105"/>
      <c r="H15" s="105"/>
      <c r="I15" s="105"/>
      <c r="J15" s="105">
        <f>ROUND((F15+H15)*15/115,2)</f>
        <v>0</v>
      </c>
      <c r="K15" s="105"/>
      <c r="L15" s="105"/>
      <c r="M15" s="34">
        <f t="shared" ref="M15:M21" si="0">J15-K15-L15</f>
        <v>0</v>
      </c>
      <c r="O15" s="120"/>
      <c r="Q15" s="94">
        <f>P15-O15</f>
        <v>0</v>
      </c>
      <c r="R15" s="173">
        <f t="shared" ref="R15:R21" si="1">F15-J15-Q15</f>
        <v>0</v>
      </c>
      <c r="T15" s="125"/>
      <c r="U15" s="132">
        <f t="shared" ref="U15:U20" si="2">S15-T15</f>
        <v>0</v>
      </c>
      <c r="V15" s="126">
        <f t="shared" ref="V15:V20" si="3">M15-U15</f>
        <v>0</v>
      </c>
    </row>
    <row r="16" spans="2:22" ht="24" customHeight="1" x14ac:dyDescent="0.35">
      <c r="B16" s="34"/>
      <c r="C16" s="106" t="str">
        <f>IF(B12="Odd","April and May","May and June")</f>
        <v>May and June</v>
      </c>
      <c r="D16" s="105"/>
      <c r="E16" s="105"/>
      <c r="F16" s="105"/>
      <c r="J16" s="105">
        <f t="shared" ref="J16:J21" si="4">ROUND((F16+H16)*15/115,2)</f>
        <v>0</v>
      </c>
      <c r="K16" s="105"/>
      <c r="L16" s="105"/>
      <c r="M16" s="34">
        <f t="shared" si="0"/>
        <v>0</v>
      </c>
      <c r="O16" s="120"/>
      <c r="Q16" s="94">
        <f t="shared" ref="Q16:Q21" si="5">P16-O16</f>
        <v>0</v>
      </c>
      <c r="R16" s="173">
        <f t="shared" si="1"/>
        <v>0</v>
      </c>
      <c r="T16" s="34"/>
      <c r="U16" s="132">
        <f t="shared" si="2"/>
        <v>0</v>
      </c>
      <c r="V16" s="126">
        <f t="shared" si="3"/>
        <v>0</v>
      </c>
    </row>
    <row r="17" spans="2:22" ht="24" customHeight="1" x14ac:dyDescent="0.35">
      <c r="B17" s="34"/>
      <c r="C17" s="106" t="str">
        <f>IF(B$12="Odd","June and July","July and August")</f>
        <v>July and August</v>
      </c>
      <c r="D17" s="105"/>
      <c r="E17" s="105"/>
      <c r="F17" s="105"/>
      <c r="J17" s="105">
        <f t="shared" si="4"/>
        <v>0</v>
      </c>
      <c r="K17" s="105"/>
      <c r="L17" s="105"/>
      <c r="M17" s="34">
        <f t="shared" si="0"/>
        <v>0</v>
      </c>
      <c r="O17" s="120"/>
      <c r="Q17" s="94">
        <f t="shared" si="5"/>
        <v>0</v>
      </c>
      <c r="R17" s="173">
        <f t="shared" si="1"/>
        <v>0</v>
      </c>
      <c r="T17" s="34"/>
      <c r="U17" s="132">
        <f t="shared" si="2"/>
        <v>0</v>
      </c>
      <c r="V17" s="126">
        <f t="shared" si="3"/>
        <v>0</v>
      </c>
    </row>
    <row r="18" spans="2:22" ht="24" customHeight="1" x14ac:dyDescent="0.35">
      <c r="B18" s="34"/>
      <c r="C18" s="106" t="str">
        <f>IF(B$12="Odd","August and September","September and October")</f>
        <v>September and October</v>
      </c>
      <c r="D18" s="105"/>
      <c r="E18" s="105"/>
      <c r="F18" s="105"/>
      <c r="J18" s="105">
        <f t="shared" si="4"/>
        <v>0</v>
      </c>
      <c r="K18" s="105"/>
      <c r="L18" s="105"/>
      <c r="M18" s="34">
        <f>J18-K18-L18</f>
        <v>0</v>
      </c>
      <c r="O18" s="120"/>
      <c r="Q18" s="94">
        <f t="shared" si="5"/>
        <v>0</v>
      </c>
      <c r="R18" s="173">
        <f t="shared" si="1"/>
        <v>0</v>
      </c>
      <c r="T18" s="124"/>
      <c r="U18" s="132">
        <f t="shared" si="2"/>
        <v>0</v>
      </c>
      <c r="V18" s="126">
        <f t="shared" si="3"/>
        <v>0</v>
      </c>
    </row>
    <row r="19" spans="2:22" ht="24" customHeight="1" x14ac:dyDescent="0.35">
      <c r="B19" s="34"/>
      <c r="C19" s="106" t="str">
        <f>IF(B$12="Odd","October and November","November and December")</f>
        <v>November and December</v>
      </c>
      <c r="D19" s="105"/>
      <c r="E19" s="105"/>
      <c r="F19" s="105"/>
      <c r="J19" s="105">
        <f t="shared" si="4"/>
        <v>0</v>
      </c>
      <c r="K19" s="105"/>
      <c r="L19" s="105"/>
      <c r="M19" s="34">
        <f t="shared" si="0"/>
        <v>0</v>
      </c>
      <c r="O19" s="120"/>
      <c r="Q19" s="94">
        <f t="shared" si="5"/>
        <v>0</v>
      </c>
      <c r="R19" s="173">
        <f t="shared" si="1"/>
        <v>0</v>
      </c>
      <c r="T19" s="124"/>
      <c r="U19" s="132">
        <f t="shared" si="2"/>
        <v>0</v>
      </c>
      <c r="V19" s="133">
        <f t="shared" si="3"/>
        <v>0</v>
      </c>
    </row>
    <row r="20" spans="2:22" ht="24" customHeight="1" x14ac:dyDescent="0.35">
      <c r="B20" s="34"/>
      <c r="C20" s="106" t="str">
        <f>IF(B$12="Odd","December and January","January and February")</f>
        <v>January and February</v>
      </c>
      <c r="D20" s="105"/>
      <c r="E20" s="105"/>
      <c r="F20" s="105"/>
      <c r="J20" s="105">
        <f t="shared" si="4"/>
        <v>0</v>
      </c>
      <c r="K20" s="105"/>
      <c r="L20" s="117"/>
      <c r="M20" s="34">
        <f t="shared" si="0"/>
        <v>0</v>
      </c>
      <c r="O20" s="120"/>
      <c r="Q20" s="94">
        <f t="shared" si="5"/>
        <v>0</v>
      </c>
      <c r="R20" s="173">
        <f t="shared" si="1"/>
        <v>0</v>
      </c>
      <c r="T20" s="124"/>
      <c r="U20" s="132">
        <f t="shared" si="2"/>
        <v>0</v>
      </c>
      <c r="V20" s="126">
        <f t="shared" si="3"/>
        <v>0</v>
      </c>
    </row>
    <row r="21" spans="2:22" ht="24" customHeight="1" x14ac:dyDescent="0.35">
      <c r="B21" s="34"/>
      <c r="C21" s="106" t="str">
        <f>IF(B$12="Odd","February"," ")</f>
        <v xml:space="preserve"> </v>
      </c>
      <c r="D21" s="105"/>
      <c r="E21" s="105"/>
      <c r="F21" s="105"/>
      <c r="J21" s="105">
        <f t="shared" si="4"/>
        <v>0</v>
      </c>
      <c r="K21" s="105"/>
      <c r="M21" s="34">
        <f t="shared" si="0"/>
        <v>0</v>
      </c>
      <c r="O21" s="120"/>
      <c r="Q21" s="94">
        <f t="shared" si="5"/>
        <v>0</v>
      </c>
      <c r="R21" s="173">
        <f t="shared" si="1"/>
        <v>0</v>
      </c>
      <c r="T21" s="35"/>
      <c r="U21" s="131"/>
      <c r="V21" s="123"/>
    </row>
    <row r="22" spans="2:22" ht="24" customHeight="1" x14ac:dyDescent="0.35">
      <c r="B22" s="34"/>
      <c r="C22" s="34"/>
      <c r="D22" s="34"/>
      <c r="E22" s="34"/>
      <c r="O22" s="174"/>
      <c r="P22" s="96"/>
      <c r="Q22" s="96"/>
      <c r="R22" s="175"/>
      <c r="U22" s="127"/>
      <c r="V22" s="123"/>
    </row>
    <row r="23" spans="2:22" ht="24" customHeight="1" thickBot="1" x14ac:dyDescent="0.4">
      <c r="B23" s="34"/>
      <c r="C23" s="34"/>
      <c r="D23" s="34"/>
      <c r="E23" s="34"/>
      <c r="F23" s="99">
        <f>SUM(F11:F22)</f>
        <v>0</v>
      </c>
      <c r="G23" s="99">
        <f t="shared" ref="G23:L23" si="6">SUM(G11:G22)</f>
        <v>0</v>
      </c>
      <c r="H23" s="99">
        <f t="shared" si="6"/>
        <v>0</v>
      </c>
      <c r="I23" s="99">
        <f t="shared" si="6"/>
        <v>0</v>
      </c>
      <c r="J23" s="99">
        <f t="shared" si="6"/>
        <v>0</v>
      </c>
      <c r="K23" s="99">
        <f t="shared" si="6"/>
        <v>0</v>
      </c>
      <c r="L23" s="99">
        <f t="shared" si="6"/>
        <v>0</v>
      </c>
      <c r="M23" s="99">
        <f>SUM(M11:M22)</f>
        <v>0</v>
      </c>
      <c r="O23" s="101">
        <f t="shared" ref="O23:R23" si="7">SUM(O11:O22)</f>
        <v>0</v>
      </c>
      <c r="P23" s="101">
        <f t="shared" si="7"/>
        <v>0</v>
      </c>
      <c r="Q23" s="101">
        <f t="shared" si="7"/>
        <v>0</v>
      </c>
      <c r="R23" s="101">
        <f t="shared" si="7"/>
        <v>0</v>
      </c>
      <c r="S23" s="99">
        <f t="shared" ref="S23" si="8">SUM(S11:S22)</f>
        <v>0</v>
      </c>
      <c r="T23" s="99">
        <f t="shared" ref="T23" si="9">SUM(T11:T22)</f>
        <v>0</v>
      </c>
      <c r="U23" s="99">
        <f t="shared" ref="U23" si="10">SUM(U11:U22)</f>
        <v>0</v>
      </c>
      <c r="V23" s="99">
        <f t="shared" ref="V23" si="11">SUM(V11:V22)</f>
        <v>0</v>
      </c>
    </row>
    <row r="24" spans="2:22" ht="24" customHeight="1" thickTop="1" x14ac:dyDescent="0.35">
      <c r="B24" s="34"/>
      <c r="C24" s="34"/>
      <c r="D24" s="34"/>
      <c r="E24" s="34"/>
      <c r="T24" s="104"/>
    </row>
    <row r="25" spans="2:22" ht="24" customHeight="1" x14ac:dyDescent="0.35">
      <c r="B25" s="34"/>
      <c r="C25" s="34"/>
      <c r="D25" s="34"/>
      <c r="E25" s="34"/>
      <c r="F25" s="34">
        <f>F23*15/115</f>
        <v>0</v>
      </c>
      <c r="T25" s="103"/>
      <c r="U25" s="103"/>
    </row>
    <row r="26" spans="2:22" ht="24" customHeight="1" x14ac:dyDescent="0.35">
      <c r="B26" s="34"/>
      <c r="C26" s="34" t="s">
        <v>66</v>
      </c>
      <c r="D26" s="34"/>
      <c r="E26" s="34"/>
      <c r="F26" s="34">
        <f>F23-F25+G23</f>
        <v>0</v>
      </c>
      <c r="T26" s="103"/>
    </row>
    <row r="27" spans="2:22" ht="24" customHeight="1" x14ac:dyDescent="0.35">
      <c r="B27" s="34"/>
      <c r="C27" s="34" t="s">
        <v>67</v>
      </c>
      <c r="D27" s="34"/>
      <c r="E27" s="34"/>
      <c r="F27" s="34">
        <f>SUM(TrialBalance!L6:L8)+SUM(TrialBalanceA!I6:I8)+SUM(TrialBalanceB!I6:I8)+SUM(TrialBalanceC!I6:I8)</f>
        <v>0</v>
      </c>
      <c r="T27" s="103"/>
    </row>
    <row r="28" spans="2:22" ht="24" customHeight="1" x14ac:dyDescent="0.35">
      <c r="B28" s="34"/>
      <c r="C28" s="34"/>
      <c r="D28" s="34"/>
      <c r="E28" s="34"/>
    </row>
    <row r="29" spans="2:22" ht="24" customHeight="1" x14ac:dyDescent="0.35">
      <c r="B29" s="34"/>
      <c r="C29" s="34"/>
      <c r="D29" s="34"/>
      <c r="E29" s="34"/>
    </row>
    <row r="30" spans="2:22" ht="24" customHeight="1" x14ac:dyDescent="0.35">
      <c r="B30" s="34"/>
      <c r="C30" s="34" t="s">
        <v>1169</v>
      </c>
      <c r="D30" s="34"/>
      <c r="E30" s="34"/>
    </row>
    <row r="31" spans="2:22" ht="24" customHeight="1" x14ac:dyDescent="0.35">
      <c r="B31" s="34"/>
      <c r="C31" s="34"/>
      <c r="D31" s="34"/>
      <c r="E31" s="34"/>
    </row>
    <row r="32" spans="2:22" ht="24" customHeight="1" x14ac:dyDescent="0.35">
      <c r="B32" s="34"/>
      <c r="C32" s="34"/>
      <c r="D32" s="34"/>
      <c r="E32" s="34"/>
    </row>
    <row r="33" spans="2:9" ht="24" customHeight="1" thickBot="1" x14ac:dyDescent="0.4">
      <c r="B33" s="34"/>
      <c r="C33" s="34" t="s">
        <v>229</v>
      </c>
      <c r="D33" s="34"/>
      <c r="E33" s="34"/>
      <c r="F33" s="99">
        <f>SUM(F26:F32)</f>
        <v>0</v>
      </c>
    </row>
    <row r="34" spans="2:9" ht="24" customHeight="1" thickTop="1" x14ac:dyDescent="0.35">
      <c r="B34" s="34"/>
      <c r="C34" s="34"/>
      <c r="D34" s="34"/>
      <c r="E34" s="34"/>
    </row>
    <row r="35" spans="2:9" ht="24" customHeight="1" x14ac:dyDescent="0.35">
      <c r="B35" s="34"/>
      <c r="C35" s="34"/>
      <c r="D35" s="34"/>
      <c r="E35" s="34"/>
    </row>
    <row r="36" spans="2:9" ht="24" customHeight="1" x14ac:dyDescent="0.6">
      <c r="B36" s="34"/>
      <c r="C36" s="113" t="s">
        <v>450</v>
      </c>
      <c r="D36" s="113"/>
      <c r="E36" s="113"/>
      <c r="F36" s="113"/>
      <c r="G36" s="114" t="s">
        <v>514</v>
      </c>
      <c r="H36" s="114" t="s">
        <v>515</v>
      </c>
      <c r="I36" s="92"/>
    </row>
    <row r="37" spans="2:9" ht="24" customHeight="1" x14ac:dyDescent="0.35">
      <c r="B37" s="34"/>
      <c r="C37" s="34"/>
      <c r="D37" s="34"/>
      <c r="E37" s="34"/>
      <c r="I37" s="92"/>
    </row>
    <row r="38" spans="2:9" ht="24" customHeight="1" x14ac:dyDescent="0.35">
      <c r="B38" s="34"/>
      <c r="C38" s="34" t="s">
        <v>513</v>
      </c>
      <c r="D38" s="34"/>
      <c r="E38" s="34"/>
      <c r="F38" s="34">
        <f>IF(B12="Even",M20,M21)</f>
        <v>0</v>
      </c>
      <c r="G38" s="34">
        <f>-TrialBalance!L395</f>
        <v>0</v>
      </c>
      <c r="I38" s="92"/>
    </row>
    <row r="39" spans="2:9" ht="24" customHeight="1" x14ac:dyDescent="0.35">
      <c r="B39" s="34"/>
      <c r="C39" s="34"/>
      <c r="D39" s="34"/>
      <c r="E39" s="34"/>
      <c r="I39" s="92"/>
    </row>
    <row r="40" spans="2:9" ht="24" customHeight="1" x14ac:dyDescent="0.35">
      <c r="B40" s="34"/>
      <c r="C40" s="34" t="s">
        <v>654</v>
      </c>
      <c r="D40" s="34"/>
      <c r="E40" s="34"/>
      <c r="F40" s="34">
        <f>SUM(F41:F47)</f>
        <v>0</v>
      </c>
      <c r="I40" s="92"/>
    </row>
    <row r="41" spans="2:9" ht="24" customHeight="1" x14ac:dyDescent="0.35">
      <c r="B41" s="34"/>
      <c r="C41" s="118"/>
      <c r="D41" s="119"/>
      <c r="E41" s="119"/>
      <c r="F41" s="170"/>
      <c r="I41" s="92"/>
    </row>
    <row r="42" spans="2:9" ht="24" customHeight="1" x14ac:dyDescent="0.35">
      <c r="B42" s="34"/>
      <c r="C42" s="120"/>
      <c r="D42" s="210"/>
      <c r="E42" s="210"/>
      <c r="F42" s="173"/>
      <c r="I42" s="92"/>
    </row>
    <row r="43" spans="2:9" ht="24" customHeight="1" x14ac:dyDescent="0.35">
      <c r="B43" s="34"/>
      <c r="C43" s="120"/>
      <c r="D43" s="210"/>
      <c r="E43" s="210"/>
      <c r="F43" s="173"/>
      <c r="I43" s="92"/>
    </row>
    <row r="44" spans="2:9" ht="24" customHeight="1" x14ac:dyDescent="0.35">
      <c r="B44" s="34"/>
      <c r="C44" s="120"/>
      <c r="D44" s="210"/>
      <c r="E44" s="210"/>
      <c r="F44" s="173"/>
      <c r="I44" s="92"/>
    </row>
    <row r="45" spans="2:9" ht="24" customHeight="1" x14ac:dyDescent="0.35">
      <c r="B45" s="34"/>
      <c r="C45" s="120"/>
      <c r="D45" s="210"/>
      <c r="E45" s="210"/>
      <c r="F45" s="173"/>
      <c r="I45" s="92"/>
    </row>
    <row r="46" spans="2:9" ht="24" customHeight="1" x14ac:dyDescent="0.35">
      <c r="B46" s="34"/>
      <c r="C46" s="120"/>
      <c r="D46" s="210"/>
      <c r="E46" s="210"/>
      <c r="F46" s="173"/>
      <c r="I46" s="92"/>
    </row>
    <row r="47" spans="2:9" ht="24" customHeight="1" x14ac:dyDescent="0.35">
      <c r="B47" s="34"/>
      <c r="C47" s="174"/>
      <c r="D47" s="96"/>
      <c r="E47" s="96"/>
      <c r="F47" s="175"/>
      <c r="I47" s="92"/>
    </row>
    <row r="48" spans="2:9" ht="24" customHeight="1" x14ac:dyDescent="0.35">
      <c r="B48" s="34"/>
      <c r="C48" s="34"/>
      <c r="D48" s="34"/>
      <c r="E48" s="34"/>
      <c r="I48" s="92"/>
    </row>
    <row r="49" spans="2:13" ht="24" customHeight="1" x14ac:dyDescent="0.35">
      <c r="B49" s="34"/>
      <c r="C49" s="34" t="s">
        <v>655</v>
      </c>
      <c r="D49" s="34"/>
      <c r="E49" s="34"/>
      <c r="F49" s="34">
        <f>SUM(F50:F55)</f>
        <v>0</v>
      </c>
      <c r="I49" s="92"/>
    </row>
    <row r="50" spans="2:13" ht="24" customHeight="1" x14ac:dyDescent="0.35">
      <c r="B50" s="34"/>
      <c r="C50" s="118"/>
      <c r="D50" s="119"/>
      <c r="E50" s="119"/>
      <c r="F50" s="170"/>
      <c r="I50" s="92"/>
    </row>
    <row r="51" spans="2:13" ht="24" customHeight="1" x14ac:dyDescent="0.35">
      <c r="B51" s="34"/>
      <c r="C51" s="120"/>
      <c r="D51" s="210"/>
      <c r="E51" s="210"/>
      <c r="F51" s="173"/>
      <c r="I51" s="92"/>
    </row>
    <row r="52" spans="2:13" ht="24" customHeight="1" x14ac:dyDescent="0.35">
      <c r="B52" s="34"/>
      <c r="C52" s="120"/>
      <c r="D52" s="210"/>
      <c r="E52" s="210"/>
      <c r="F52" s="173"/>
      <c r="I52" s="92"/>
    </row>
    <row r="53" spans="2:13" ht="24" customHeight="1" x14ac:dyDescent="0.35">
      <c r="B53" s="34"/>
      <c r="C53" s="120"/>
      <c r="D53" s="210"/>
      <c r="E53" s="210"/>
      <c r="F53" s="173"/>
      <c r="I53" s="92"/>
    </row>
    <row r="54" spans="2:13" ht="24" customHeight="1" x14ac:dyDescent="0.35">
      <c r="B54" s="34"/>
      <c r="C54" s="120"/>
      <c r="D54" s="210"/>
      <c r="E54" s="210"/>
      <c r="F54" s="173"/>
      <c r="I54" s="92"/>
    </row>
    <row r="55" spans="2:13" ht="24" customHeight="1" x14ac:dyDescent="0.35">
      <c r="B55" s="34"/>
      <c r="C55" s="222"/>
      <c r="D55" s="97"/>
      <c r="E55" s="97"/>
      <c r="F55" s="223"/>
      <c r="I55" s="92"/>
    </row>
    <row r="56" spans="2:13" ht="24" customHeight="1" x14ac:dyDescent="0.35">
      <c r="B56" s="34"/>
      <c r="C56" s="34"/>
      <c r="D56" s="34"/>
      <c r="E56" s="34"/>
      <c r="I56" s="92"/>
    </row>
    <row r="57" spans="2:13" ht="24" customHeight="1" thickBot="1" x14ac:dyDescent="0.4">
      <c r="B57" s="34"/>
      <c r="C57" s="34"/>
      <c r="D57" s="34"/>
      <c r="E57" s="34"/>
      <c r="F57" s="99">
        <f>F38+F40+F49</f>
        <v>0</v>
      </c>
      <c r="G57" s="99">
        <f>SUM(G38:G56)</f>
        <v>0</v>
      </c>
      <c r="H57" s="99">
        <f>F57-G57</f>
        <v>0</v>
      </c>
      <c r="I57" s="92"/>
    </row>
    <row r="58" spans="2:13" ht="24" customHeight="1" thickTop="1" x14ac:dyDescent="0.35">
      <c r="B58" s="34"/>
      <c r="C58" s="34"/>
      <c r="D58" s="34"/>
      <c r="E58" s="34"/>
      <c r="I58" s="92"/>
    </row>
    <row r="59" spans="2:13" ht="24" customHeight="1" x14ac:dyDescent="0.35">
      <c r="B59" s="34"/>
      <c r="C59" s="34"/>
      <c r="D59" s="34"/>
      <c r="E59" s="34"/>
    </row>
    <row r="60" spans="2:13" ht="24" customHeight="1" x14ac:dyDescent="0.35">
      <c r="B60" s="34"/>
      <c r="C60" s="34"/>
      <c r="D60" s="34"/>
      <c r="E60" s="34"/>
      <c r="K60" s="214"/>
      <c r="L60" s="214"/>
      <c r="M60" s="214"/>
    </row>
    <row r="61" spans="2:13" ht="57" customHeight="1" x14ac:dyDescent="0.35">
      <c r="B61" s="34"/>
      <c r="C61" s="189" t="str">
        <f>Criteria!E9</f>
        <v>ABC TRUST</v>
      </c>
      <c r="D61" s="213"/>
      <c r="E61" s="213"/>
      <c r="F61" s="213"/>
      <c r="L61" s="191" t="s">
        <v>90</v>
      </c>
      <c r="M61" s="95"/>
    </row>
    <row r="62" spans="2:13" ht="24" customHeight="1" x14ac:dyDescent="0.35">
      <c r="B62" s="34"/>
      <c r="C62" s="9" t="s">
        <v>89</v>
      </c>
      <c r="D62" s="94"/>
      <c r="E62" s="94" t="str">
        <f>Criteria!E20</f>
        <v>29 FEBRUARY 2024</v>
      </c>
      <c r="K62" s="92"/>
    </row>
    <row r="63" spans="2:13" ht="58.5" customHeight="1" x14ac:dyDescent="0.35">
      <c r="B63" s="34"/>
      <c r="C63" s="190" t="s">
        <v>650</v>
      </c>
      <c r="D63" s="34"/>
      <c r="E63" s="34"/>
      <c r="K63" s="92"/>
      <c r="L63" s="191" t="s">
        <v>91</v>
      </c>
      <c r="M63" s="93"/>
    </row>
    <row r="64" spans="2:13" ht="24" customHeight="1" x14ac:dyDescent="0.35">
      <c r="B64" s="34"/>
      <c r="C64" s="34"/>
      <c r="D64" s="34"/>
      <c r="E64" s="34"/>
      <c r="K64" s="214"/>
      <c r="L64" s="214"/>
      <c r="M64" s="214"/>
    </row>
    <row r="65" spans="2:13" ht="24" customHeight="1" x14ac:dyDescent="0.35">
      <c r="B65" s="34"/>
      <c r="C65" s="94"/>
      <c r="D65" s="34"/>
      <c r="E65" s="34"/>
      <c r="K65" s="94"/>
      <c r="L65" s="94"/>
      <c r="M65" s="94"/>
    </row>
    <row r="66" spans="2:13" ht="24" customHeight="1" x14ac:dyDescent="0.35">
      <c r="B66" s="34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</row>
    <row r="67" spans="2:13" ht="24" customHeight="1" x14ac:dyDescent="0.35">
      <c r="B67" s="34"/>
      <c r="C67" s="34"/>
      <c r="D67" s="34"/>
      <c r="E67" s="34"/>
    </row>
    <row r="68" spans="2:13" ht="24" customHeight="1" x14ac:dyDescent="0.35">
      <c r="C68" s="38" t="s">
        <v>46</v>
      </c>
      <c r="E68" s="38"/>
    </row>
    <row r="69" spans="2:13" ht="24" customHeight="1" x14ac:dyDescent="0.35">
      <c r="E69" s="211"/>
    </row>
    <row r="70" spans="2:13" ht="24" customHeight="1" x14ac:dyDescent="0.35">
      <c r="C70" s="33" t="s">
        <v>276</v>
      </c>
      <c r="E70" s="211"/>
      <c r="F70" s="34">
        <f>SUM(TrialBalance!L14:L19)+SUM(TrialBalanceA!I14:I19)+SUM(TrialBalanceB!I14:I19)+SUM(TrialBalanceC!I14:I19)</f>
        <v>0</v>
      </c>
    </row>
    <row r="71" spans="2:13" ht="24" customHeight="1" x14ac:dyDescent="0.35">
      <c r="C71" s="33" t="s">
        <v>47</v>
      </c>
      <c r="E71" s="211"/>
      <c r="F71" s="34">
        <f>SUM(TrialBalance!L37:L78)+SUM(TrialBalanceA!I37:I78)+SUM(TrialBalanceB!I37:I78)+SUM(TrialBalanceC!I37:I78)</f>
        <v>0</v>
      </c>
    </row>
    <row r="72" spans="2:13" ht="24" customHeight="1" x14ac:dyDescent="0.35">
      <c r="C72" s="33" t="s">
        <v>48</v>
      </c>
      <c r="E72" s="211"/>
      <c r="F72" s="34">
        <f>SUM(TrialBalance!L85:L126)+SUM(TrialBalanceA!I85:I126)+SUM(TrialBalanceB!I85:I126)+SUM(TrialBalanceC!I85:I126)</f>
        <v>0</v>
      </c>
    </row>
    <row r="73" spans="2:13" ht="24" customHeight="1" x14ac:dyDescent="0.35">
      <c r="C73" s="33" t="s">
        <v>49</v>
      </c>
      <c r="E73" s="211"/>
      <c r="F73" s="34">
        <f>TrialBalance!L241</f>
        <v>0</v>
      </c>
    </row>
    <row r="74" spans="2:13" ht="24" customHeight="1" x14ac:dyDescent="0.35">
      <c r="C74" s="33" t="s">
        <v>50</v>
      </c>
      <c r="E74" s="211"/>
      <c r="F74" s="100"/>
      <c r="G74" s="215"/>
      <c r="H74" s="215"/>
      <c r="I74" s="215"/>
    </row>
    <row r="75" spans="2:13" ht="24" customHeight="1" x14ac:dyDescent="0.35">
      <c r="C75" s="33" t="s">
        <v>51</v>
      </c>
      <c r="E75" s="211"/>
      <c r="F75" s="34">
        <f>TrialBalance!L257</f>
        <v>0</v>
      </c>
    </row>
    <row r="76" spans="2:13" ht="24" customHeight="1" x14ac:dyDescent="0.35">
      <c r="C76" s="33" t="s">
        <v>52</v>
      </c>
      <c r="E76" s="211"/>
      <c r="F76" s="34">
        <f>TrialBalance!L265</f>
        <v>0</v>
      </c>
    </row>
    <row r="77" spans="2:13" ht="7.15" customHeight="1" x14ac:dyDescent="0.35">
      <c r="E77" s="211"/>
      <c r="F77" s="96"/>
    </row>
    <row r="78" spans="2:13" ht="7.15" customHeight="1" x14ac:dyDescent="0.35">
      <c r="E78" s="211"/>
    </row>
    <row r="79" spans="2:13" ht="24" customHeight="1" x14ac:dyDescent="0.35">
      <c r="E79" s="211"/>
      <c r="F79" s="34">
        <f>SUM(F70:F76)</f>
        <v>0</v>
      </c>
    </row>
    <row r="80" spans="2:13" ht="24" customHeight="1" x14ac:dyDescent="0.35">
      <c r="E80" s="211"/>
    </row>
    <row r="81" spans="3:6" ht="24" customHeight="1" x14ac:dyDescent="0.35">
      <c r="C81" s="33" t="s">
        <v>53</v>
      </c>
      <c r="E81" s="211"/>
      <c r="F81" s="34">
        <f>SUM(F84:F113)</f>
        <v>0</v>
      </c>
    </row>
    <row r="82" spans="3:6" ht="9" customHeight="1" x14ac:dyDescent="0.35">
      <c r="E82" s="211"/>
    </row>
    <row r="83" spans="3:6" ht="10.5" customHeight="1" x14ac:dyDescent="0.35">
      <c r="E83" s="211"/>
    </row>
    <row r="84" spans="3:6" ht="24" customHeight="1" x14ac:dyDescent="0.35">
      <c r="C84" s="33" t="s">
        <v>279</v>
      </c>
      <c r="E84" s="211"/>
      <c r="F84" s="216">
        <f>SUM(TrialBalance!L41:L43)+SUM(TrialBalance!L95:L96)+SUM(TrialBalanceA!I41:I43)+SUM(TrialBalanceA!I95:I96)+SUM(TrialBalanceB!I41:I43)+SUM(TrialBalanceB!I95:I96)+SUM(TrialBalanceC!I41:I43)+SUM(TrialBalanceC!I95:I96)</f>
        <v>0</v>
      </c>
    </row>
    <row r="85" spans="3:6" ht="24" customHeight="1" x14ac:dyDescent="0.35">
      <c r="C85" s="33" t="s">
        <v>278</v>
      </c>
      <c r="E85" s="211"/>
      <c r="F85" s="217">
        <f>TrialBalance!L39+TrialBalanceA!I39+TrialBalanceB!I39+TrialBalanceC!I39</f>
        <v>0</v>
      </c>
    </row>
    <row r="86" spans="3:6" ht="24" customHeight="1" x14ac:dyDescent="0.35">
      <c r="C86" s="33" t="s">
        <v>184</v>
      </c>
      <c r="E86" s="211"/>
      <c r="F86" s="217">
        <f>TrialBalance!L48+TrialBalanceA!I48+TrialBalanceB!I48+TrialBalanceC!I48</f>
        <v>0</v>
      </c>
    </row>
    <row r="87" spans="3:6" ht="24" customHeight="1" x14ac:dyDescent="0.35">
      <c r="C87" s="33" t="s">
        <v>707</v>
      </c>
      <c r="E87" s="211"/>
      <c r="F87" s="217">
        <f>TrialBalance!L49+TrialBalanceA!I49+TrialBalanceB!I49+TrialBalanceC!I49</f>
        <v>0</v>
      </c>
    </row>
    <row r="88" spans="3:6" ht="24" customHeight="1" x14ac:dyDescent="0.35">
      <c r="C88" s="33" t="s">
        <v>354</v>
      </c>
      <c r="E88" s="211"/>
      <c r="F88" s="217">
        <f>TrialBalance!L50+TrialBalanceA!I50+TrialBalanceB!I50+TrialBalanceC!I50</f>
        <v>0</v>
      </c>
    </row>
    <row r="89" spans="3:6" ht="24" customHeight="1" x14ac:dyDescent="0.35">
      <c r="C89" s="33" t="s">
        <v>191</v>
      </c>
      <c r="E89" s="211"/>
      <c r="F89" s="217">
        <f>TrialBalance!L52+TrialBalanceA!I52+TrialBalanceB!I52+TrialBalanceC!I52</f>
        <v>0</v>
      </c>
    </row>
    <row r="90" spans="3:6" ht="24" customHeight="1" x14ac:dyDescent="0.35">
      <c r="C90" s="33" t="s">
        <v>355</v>
      </c>
      <c r="E90" s="211"/>
      <c r="F90" s="217">
        <f>TrialBalance!L55+TrialBalanceA!I55+TrialBalanceB!I55+TrialBalanceC!I55</f>
        <v>0</v>
      </c>
    </row>
    <row r="91" spans="3:6" ht="24" customHeight="1" x14ac:dyDescent="0.35">
      <c r="C91" s="33" t="s">
        <v>78</v>
      </c>
      <c r="E91" s="211"/>
      <c r="F91" s="217">
        <f>TrialBalance!L62+TrialBalanceA!I62+TrialBalanceB!I62+TrialBalanceC!I62</f>
        <v>0</v>
      </c>
    </row>
    <row r="92" spans="3:6" ht="24" customHeight="1" x14ac:dyDescent="0.35">
      <c r="C92" s="33" t="s">
        <v>708</v>
      </c>
      <c r="E92" s="211"/>
      <c r="F92" s="217">
        <f>TrialBalance!L63+TrialBalanceA!I63+TrialBalanceB!I63+TrialBalanceC!I63</f>
        <v>0</v>
      </c>
    </row>
    <row r="93" spans="3:6" ht="24" customHeight="1" x14ac:dyDescent="0.35">
      <c r="C93" s="33" t="s">
        <v>82</v>
      </c>
      <c r="E93" s="211"/>
      <c r="F93" s="217">
        <f>TrialBalance!L64+TrialBalanceA!I64+TrialBalanceB!I64+TrialBalanceC!I64</f>
        <v>0</v>
      </c>
    </row>
    <row r="94" spans="3:6" ht="24" customHeight="1" x14ac:dyDescent="0.35">
      <c r="C94" s="33" t="s">
        <v>1010</v>
      </c>
      <c r="E94" s="211"/>
      <c r="F94" s="217">
        <f>SUM(TrialBalance!L98:L102)+SUM(TrialBalanceA!I98:I102)+SUM(TrialBalanceB!I98:I102)+SUM(TrialBalanceC!I98:I102)</f>
        <v>0</v>
      </c>
    </row>
    <row r="95" spans="3:6" ht="24" customHeight="1" x14ac:dyDescent="0.35">
      <c r="C95" s="33" t="s">
        <v>260</v>
      </c>
      <c r="E95" s="211"/>
      <c r="F95" s="217">
        <f>TrialBalance!L103+TrialBalanceA!I103+TrialBalanceB!I103+TrialBalanceC!I103</f>
        <v>0</v>
      </c>
    </row>
    <row r="96" spans="3:6" ht="24" customHeight="1" x14ac:dyDescent="0.35">
      <c r="C96" s="33" t="s">
        <v>375</v>
      </c>
      <c r="E96" s="211"/>
      <c r="F96" s="217">
        <f>TrialBalance!L104+TrialBalanceA!I104+TrialBalanceB!I104+TrialBalanceC!I104</f>
        <v>0</v>
      </c>
    </row>
    <row r="97" spans="3:6" ht="24" customHeight="1" x14ac:dyDescent="0.35">
      <c r="C97" s="33" t="s">
        <v>326</v>
      </c>
      <c r="E97" s="211"/>
      <c r="F97" s="217">
        <f>TrialBalance!L105+TrialBalanceA!I105+TrialBalanceB!I105+TrialBalanceC!I105</f>
        <v>0</v>
      </c>
    </row>
    <row r="98" spans="3:6" ht="24" customHeight="1" x14ac:dyDescent="0.35">
      <c r="C98" s="33" t="s">
        <v>230</v>
      </c>
      <c r="E98" s="211"/>
      <c r="F98" s="217">
        <f>TrialBalance!L108+TrialBalanceA!I108+TrialBalanceB!I108+TrialBalanceC!I108</f>
        <v>0</v>
      </c>
    </row>
    <row r="99" spans="3:6" ht="24" customHeight="1" x14ac:dyDescent="0.35">
      <c r="C99" s="33" t="s">
        <v>261</v>
      </c>
      <c r="E99" s="211"/>
      <c r="F99" s="217">
        <f>TrialBalance!L110+TrialBalanceA!I110+TrialBalanceB!I110+TrialBalanceC!I110</f>
        <v>0</v>
      </c>
    </row>
    <row r="100" spans="3:6" ht="24" customHeight="1" x14ac:dyDescent="0.35">
      <c r="C100" s="33" t="s">
        <v>709</v>
      </c>
      <c r="E100" s="211"/>
      <c r="F100" s="217">
        <f>TrialBalance!L111+TrialBalanceA!I111+TrialBalanceB!I111+TrialBalanceC!I111</f>
        <v>0</v>
      </c>
    </row>
    <row r="101" spans="3:6" ht="24" customHeight="1" x14ac:dyDescent="0.35">
      <c r="C101" s="33" t="s">
        <v>710</v>
      </c>
      <c r="E101" s="211"/>
      <c r="F101" s="217">
        <f>TrialBalance!L112+TrialBalanceA!I112+TrialBalanceB!I112+TrialBalanceC!I112</f>
        <v>0</v>
      </c>
    </row>
    <row r="102" spans="3:6" ht="24" customHeight="1" x14ac:dyDescent="0.35">
      <c r="C102" s="33" t="s">
        <v>262</v>
      </c>
      <c r="E102" s="211"/>
      <c r="F102" s="217">
        <f>TrialBalance!L113+TrialBalanceA!I113+TrialBalanceB!I113+TrialBalanceC!I113</f>
        <v>0</v>
      </c>
    </row>
    <row r="103" spans="3:6" ht="24" customHeight="1" x14ac:dyDescent="0.35">
      <c r="C103" s="33" t="s">
        <v>127</v>
      </c>
      <c r="E103" s="211"/>
      <c r="F103" s="217">
        <f>TrialBalance!L115+TrialBalanceA!I115+TrialBalanceB!I115+TrialBalanceC!I115</f>
        <v>0</v>
      </c>
    </row>
    <row r="104" spans="3:6" ht="24" customHeight="1" x14ac:dyDescent="0.35">
      <c r="C104" s="33" t="s">
        <v>1056</v>
      </c>
      <c r="E104" s="211"/>
      <c r="F104" s="217">
        <f>TrialBalance!L125+TrialBalanceA!I125+TrialBalanceB!I125+TrialBalanceC!I125</f>
        <v>0</v>
      </c>
    </row>
    <row r="105" spans="3:6" ht="24" customHeight="1" x14ac:dyDescent="0.35">
      <c r="C105" s="33" t="s">
        <v>1083</v>
      </c>
      <c r="E105" s="211"/>
      <c r="F105" s="217">
        <f>TrialBalance!L126+TrialBalanceA!I126+TrialBalanceB!I126+TrialBalanceC!I126</f>
        <v>0</v>
      </c>
    </row>
    <row r="106" spans="3:6" ht="24" customHeight="1" x14ac:dyDescent="0.35">
      <c r="E106" s="211"/>
      <c r="F106" s="217"/>
    </row>
    <row r="107" spans="3:6" ht="24" customHeight="1" x14ac:dyDescent="0.35">
      <c r="E107" s="211"/>
      <c r="F107" s="217"/>
    </row>
    <row r="108" spans="3:6" ht="24" customHeight="1" x14ac:dyDescent="0.35">
      <c r="E108" s="211"/>
      <c r="F108" s="217"/>
    </row>
    <row r="109" spans="3:6" ht="24" customHeight="1" x14ac:dyDescent="0.35">
      <c r="E109" s="211"/>
      <c r="F109" s="217"/>
    </row>
    <row r="110" spans="3:6" ht="24" customHeight="1" x14ac:dyDescent="0.35">
      <c r="E110" s="211"/>
      <c r="F110" s="217"/>
    </row>
    <row r="111" spans="3:6" ht="24" customHeight="1" x14ac:dyDescent="0.35">
      <c r="E111" s="211"/>
      <c r="F111" s="217"/>
    </row>
    <row r="112" spans="3:6" ht="24" customHeight="1" x14ac:dyDescent="0.35">
      <c r="E112" s="211"/>
      <c r="F112" s="217"/>
    </row>
    <row r="113" spans="3:6" ht="24" customHeight="1" x14ac:dyDescent="0.35">
      <c r="E113" s="211"/>
      <c r="F113" s="218"/>
    </row>
    <row r="114" spans="3:6" ht="6" customHeight="1" x14ac:dyDescent="0.35">
      <c r="E114" s="211"/>
      <c r="F114" s="256"/>
    </row>
    <row r="115" spans="3:6" ht="24" customHeight="1" x14ac:dyDescent="0.35">
      <c r="E115" s="211"/>
      <c r="F115" s="34">
        <f>F79-F81</f>
        <v>0</v>
      </c>
    </row>
    <row r="116" spans="3:6" ht="24" customHeight="1" x14ac:dyDescent="0.35">
      <c r="E116" s="211"/>
    </row>
    <row r="117" spans="3:6" ht="24" customHeight="1" x14ac:dyDescent="0.35">
      <c r="C117" s="33" t="s">
        <v>649</v>
      </c>
      <c r="E117" s="211"/>
      <c r="F117" s="34">
        <f>F115*0.15</f>
        <v>0</v>
      </c>
    </row>
    <row r="118" spans="3:6" ht="24" customHeight="1" x14ac:dyDescent="0.35">
      <c r="C118" s="33" t="s">
        <v>651</v>
      </c>
      <c r="E118" s="211"/>
    </row>
    <row r="119" spans="3:6" ht="24" customHeight="1" x14ac:dyDescent="0.35">
      <c r="C119" s="33" t="s">
        <v>652</v>
      </c>
      <c r="E119" s="211"/>
      <c r="F119" s="220"/>
    </row>
    <row r="120" spans="3:6" ht="7.5" customHeight="1" x14ac:dyDescent="0.35">
      <c r="E120" s="211"/>
      <c r="F120" s="96"/>
    </row>
    <row r="121" spans="3:6" ht="9" customHeight="1" x14ac:dyDescent="0.35">
      <c r="E121" s="211"/>
    </row>
    <row r="122" spans="3:6" ht="24" customHeight="1" x14ac:dyDescent="0.35">
      <c r="E122" s="211"/>
      <c r="F122" s="34">
        <f>SUM(F117:F120)</f>
        <v>0</v>
      </c>
    </row>
    <row r="123" spans="3:6" ht="24" customHeight="1" x14ac:dyDescent="0.35">
      <c r="E123" s="211"/>
    </row>
    <row r="124" spans="3:6" ht="24" customHeight="1" x14ac:dyDescent="0.35">
      <c r="C124" s="33" t="s">
        <v>54</v>
      </c>
      <c r="E124" s="211"/>
      <c r="F124" s="34">
        <f>K23+L23</f>
        <v>0</v>
      </c>
    </row>
    <row r="125" spans="3:6" ht="7.15" customHeight="1" x14ac:dyDescent="0.35">
      <c r="E125" s="211"/>
      <c r="F125" s="96"/>
    </row>
    <row r="126" spans="3:6" ht="7.15" customHeight="1" x14ac:dyDescent="0.35">
      <c r="E126" s="211"/>
    </row>
    <row r="127" spans="3:6" ht="24" customHeight="1" x14ac:dyDescent="0.35">
      <c r="C127" s="33" t="s">
        <v>334</v>
      </c>
      <c r="E127" s="211"/>
      <c r="F127" s="34">
        <f>F122-F124</f>
        <v>0</v>
      </c>
    </row>
    <row r="128" spans="3:6" ht="7.15" customHeight="1" thickBot="1" x14ac:dyDescent="0.4">
      <c r="E128" s="211"/>
      <c r="F128" s="101"/>
    </row>
    <row r="129" spans="5:5" ht="24" customHeight="1" thickTop="1" x14ac:dyDescent="0.35">
      <c r="E129" s="211"/>
    </row>
    <row r="130" spans="5:5" ht="24" customHeight="1" x14ac:dyDescent="0.35">
      <c r="E130" s="211"/>
    </row>
    <row r="131" spans="5:5" ht="24" customHeight="1" x14ac:dyDescent="0.35">
      <c r="E131" s="211"/>
    </row>
    <row r="132" spans="5:5" ht="24" customHeight="1" x14ac:dyDescent="0.35">
      <c r="E132" s="211"/>
    </row>
    <row r="133" spans="5:5" ht="24" customHeight="1" x14ac:dyDescent="0.35">
      <c r="E133" s="211"/>
    </row>
    <row r="134" spans="5:5" ht="24" customHeight="1" x14ac:dyDescent="0.35">
      <c r="E134" s="211"/>
    </row>
    <row r="135" spans="5:5" ht="24" customHeight="1" x14ac:dyDescent="0.35">
      <c r="E135" s="211"/>
    </row>
    <row r="136" spans="5:5" ht="24" customHeight="1" x14ac:dyDescent="0.35">
      <c r="E136" s="211"/>
    </row>
    <row r="137" spans="5:5" ht="24" customHeight="1" x14ac:dyDescent="0.35">
      <c r="E137" s="211"/>
    </row>
    <row r="138" spans="5:5" ht="24" customHeight="1" x14ac:dyDescent="0.35">
      <c r="E138" s="211"/>
    </row>
    <row r="139" spans="5:5" ht="24" customHeight="1" x14ac:dyDescent="0.35">
      <c r="E139" s="211"/>
    </row>
    <row r="140" spans="5:5" ht="24" customHeight="1" x14ac:dyDescent="0.35">
      <c r="E140" s="211"/>
    </row>
    <row r="141" spans="5:5" ht="24" customHeight="1" x14ac:dyDescent="0.35">
      <c r="E141" s="211"/>
    </row>
    <row r="142" spans="5:5" ht="24" customHeight="1" x14ac:dyDescent="0.35">
      <c r="E142" s="211"/>
    </row>
    <row r="143" spans="5:5" ht="24" customHeight="1" x14ac:dyDescent="0.35">
      <c r="E143" s="211"/>
    </row>
    <row r="144" spans="5:5" ht="24" customHeight="1" x14ac:dyDescent="0.35">
      <c r="E144" s="211"/>
    </row>
    <row r="145" spans="5:5" ht="24" customHeight="1" x14ac:dyDescent="0.35">
      <c r="E145" s="211"/>
    </row>
    <row r="146" spans="5:5" ht="24" customHeight="1" x14ac:dyDescent="0.35">
      <c r="E146" s="211"/>
    </row>
    <row r="147" spans="5:5" ht="24" customHeight="1" x14ac:dyDescent="0.35">
      <c r="E147" s="211"/>
    </row>
    <row r="148" spans="5:5" ht="24" customHeight="1" x14ac:dyDescent="0.35">
      <c r="E148" s="211"/>
    </row>
    <row r="149" spans="5:5" ht="24" customHeight="1" x14ac:dyDescent="0.35">
      <c r="E149" s="211"/>
    </row>
    <row r="150" spans="5:5" ht="24" customHeight="1" x14ac:dyDescent="0.35">
      <c r="E150" s="211"/>
    </row>
    <row r="151" spans="5:5" ht="24" customHeight="1" x14ac:dyDescent="0.35">
      <c r="E151" s="211"/>
    </row>
    <row r="152" spans="5:5" ht="24" customHeight="1" x14ac:dyDescent="0.35">
      <c r="E152" s="211"/>
    </row>
    <row r="153" spans="5:5" ht="24" customHeight="1" x14ac:dyDescent="0.35">
      <c r="E153" s="211"/>
    </row>
    <row r="154" spans="5:5" ht="24" customHeight="1" x14ac:dyDescent="0.35">
      <c r="E154" s="211"/>
    </row>
    <row r="155" spans="5:5" ht="24" customHeight="1" x14ac:dyDescent="0.35">
      <c r="E155" s="211"/>
    </row>
    <row r="156" spans="5:5" ht="24" customHeight="1" x14ac:dyDescent="0.35">
      <c r="E156" s="211"/>
    </row>
    <row r="157" spans="5:5" ht="24" customHeight="1" x14ac:dyDescent="0.35">
      <c r="E157" s="211"/>
    </row>
    <row r="158" spans="5:5" ht="24" customHeight="1" x14ac:dyDescent="0.35">
      <c r="E158" s="211"/>
    </row>
    <row r="159" spans="5:5" ht="24" customHeight="1" x14ac:dyDescent="0.35">
      <c r="E159" s="219"/>
    </row>
    <row r="160" spans="5:5" ht="24" customHeight="1" x14ac:dyDescent="0.35">
      <c r="E160" s="219"/>
    </row>
    <row r="161" spans="5:5" ht="24" customHeight="1" x14ac:dyDescent="0.35">
      <c r="E161" s="219"/>
    </row>
    <row r="162" spans="5:5" ht="24" customHeight="1" x14ac:dyDescent="0.35">
      <c r="E162" s="219"/>
    </row>
    <row r="163" spans="5:5" ht="24" customHeight="1" x14ac:dyDescent="0.35">
      <c r="E163" s="219"/>
    </row>
    <row r="164" spans="5:5" ht="24" customHeight="1" x14ac:dyDescent="0.35">
      <c r="E164" s="219"/>
    </row>
    <row r="165" spans="5:5" ht="24" customHeight="1" x14ac:dyDescent="0.35">
      <c r="E165" s="219"/>
    </row>
    <row r="166" spans="5:5" ht="24" customHeight="1" x14ac:dyDescent="0.35">
      <c r="E166" s="219"/>
    </row>
    <row r="167" spans="5:5" ht="24" customHeight="1" x14ac:dyDescent="0.35">
      <c r="E167" s="219"/>
    </row>
    <row r="168" spans="5:5" ht="24" customHeight="1" x14ac:dyDescent="0.35">
      <c r="E168" s="219"/>
    </row>
    <row r="169" spans="5:5" ht="24" customHeight="1" x14ac:dyDescent="0.35">
      <c r="E169" s="219"/>
    </row>
    <row r="170" spans="5:5" ht="24" customHeight="1" x14ac:dyDescent="0.35">
      <c r="E170" s="219"/>
    </row>
    <row r="171" spans="5:5" ht="24" customHeight="1" x14ac:dyDescent="0.35">
      <c r="E171" s="219"/>
    </row>
    <row r="172" spans="5:5" ht="24" customHeight="1" x14ac:dyDescent="0.35">
      <c r="E172" s="219"/>
    </row>
    <row r="173" spans="5:5" ht="24" customHeight="1" x14ac:dyDescent="0.35">
      <c r="E173" s="219"/>
    </row>
  </sheetData>
  <mergeCells count="2">
    <mergeCell ref="O9:R9"/>
    <mergeCell ref="S9:V9"/>
  </mergeCells>
  <phoneticPr fontId="0" type="noConversion"/>
  <dataValidations count="1">
    <dataValidation type="list" allowBlank="1" showInputMessage="1" showErrorMessage="1" sqref="B12" xr:uid="{00000000-0002-0000-1200-000000000000}">
      <formula1>$B$13:$C$13</formula1>
    </dataValidation>
  </dataValidations>
  <hyperlinks>
    <hyperlink ref="C5" location="TrialBalance!A1" display="VAT CONTROL" xr:uid="{334460DD-7E8E-40F2-BB77-9784B527A2E1}"/>
    <hyperlink ref="C63" location="TrialBalance!A1" display="VAT CONTROL" xr:uid="{9D8B9B76-0F88-4A8A-B2C6-29616D94AAE8}"/>
  </hyperlinks>
  <pageMargins left="0.75" right="0.75" top="1" bottom="1" header="0.5" footer="0.5"/>
  <pageSetup paperSize="9" scale="60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FFE589-A783-4795-A001-D5427B679BB3}">
  <sheetPr>
    <pageSetUpPr fitToPage="1"/>
  </sheetPr>
  <dimension ref="A2:J2531"/>
  <sheetViews>
    <sheetView zoomScale="87" zoomScaleNormal="87" workbookViewId="0">
      <selection activeCell="G19" sqref="G19"/>
    </sheetView>
  </sheetViews>
  <sheetFormatPr defaultRowHeight="15.75" x14ac:dyDescent="0.25"/>
  <cols>
    <col min="1" max="2" width="4.7109375" style="2" customWidth="1"/>
    <col min="3" max="3" width="42.5703125" style="2" bestFit="1" customWidth="1"/>
    <col min="4" max="4" width="3" style="2" customWidth="1"/>
    <col min="5" max="5" width="14.7109375" style="2" bestFit="1" customWidth="1"/>
    <col min="6" max="6" width="15.7109375" style="2" customWidth="1"/>
    <col min="7" max="8" width="17.28515625" style="5" bestFit="1" customWidth="1"/>
    <col min="9" max="9" width="14.7109375" style="2" bestFit="1" customWidth="1"/>
    <col min="10" max="10" width="10" style="2" bestFit="1" customWidth="1"/>
    <col min="11" max="16384" width="9.140625" style="148"/>
  </cols>
  <sheetData>
    <row r="2" spans="3:8" ht="52.5" customHeight="1" x14ac:dyDescent="0.25">
      <c r="C2" s="147" t="str">
        <f>Criteria!E9</f>
        <v>ABC TRUST</v>
      </c>
      <c r="D2" s="212"/>
      <c r="E2" s="212"/>
      <c r="G2" s="146" t="s">
        <v>90</v>
      </c>
      <c r="H2" s="146"/>
    </row>
    <row r="3" spans="3:8" x14ac:dyDescent="0.25">
      <c r="C3" s="3" t="s">
        <v>89</v>
      </c>
      <c r="D3" s="3"/>
      <c r="E3" s="3" t="str">
        <f>Criteria!E20</f>
        <v>29 FEBRUARY 2024</v>
      </c>
    </row>
    <row r="4" spans="3:8" ht="52.5" customHeight="1" x14ac:dyDescent="0.25">
      <c r="C4" s="186" t="s">
        <v>137</v>
      </c>
      <c r="G4" s="146" t="s">
        <v>91</v>
      </c>
      <c r="H4" s="146"/>
    </row>
    <row r="5" spans="3:8" ht="15.75" customHeight="1" x14ac:dyDescent="0.25">
      <c r="G5" s="25"/>
      <c r="H5" s="25"/>
    </row>
    <row r="6" spans="3:8" s="2" customFormat="1" x14ac:dyDescent="0.25">
      <c r="G6" s="5">
        <f>Criteria!E22</f>
        <v>2024</v>
      </c>
      <c r="H6" s="5">
        <f>Criteria!E27</f>
        <v>2023</v>
      </c>
    </row>
    <row r="8" spans="3:8" s="2" customFormat="1" x14ac:dyDescent="0.25">
      <c r="C8" s="28">
        <f>TrialBalance!C192</f>
        <v>0</v>
      </c>
      <c r="G8" s="142">
        <f>-TrialBalance!L192</f>
        <v>0</v>
      </c>
      <c r="H8" s="142">
        <f>-TrialBalance!N192</f>
        <v>0</v>
      </c>
    </row>
    <row r="9" spans="3:8" s="2" customFormat="1" x14ac:dyDescent="0.25">
      <c r="C9" s="28">
        <f>TrialBalance!C193</f>
        <v>0</v>
      </c>
      <c r="G9" s="142">
        <f>-TrialBalance!L193</f>
        <v>0</v>
      </c>
      <c r="H9" s="142">
        <f>-TrialBalance!N193</f>
        <v>0</v>
      </c>
    </row>
    <row r="10" spans="3:8" s="2" customFormat="1" x14ac:dyDescent="0.25">
      <c r="C10" s="28">
        <f>TrialBalance!C194</f>
        <v>0</v>
      </c>
      <c r="G10" s="142">
        <f>-TrialBalance!L194</f>
        <v>0</v>
      </c>
      <c r="H10" s="142">
        <f>-TrialBalance!N194</f>
        <v>0</v>
      </c>
    </row>
    <row r="11" spans="3:8" s="2" customFormat="1" x14ac:dyDescent="0.25">
      <c r="C11" s="28">
        <f>TrialBalance!C195</f>
        <v>0</v>
      </c>
      <c r="G11" s="142">
        <f>-TrialBalance!L195</f>
        <v>0</v>
      </c>
      <c r="H11" s="142">
        <f>-TrialBalance!N195</f>
        <v>0</v>
      </c>
    </row>
    <row r="12" spans="3:8" s="2" customFormat="1" x14ac:dyDescent="0.25">
      <c r="C12" s="28">
        <f>TrialBalance!C196</f>
        <v>0</v>
      </c>
      <c r="G12" s="142">
        <f>-TrialBalance!L196</f>
        <v>0</v>
      </c>
      <c r="H12" s="142">
        <f>-TrialBalance!N196</f>
        <v>0</v>
      </c>
    </row>
    <row r="13" spans="3:8" s="2" customFormat="1" x14ac:dyDescent="0.25">
      <c r="C13" s="28">
        <f>TrialBalance!C197</f>
        <v>0</v>
      </c>
      <c r="G13" s="142">
        <f>-TrialBalance!L197</f>
        <v>0</v>
      </c>
      <c r="H13" s="142">
        <f>-TrialBalance!N197</f>
        <v>0</v>
      </c>
    </row>
    <row r="14" spans="3:8" s="2" customFormat="1" x14ac:dyDescent="0.25">
      <c r="C14" s="28">
        <f>TrialBalance!C198</f>
        <v>0</v>
      </c>
      <c r="G14" s="142">
        <f>-TrialBalance!L198</f>
        <v>0</v>
      </c>
      <c r="H14" s="142">
        <f>-TrialBalance!N198</f>
        <v>0</v>
      </c>
    </row>
    <row r="15" spans="3:8" s="2" customFormat="1" x14ac:dyDescent="0.25">
      <c r="C15" s="28">
        <f>TrialBalance!C199</f>
        <v>0</v>
      </c>
      <c r="G15" s="142">
        <f>-TrialBalance!L199</f>
        <v>0</v>
      </c>
      <c r="H15" s="142">
        <f>-TrialBalance!N199</f>
        <v>0</v>
      </c>
    </row>
    <row r="16" spans="3:8" s="2" customFormat="1" x14ac:dyDescent="0.25">
      <c r="C16" s="28">
        <f>TrialBalance!C200</f>
        <v>0</v>
      </c>
      <c r="G16" s="142">
        <f>-TrialBalance!L200</f>
        <v>0</v>
      </c>
      <c r="H16" s="142">
        <f>-TrialBalance!N200</f>
        <v>0</v>
      </c>
    </row>
    <row r="17" spans="3:8" s="2" customFormat="1" x14ac:dyDescent="0.25">
      <c r="C17" s="28">
        <f>TrialBalance!C201</f>
        <v>0</v>
      </c>
      <c r="G17" s="142">
        <f>-TrialBalance!L201</f>
        <v>0</v>
      </c>
      <c r="H17" s="142">
        <f>-TrialBalance!N201</f>
        <v>0</v>
      </c>
    </row>
    <row r="18" spans="3:8" s="2" customFormat="1" x14ac:dyDescent="0.25">
      <c r="C18" s="28">
        <f>TrialBalance!C202</f>
        <v>0</v>
      </c>
      <c r="G18" s="142">
        <f>-TrialBalance!L202</f>
        <v>0</v>
      </c>
      <c r="H18" s="142">
        <f>-TrialBalance!N202</f>
        <v>0</v>
      </c>
    </row>
    <row r="19" spans="3:8" s="2" customFormat="1" x14ac:dyDescent="0.25">
      <c r="C19" s="28">
        <f>TrialBalance!C203</f>
        <v>0</v>
      </c>
      <c r="G19" s="142">
        <f>-TrialBalance!L203</f>
        <v>0</v>
      </c>
      <c r="H19" s="142">
        <f>-TrialBalance!N203</f>
        <v>0</v>
      </c>
    </row>
    <row r="20" spans="3:8" s="2" customFormat="1" x14ac:dyDescent="0.25">
      <c r="C20" s="28">
        <f>TrialBalance!C204</f>
        <v>0</v>
      </c>
      <c r="G20" s="142">
        <f>-TrialBalance!L204</f>
        <v>0</v>
      </c>
      <c r="H20" s="142">
        <f>-TrialBalance!N204</f>
        <v>0</v>
      </c>
    </row>
    <row r="21" spans="3:8" s="2" customFormat="1" x14ac:dyDescent="0.25">
      <c r="C21" s="28">
        <f>TrialBalance!C205</f>
        <v>0</v>
      </c>
      <c r="G21" s="142">
        <f>-TrialBalance!L205</f>
        <v>0</v>
      </c>
      <c r="H21" s="142">
        <f>-TrialBalance!N205</f>
        <v>0</v>
      </c>
    </row>
    <row r="22" spans="3:8" s="2" customFormat="1" x14ac:dyDescent="0.25">
      <c r="C22" s="28">
        <f>TrialBalance!C206</f>
        <v>0</v>
      </c>
      <c r="G22" s="142">
        <f>-TrialBalance!L206</f>
        <v>0</v>
      </c>
      <c r="H22" s="142">
        <f>-TrialBalance!N206</f>
        <v>0</v>
      </c>
    </row>
    <row r="23" spans="3:8" s="2" customFormat="1" x14ac:dyDescent="0.25">
      <c r="C23" s="28"/>
      <c r="G23" s="143"/>
      <c r="H23" s="143"/>
    </row>
    <row r="24" spans="3:8" s="2" customFormat="1" x14ac:dyDescent="0.25">
      <c r="C24" s="28"/>
      <c r="G24" s="142">
        <f>SUM(G7:G23)</f>
        <v>0</v>
      </c>
      <c r="H24" s="142">
        <f>SUM(H7:H23)</f>
        <v>0</v>
      </c>
    </row>
    <row r="25" spans="3:8" s="2" customFormat="1" x14ac:dyDescent="0.25">
      <c r="C25" s="28"/>
      <c r="G25" s="142"/>
      <c r="H25" s="142"/>
    </row>
    <row r="26" spans="3:8" s="2" customFormat="1" x14ac:dyDescent="0.25">
      <c r="C26" s="28" t="s">
        <v>256</v>
      </c>
      <c r="G26" s="142">
        <f>-TrialBalance!L207</f>
        <v>0</v>
      </c>
      <c r="H26" s="142">
        <f>-TrialBalance!N207</f>
        <v>0</v>
      </c>
    </row>
    <row r="27" spans="3:8" s="2" customFormat="1" x14ac:dyDescent="0.25">
      <c r="G27" s="142"/>
      <c r="H27" s="142"/>
    </row>
    <row r="28" spans="3:8" s="2" customFormat="1" ht="16.5" thickBot="1" x14ac:dyDescent="0.3">
      <c r="G28" s="144">
        <f>SUM(G24:G27)</f>
        <v>0</v>
      </c>
      <c r="H28" s="144">
        <f>SUM(H24:H27)</f>
        <v>0</v>
      </c>
    </row>
    <row r="29" spans="3:8" s="2" customFormat="1" ht="16.5" thickTop="1" x14ac:dyDescent="0.25">
      <c r="G29" s="142"/>
      <c r="H29" s="142"/>
    </row>
    <row r="30" spans="3:8" s="2" customFormat="1" x14ac:dyDescent="0.25">
      <c r="C30" s="1" t="s">
        <v>566</v>
      </c>
      <c r="D30" s="1"/>
      <c r="E30" s="1"/>
      <c r="F30" s="1"/>
      <c r="G30" s="7">
        <f>G28+SUM(TrialBalance!L192:L207)</f>
        <v>0</v>
      </c>
      <c r="H30" s="7">
        <f>H28+SUM(TrialBalance!N192:N207)</f>
        <v>0</v>
      </c>
    </row>
    <row r="31" spans="3:8" s="2" customFormat="1" x14ac:dyDescent="0.25">
      <c r="G31" s="142"/>
      <c r="H31" s="142"/>
    </row>
    <row r="32" spans="3:8" s="2" customFormat="1" x14ac:dyDescent="0.25">
      <c r="G32" s="142"/>
      <c r="H32" s="142"/>
    </row>
    <row r="33" spans="2:8" s="2" customFormat="1" x14ac:dyDescent="0.25">
      <c r="G33" s="142"/>
      <c r="H33" s="142"/>
    </row>
    <row r="34" spans="2:8" s="2" customFormat="1" x14ac:dyDescent="0.25">
      <c r="B34" s="109"/>
      <c r="C34" s="3"/>
      <c r="G34" s="25"/>
      <c r="H34" s="25"/>
    </row>
    <row r="35" spans="2:8" s="2" customFormat="1" x14ac:dyDescent="0.25">
      <c r="G35" s="5"/>
      <c r="H35" s="5"/>
    </row>
    <row r="36" spans="2:8" s="2" customFormat="1" x14ac:dyDescent="0.25">
      <c r="G36" s="5"/>
      <c r="H36" s="5"/>
    </row>
    <row r="37" spans="2:8" x14ac:dyDescent="0.25">
      <c r="E37" s="254"/>
      <c r="F37" s="254"/>
    </row>
    <row r="38" spans="2:8" x14ac:dyDescent="0.25">
      <c r="E38" s="255"/>
      <c r="F38" s="255"/>
    </row>
    <row r="39" spans="2:8" x14ac:dyDescent="0.25">
      <c r="E39" s="255"/>
      <c r="F39" s="255"/>
    </row>
    <row r="40" spans="2:8" x14ac:dyDescent="0.25">
      <c r="E40" s="255"/>
      <c r="F40" s="255"/>
    </row>
    <row r="41" spans="2:8" x14ac:dyDescent="0.25">
      <c r="E41" s="255"/>
      <c r="F41" s="255"/>
    </row>
    <row r="42" spans="2:8" x14ac:dyDescent="0.25">
      <c r="E42" s="255"/>
      <c r="F42" s="255"/>
    </row>
    <row r="43" spans="2:8" x14ac:dyDescent="0.25">
      <c r="E43" s="255"/>
      <c r="F43" s="255"/>
    </row>
    <row r="44" spans="2:8" x14ac:dyDescent="0.25">
      <c r="E44" s="255"/>
      <c r="F44" s="255"/>
    </row>
    <row r="45" spans="2:8" x14ac:dyDescent="0.25">
      <c r="E45" s="255"/>
      <c r="F45" s="255"/>
    </row>
    <row r="46" spans="2:8" x14ac:dyDescent="0.25">
      <c r="E46" s="255"/>
      <c r="F46" s="255"/>
    </row>
    <row r="47" spans="2:8" x14ac:dyDescent="0.25">
      <c r="E47" s="255"/>
      <c r="F47" s="255"/>
    </row>
    <row r="48" spans="2:8" x14ac:dyDescent="0.25">
      <c r="E48" s="255"/>
      <c r="F48" s="255"/>
    </row>
    <row r="49" spans="5:6" x14ac:dyDescent="0.25">
      <c r="E49" s="255"/>
      <c r="F49" s="255"/>
    </row>
    <row r="50" spans="5:6" x14ac:dyDescent="0.25">
      <c r="E50" s="255"/>
      <c r="F50" s="255"/>
    </row>
    <row r="51" spans="5:6" x14ac:dyDescent="0.25">
      <c r="E51" s="255"/>
      <c r="F51" s="255"/>
    </row>
    <row r="52" spans="5:6" x14ac:dyDescent="0.25">
      <c r="E52" s="255"/>
      <c r="F52" s="255"/>
    </row>
    <row r="53" spans="5:6" x14ac:dyDescent="0.25">
      <c r="E53" s="255"/>
      <c r="F53" s="255"/>
    </row>
    <row r="54" spans="5:6" x14ac:dyDescent="0.25">
      <c r="E54" s="255"/>
      <c r="F54" s="255"/>
    </row>
    <row r="55" spans="5:6" x14ac:dyDescent="0.25">
      <c r="E55" s="255"/>
      <c r="F55" s="255"/>
    </row>
    <row r="56" spans="5:6" x14ac:dyDescent="0.25">
      <c r="E56" s="255"/>
      <c r="F56" s="255"/>
    </row>
    <row r="57" spans="5:6" x14ac:dyDescent="0.25">
      <c r="E57" s="255"/>
      <c r="F57" s="255"/>
    </row>
    <row r="58" spans="5:6" x14ac:dyDescent="0.25">
      <c r="E58" s="255"/>
      <c r="F58" s="255"/>
    </row>
    <row r="59" spans="5:6" x14ac:dyDescent="0.25">
      <c r="E59" s="255"/>
      <c r="F59" s="255"/>
    </row>
    <row r="60" spans="5:6" x14ac:dyDescent="0.25">
      <c r="E60" s="255"/>
      <c r="F60" s="255"/>
    </row>
    <row r="61" spans="5:6" x14ac:dyDescent="0.25">
      <c r="E61" s="255"/>
      <c r="F61" s="255"/>
    </row>
    <row r="62" spans="5:6" x14ac:dyDescent="0.25">
      <c r="E62" s="255"/>
      <c r="F62" s="255"/>
    </row>
    <row r="63" spans="5:6" x14ac:dyDescent="0.25">
      <c r="E63" s="255"/>
      <c r="F63" s="255"/>
    </row>
    <row r="64" spans="5:6" x14ac:dyDescent="0.25">
      <c r="E64" s="255"/>
      <c r="F64" s="255"/>
    </row>
    <row r="65" spans="5:6" x14ac:dyDescent="0.25">
      <c r="E65" s="255"/>
      <c r="F65" s="255"/>
    </row>
    <row r="66" spans="5:6" x14ac:dyDescent="0.25">
      <c r="E66" s="255"/>
      <c r="F66" s="255"/>
    </row>
    <row r="67" spans="5:6" x14ac:dyDescent="0.25">
      <c r="E67" s="255"/>
      <c r="F67" s="255"/>
    </row>
    <row r="68" spans="5:6" x14ac:dyDescent="0.25">
      <c r="E68" s="255"/>
      <c r="F68" s="255"/>
    </row>
    <row r="69" spans="5:6" x14ac:dyDescent="0.25">
      <c r="E69" s="255"/>
      <c r="F69" s="255"/>
    </row>
    <row r="70" spans="5:6" x14ac:dyDescent="0.25">
      <c r="E70" s="255"/>
      <c r="F70" s="255"/>
    </row>
    <row r="71" spans="5:6" x14ac:dyDescent="0.25">
      <c r="E71" s="255"/>
      <c r="F71" s="255"/>
    </row>
    <row r="72" spans="5:6" x14ac:dyDescent="0.25">
      <c r="E72" s="255"/>
      <c r="F72" s="255"/>
    </row>
    <row r="73" spans="5:6" x14ac:dyDescent="0.25">
      <c r="E73" s="255"/>
      <c r="F73" s="255"/>
    </row>
    <row r="74" spans="5:6" x14ac:dyDescent="0.25">
      <c r="E74" s="255"/>
      <c r="F74" s="255"/>
    </row>
    <row r="75" spans="5:6" x14ac:dyDescent="0.25">
      <c r="E75" s="255"/>
      <c r="F75" s="255"/>
    </row>
    <row r="76" spans="5:6" x14ac:dyDescent="0.25">
      <c r="E76" s="255"/>
      <c r="F76" s="255"/>
    </row>
    <row r="77" spans="5:6" x14ac:dyDescent="0.25">
      <c r="E77" s="255"/>
      <c r="F77" s="255"/>
    </row>
    <row r="78" spans="5:6" x14ac:dyDescent="0.25">
      <c r="E78" s="255"/>
      <c r="F78" s="255"/>
    </row>
    <row r="79" spans="5:6" x14ac:dyDescent="0.25">
      <c r="E79" s="255"/>
      <c r="F79" s="255"/>
    </row>
    <row r="80" spans="5:6" x14ac:dyDescent="0.25">
      <c r="E80" s="255"/>
      <c r="F80" s="255"/>
    </row>
    <row r="81" spans="5:6" x14ac:dyDescent="0.25">
      <c r="E81" s="255"/>
      <c r="F81" s="255"/>
    </row>
    <row r="82" spans="5:6" x14ac:dyDescent="0.25">
      <c r="E82" s="255"/>
      <c r="F82" s="255"/>
    </row>
    <row r="83" spans="5:6" x14ac:dyDescent="0.25">
      <c r="E83" s="255"/>
      <c r="F83" s="255"/>
    </row>
    <row r="84" spans="5:6" x14ac:dyDescent="0.25">
      <c r="E84" s="255"/>
      <c r="F84" s="255"/>
    </row>
    <row r="85" spans="5:6" x14ac:dyDescent="0.25">
      <c r="E85" s="255"/>
      <c r="F85" s="255"/>
    </row>
    <row r="86" spans="5:6" x14ac:dyDescent="0.25">
      <c r="E86" s="255"/>
      <c r="F86" s="255"/>
    </row>
    <row r="87" spans="5:6" x14ac:dyDescent="0.25">
      <c r="E87" s="255"/>
      <c r="F87" s="255"/>
    </row>
    <row r="88" spans="5:6" x14ac:dyDescent="0.25">
      <c r="E88" s="255"/>
      <c r="F88" s="255"/>
    </row>
    <row r="89" spans="5:6" x14ac:dyDescent="0.25">
      <c r="E89" s="255"/>
      <c r="F89" s="255"/>
    </row>
    <row r="90" spans="5:6" x14ac:dyDescent="0.25">
      <c r="E90" s="255"/>
      <c r="F90" s="255"/>
    </row>
    <row r="91" spans="5:6" x14ac:dyDescent="0.25">
      <c r="E91" s="255"/>
      <c r="F91" s="255"/>
    </row>
    <row r="92" spans="5:6" x14ac:dyDescent="0.25">
      <c r="E92" s="255"/>
      <c r="F92" s="255"/>
    </row>
    <row r="93" spans="5:6" x14ac:dyDescent="0.25">
      <c r="E93" s="255"/>
      <c r="F93" s="255"/>
    </row>
    <row r="94" spans="5:6" x14ac:dyDescent="0.25">
      <c r="E94" s="255"/>
      <c r="F94" s="255"/>
    </row>
    <row r="95" spans="5:6" x14ac:dyDescent="0.25">
      <c r="E95" s="255"/>
      <c r="F95" s="255"/>
    </row>
    <row r="96" spans="5:6" x14ac:dyDescent="0.25">
      <c r="E96" s="255"/>
      <c r="F96" s="255"/>
    </row>
    <row r="97" spans="5:6" x14ac:dyDescent="0.25">
      <c r="E97" s="255"/>
      <c r="F97" s="255"/>
    </row>
    <row r="98" spans="5:6" x14ac:dyDescent="0.25">
      <c r="E98" s="255"/>
      <c r="F98" s="255"/>
    </row>
    <row r="99" spans="5:6" x14ac:dyDescent="0.25">
      <c r="E99" s="255"/>
      <c r="F99" s="255"/>
    </row>
    <row r="100" spans="5:6" x14ac:dyDescent="0.25">
      <c r="E100" s="255"/>
      <c r="F100" s="255"/>
    </row>
    <row r="101" spans="5:6" x14ac:dyDescent="0.25">
      <c r="E101" s="255"/>
      <c r="F101" s="255"/>
    </row>
    <row r="102" spans="5:6" x14ac:dyDescent="0.25">
      <c r="E102" s="255"/>
      <c r="F102" s="255"/>
    </row>
    <row r="103" spans="5:6" x14ac:dyDescent="0.25">
      <c r="E103" s="255"/>
      <c r="F103" s="255"/>
    </row>
    <row r="104" spans="5:6" x14ac:dyDescent="0.25">
      <c r="E104" s="255"/>
      <c r="F104" s="255"/>
    </row>
    <row r="105" spans="5:6" x14ac:dyDescent="0.25">
      <c r="E105" s="255"/>
      <c r="F105" s="255"/>
    </row>
    <row r="106" spans="5:6" x14ac:dyDescent="0.25">
      <c r="E106" s="255"/>
      <c r="F106" s="255"/>
    </row>
    <row r="107" spans="5:6" x14ac:dyDescent="0.25">
      <c r="E107" s="255"/>
      <c r="F107" s="255"/>
    </row>
    <row r="108" spans="5:6" x14ac:dyDescent="0.25">
      <c r="E108" s="255"/>
      <c r="F108" s="255"/>
    </row>
    <row r="109" spans="5:6" x14ac:dyDescent="0.25">
      <c r="E109" s="255"/>
      <c r="F109" s="255"/>
    </row>
    <row r="110" spans="5:6" x14ac:dyDescent="0.25">
      <c r="E110" s="255"/>
      <c r="F110" s="255"/>
    </row>
    <row r="111" spans="5:6" x14ac:dyDescent="0.25">
      <c r="E111" s="255"/>
      <c r="F111" s="255"/>
    </row>
    <row r="112" spans="5:6" x14ac:dyDescent="0.25">
      <c r="E112" s="255"/>
      <c r="F112" s="255"/>
    </row>
    <row r="113" spans="5:6" x14ac:dyDescent="0.25">
      <c r="E113" s="255"/>
      <c r="F113" s="255"/>
    </row>
    <row r="114" spans="5:6" x14ac:dyDescent="0.25">
      <c r="E114" s="255"/>
      <c r="F114" s="255"/>
    </row>
    <row r="115" spans="5:6" x14ac:dyDescent="0.25">
      <c r="E115" s="255"/>
      <c r="F115" s="255"/>
    </row>
    <row r="116" spans="5:6" x14ac:dyDescent="0.25">
      <c r="E116" s="255"/>
      <c r="F116" s="255"/>
    </row>
    <row r="117" spans="5:6" x14ac:dyDescent="0.25">
      <c r="E117" s="255"/>
      <c r="F117" s="255"/>
    </row>
    <row r="118" spans="5:6" x14ac:dyDescent="0.25">
      <c r="E118" s="255"/>
      <c r="F118" s="255"/>
    </row>
    <row r="2531" spans="7:9" s="2" customFormat="1" x14ac:dyDescent="0.25">
      <c r="G2531" s="5"/>
      <c r="H2531" s="5"/>
      <c r="I2531" s="29"/>
    </row>
  </sheetData>
  <hyperlinks>
    <hyperlink ref="C4" location="TrialBalance!A1" display="LONG TERM  INTEREST LIABILITIES" xr:uid="{83C055B9-0042-4D84-8138-A2ADAF6ADF71}"/>
  </hyperlinks>
  <pageMargins left="0.75" right="0.75" top="1" bottom="1" header="0.5" footer="0.5"/>
  <pageSetup paperSize="9" scale="72" fitToHeight="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89B2FC-00E4-40AF-AD72-9BC9FC3FCA81}">
  <sheetPr>
    <pageSetUpPr fitToPage="1"/>
  </sheetPr>
  <dimension ref="A2:H29"/>
  <sheetViews>
    <sheetView zoomScale="87" zoomScaleNormal="87" workbookViewId="0">
      <selection activeCell="E3" sqref="E3"/>
    </sheetView>
  </sheetViews>
  <sheetFormatPr defaultRowHeight="15.75" x14ac:dyDescent="0.25"/>
  <cols>
    <col min="1" max="2" width="4.7109375" style="2" customWidth="1"/>
    <col min="3" max="3" width="42.5703125" style="2" bestFit="1" customWidth="1"/>
    <col min="4" max="4" width="3" style="2" customWidth="1"/>
    <col min="5" max="5" width="14.7109375" style="2" bestFit="1" customWidth="1"/>
    <col min="6" max="6" width="15.7109375" style="2" customWidth="1"/>
    <col min="7" max="8" width="17.28515625" style="5" bestFit="1" customWidth="1"/>
    <col min="9" max="16384" width="9.140625" style="148"/>
  </cols>
  <sheetData>
    <row r="2" spans="3:8" ht="52.5" customHeight="1" x14ac:dyDescent="0.25">
      <c r="C2" s="147" t="str">
        <f>Criteria!E9</f>
        <v>ABC TRUST</v>
      </c>
      <c r="D2" s="212"/>
      <c r="E2" s="212"/>
      <c r="G2" s="146" t="s">
        <v>90</v>
      </c>
      <c r="H2" s="146"/>
    </row>
    <row r="3" spans="3:8" x14ac:dyDescent="0.25">
      <c r="C3" s="3" t="s">
        <v>89</v>
      </c>
      <c r="D3" s="3"/>
      <c r="E3" s="3" t="str">
        <f>Criteria!E20</f>
        <v>29 FEBRUARY 2024</v>
      </c>
    </row>
    <row r="4" spans="3:8" ht="52.5" customHeight="1" x14ac:dyDescent="0.25">
      <c r="C4" s="186" t="s">
        <v>146</v>
      </c>
      <c r="G4" s="146" t="s">
        <v>91</v>
      </c>
      <c r="H4" s="146"/>
    </row>
    <row r="5" spans="3:8" ht="15.75" customHeight="1" x14ac:dyDescent="0.25">
      <c r="G5" s="25"/>
      <c r="H5" s="25"/>
    </row>
    <row r="6" spans="3:8" s="2" customFormat="1" x14ac:dyDescent="0.25">
      <c r="G6" s="5">
        <f>Criteria!E22</f>
        <v>2024</v>
      </c>
      <c r="H6" s="5">
        <f>Criteria!E27</f>
        <v>2023</v>
      </c>
    </row>
    <row r="8" spans="3:8" s="2" customFormat="1" x14ac:dyDescent="0.25">
      <c r="C8" s="28" t="str">
        <f>TrialBalance!C209</f>
        <v>Beneficiaries</v>
      </c>
      <c r="G8" s="142">
        <f>-TrialBalance!L209</f>
        <v>0</v>
      </c>
      <c r="H8" s="142">
        <f>-TrialBalance!N209</f>
        <v>0</v>
      </c>
    </row>
    <row r="9" spans="3:8" s="2" customFormat="1" x14ac:dyDescent="0.25">
      <c r="C9" s="28">
        <f>TrialBalance!C210</f>
        <v>0</v>
      </c>
      <c r="G9" s="142">
        <f>-TrialBalance!L210</f>
        <v>0</v>
      </c>
      <c r="H9" s="142">
        <f>-TrialBalance!N210</f>
        <v>0</v>
      </c>
    </row>
    <row r="10" spans="3:8" s="2" customFormat="1" x14ac:dyDescent="0.25">
      <c r="C10" s="28">
        <f>TrialBalance!C211</f>
        <v>0</v>
      </c>
      <c r="G10" s="142">
        <f>-TrialBalance!L211</f>
        <v>0</v>
      </c>
      <c r="H10" s="142">
        <f>-TrialBalance!N211</f>
        <v>0</v>
      </c>
    </row>
    <row r="11" spans="3:8" s="2" customFormat="1" x14ac:dyDescent="0.25">
      <c r="C11" s="28">
        <f>TrialBalance!C212</f>
        <v>0</v>
      </c>
      <c r="G11" s="142">
        <f>-TrialBalance!L212</f>
        <v>0</v>
      </c>
      <c r="H11" s="142">
        <f>-TrialBalance!N212</f>
        <v>0</v>
      </c>
    </row>
    <row r="12" spans="3:8" s="2" customFormat="1" x14ac:dyDescent="0.25">
      <c r="C12" s="28">
        <f>TrialBalance!C213</f>
        <v>0</v>
      </c>
      <c r="G12" s="142">
        <f>-TrialBalance!L213</f>
        <v>0</v>
      </c>
      <c r="H12" s="142">
        <f>-TrialBalance!N213</f>
        <v>0</v>
      </c>
    </row>
    <row r="13" spans="3:8" s="2" customFormat="1" x14ac:dyDescent="0.25">
      <c r="C13" s="28">
        <f>TrialBalance!C214</f>
        <v>0</v>
      </c>
      <c r="G13" s="142">
        <f>-TrialBalance!L214</f>
        <v>0</v>
      </c>
      <c r="H13" s="142">
        <f>-TrialBalance!N214</f>
        <v>0</v>
      </c>
    </row>
    <row r="14" spans="3:8" s="2" customFormat="1" x14ac:dyDescent="0.25">
      <c r="C14" s="28">
        <f>TrialBalance!C215</f>
        <v>0</v>
      </c>
      <c r="G14" s="142">
        <f>-TrialBalance!L215</f>
        <v>0</v>
      </c>
      <c r="H14" s="142">
        <f>-TrialBalance!N215</f>
        <v>0</v>
      </c>
    </row>
    <row r="15" spans="3:8" s="2" customFormat="1" x14ac:dyDescent="0.25">
      <c r="C15" s="28">
        <f>TrialBalance!C216</f>
        <v>0</v>
      </c>
      <c r="G15" s="142">
        <f>-TrialBalance!L216</f>
        <v>0</v>
      </c>
      <c r="H15" s="142">
        <f>-TrialBalance!N216</f>
        <v>0</v>
      </c>
    </row>
    <row r="16" spans="3:8" s="2" customFormat="1" x14ac:dyDescent="0.25">
      <c r="C16" s="28">
        <f>TrialBalance!C217</f>
        <v>0</v>
      </c>
      <c r="G16" s="142">
        <f>-TrialBalance!L217</f>
        <v>0</v>
      </c>
      <c r="H16" s="142">
        <f>-TrialBalance!N217</f>
        <v>0</v>
      </c>
    </row>
    <row r="17" spans="3:8" s="2" customFormat="1" x14ac:dyDescent="0.25">
      <c r="C17" s="28">
        <f>TrialBalance!C218</f>
        <v>0</v>
      </c>
      <c r="G17" s="142">
        <f>-TrialBalance!L218</f>
        <v>0</v>
      </c>
      <c r="H17" s="142">
        <f>-TrialBalance!N218</f>
        <v>0</v>
      </c>
    </row>
    <row r="18" spans="3:8" s="2" customFormat="1" x14ac:dyDescent="0.25">
      <c r="C18" s="28">
        <f>TrialBalance!C219</f>
        <v>0</v>
      </c>
      <c r="G18" s="142">
        <f>-TrialBalance!L219</f>
        <v>0</v>
      </c>
      <c r="H18" s="142">
        <f>-TrialBalance!N219</f>
        <v>0</v>
      </c>
    </row>
    <row r="19" spans="3:8" s="2" customFormat="1" x14ac:dyDescent="0.25">
      <c r="C19" s="28">
        <f>TrialBalance!C220</f>
        <v>0</v>
      </c>
      <c r="G19" s="142">
        <f>-TrialBalance!L220</f>
        <v>0</v>
      </c>
      <c r="H19" s="142">
        <f>-TrialBalance!N220</f>
        <v>0</v>
      </c>
    </row>
    <row r="20" spans="3:8" s="2" customFormat="1" x14ac:dyDescent="0.25">
      <c r="C20" s="28">
        <f>TrialBalance!C221</f>
        <v>0</v>
      </c>
      <c r="G20" s="142">
        <f>-TrialBalance!L221</f>
        <v>0</v>
      </c>
      <c r="H20" s="142">
        <f>-TrialBalance!N221</f>
        <v>0</v>
      </c>
    </row>
    <row r="21" spans="3:8" s="2" customFormat="1" x14ac:dyDescent="0.25">
      <c r="C21" s="28">
        <f>TrialBalance!C222</f>
        <v>0</v>
      </c>
      <c r="G21" s="142">
        <f>-TrialBalance!L222</f>
        <v>0</v>
      </c>
      <c r="H21" s="142">
        <f>-TrialBalance!N222</f>
        <v>0</v>
      </c>
    </row>
    <row r="22" spans="3:8" s="2" customFormat="1" x14ac:dyDescent="0.25">
      <c r="C22" s="28">
        <f>TrialBalance!C223</f>
        <v>0</v>
      </c>
      <c r="G22" s="142">
        <f>-TrialBalance!L223</f>
        <v>0</v>
      </c>
      <c r="H22" s="142">
        <f>-TrialBalance!N223</f>
        <v>0</v>
      </c>
    </row>
    <row r="23" spans="3:8" s="2" customFormat="1" x14ac:dyDescent="0.25">
      <c r="C23" s="28">
        <f>TrialBalance!C224</f>
        <v>0</v>
      </c>
      <c r="G23" s="142">
        <f>-TrialBalance!L224</f>
        <v>0</v>
      </c>
      <c r="H23" s="142">
        <f>-TrialBalance!N224</f>
        <v>0</v>
      </c>
    </row>
    <row r="24" spans="3:8" s="2" customFormat="1" x14ac:dyDescent="0.25">
      <c r="C24" s="28">
        <f>TrialBalance!C225</f>
        <v>0</v>
      </c>
      <c r="G24" s="142">
        <f>-TrialBalance!L225</f>
        <v>0</v>
      </c>
      <c r="H24" s="142">
        <f>-TrialBalance!N225</f>
        <v>0</v>
      </c>
    </row>
    <row r="25" spans="3:8" s="2" customFormat="1" x14ac:dyDescent="0.25">
      <c r="G25" s="142"/>
      <c r="H25" s="142"/>
    </row>
    <row r="26" spans="3:8" s="2" customFormat="1" ht="16.5" thickBot="1" x14ac:dyDescent="0.3">
      <c r="G26" s="144">
        <f>SUM(G7:G25)</f>
        <v>0</v>
      </c>
      <c r="H26" s="144">
        <f>SUM(H7:H25)</f>
        <v>0</v>
      </c>
    </row>
    <row r="27" spans="3:8" s="2" customFormat="1" ht="16.5" thickTop="1" x14ac:dyDescent="0.25">
      <c r="G27" s="142"/>
      <c r="H27" s="142"/>
    </row>
    <row r="28" spans="3:8" s="2" customFormat="1" x14ac:dyDescent="0.25">
      <c r="C28" s="1" t="s">
        <v>566</v>
      </c>
      <c r="D28" s="1"/>
      <c r="E28" s="1"/>
      <c r="F28" s="1"/>
      <c r="G28" s="7">
        <f>G26+SUM(TrialBalance!L209:L225)</f>
        <v>0</v>
      </c>
      <c r="H28" s="7">
        <f>H26+SUM(TrialBalance!N209:N225)</f>
        <v>0</v>
      </c>
    </row>
    <row r="29" spans="3:8" s="2" customFormat="1" x14ac:dyDescent="0.25">
      <c r="G29" s="142"/>
      <c r="H29" s="142"/>
    </row>
  </sheetData>
  <hyperlinks>
    <hyperlink ref="C4" location="TrialBalance!A1" display="LONG TERM INTEREST FREE LOANS" xr:uid="{F5715229-A08B-409E-B0EC-934293EEAE48}"/>
  </hyperlinks>
  <pageMargins left="0.75" right="0.75" top="1" bottom="1" header="0.5" footer="0.5"/>
  <pageSetup paperSize="9" scale="72" fitToHeight="0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EC069-9881-4646-AED7-11648B259346}">
  <sheetPr>
    <pageSetUpPr fitToPage="1"/>
  </sheetPr>
  <dimension ref="A2:J2498"/>
  <sheetViews>
    <sheetView zoomScale="87" zoomScaleNormal="87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4" sqref="C4"/>
    </sheetView>
  </sheetViews>
  <sheetFormatPr defaultRowHeight="15.75" x14ac:dyDescent="0.25"/>
  <cols>
    <col min="1" max="2" width="4.7109375" style="2" customWidth="1"/>
    <col min="3" max="3" width="42.5703125" style="2" bestFit="1" customWidth="1"/>
    <col min="4" max="4" width="3" style="2" customWidth="1"/>
    <col min="5" max="5" width="14.7109375" style="2" bestFit="1" customWidth="1"/>
    <col min="6" max="6" width="15.7109375" style="2" customWidth="1"/>
    <col min="7" max="8" width="17.28515625" style="5" bestFit="1" customWidth="1"/>
    <col min="9" max="9" width="14.7109375" style="2" bestFit="1" customWidth="1"/>
    <col min="10" max="10" width="10" style="2" bestFit="1" customWidth="1"/>
    <col min="11" max="16384" width="9.140625" style="148"/>
  </cols>
  <sheetData>
    <row r="2" spans="3:8" ht="52.5" customHeight="1" x14ac:dyDescent="0.25">
      <c r="C2" s="147" t="str">
        <f>Criteria!E9</f>
        <v>ABC TRUST</v>
      </c>
      <c r="D2" s="212"/>
      <c r="E2" s="212"/>
      <c r="G2" s="146" t="s">
        <v>90</v>
      </c>
      <c r="H2" s="146"/>
    </row>
    <row r="3" spans="3:8" x14ac:dyDescent="0.25">
      <c r="C3" s="3" t="s">
        <v>89</v>
      </c>
      <c r="D3" s="3"/>
      <c r="E3" s="3" t="str">
        <f>Criteria!E20</f>
        <v>29 FEBRUARY 2024</v>
      </c>
    </row>
    <row r="4" spans="3:8" ht="52.5" customHeight="1" x14ac:dyDescent="0.25">
      <c r="C4" s="186" t="s">
        <v>648</v>
      </c>
      <c r="G4" s="146" t="s">
        <v>91</v>
      </c>
      <c r="H4" s="146"/>
    </row>
    <row r="5" spans="3:8" ht="15.75" customHeight="1" x14ac:dyDescent="0.25">
      <c r="G5" s="25"/>
      <c r="H5" s="25"/>
    </row>
    <row r="6" spans="3:8" x14ac:dyDescent="0.25">
      <c r="G6" s="5">
        <f>Criteria!E22</f>
        <v>2024</v>
      </c>
      <c r="H6" s="5">
        <f>Criteria!E27</f>
        <v>2023</v>
      </c>
    </row>
    <row r="7" spans="3:8" x14ac:dyDescent="0.25">
      <c r="G7" s="142"/>
      <c r="H7" s="142"/>
    </row>
    <row r="8" spans="3:8" x14ac:dyDescent="0.25">
      <c r="C8" s="2" t="str">
        <f>TrialBalance!C325</f>
        <v>CONNECTED ENTITIES LOANS</v>
      </c>
      <c r="G8" s="142"/>
      <c r="H8" s="142"/>
    </row>
    <row r="9" spans="3:8" x14ac:dyDescent="0.25">
      <c r="C9" s="2" t="str">
        <f>TrialBalance!C326</f>
        <v>Interest bearing</v>
      </c>
      <c r="G9" s="142"/>
      <c r="H9" s="142"/>
    </row>
    <row r="10" spans="3:8" x14ac:dyDescent="0.25">
      <c r="C10" s="2">
        <f>TrialBalance!C327</f>
        <v>0</v>
      </c>
      <c r="G10" s="142">
        <f>TrialBalance!L327</f>
        <v>0</v>
      </c>
      <c r="H10" s="142">
        <f>TrialBalance!N327</f>
        <v>0</v>
      </c>
    </row>
    <row r="11" spans="3:8" x14ac:dyDescent="0.25">
      <c r="C11" s="2">
        <f>TrialBalance!C328</f>
        <v>0</v>
      </c>
      <c r="G11" s="142">
        <f>TrialBalance!L328</f>
        <v>0</v>
      </c>
      <c r="H11" s="142">
        <f>TrialBalance!N328</f>
        <v>0</v>
      </c>
    </row>
    <row r="12" spans="3:8" x14ac:dyDescent="0.25">
      <c r="C12" s="2">
        <f>TrialBalance!C329</f>
        <v>0</v>
      </c>
      <c r="G12" s="142">
        <f>TrialBalance!L329</f>
        <v>0</v>
      </c>
      <c r="H12" s="142">
        <f>TrialBalance!N329</f>
        <v>0</v>
      </c>
    </row>
    <row r="13" spans="3:8" x14ac:dyDescent="0.25">
      <c r="C13" s="2">
        <f>TrialBalance!C330</f>
        <v>0</v>
      </c>
      <c r="G13" s="142">
        <f>TrialBalance!L330</f>
        <v>0</v>
      </c>
      <c r="H13" s="142">
        <f>TrialBalance!N330</f>
        <v>0</v>
      </c>
    </row>
    <row r="14" spans="3:8" x14ac:dyDescent="0.25">
      <c r="C14" s="2" t="str">
        <f>TrialBalance!C331</f>
        <v>Interest free</v>
      </c>
      <c r="G14" s="142"/>
      <c r="H14" s="142"/>
    </row>
    <row r="15" spans="3:8" x14ac:dyDescent="0.25">
      <c r="C15" s="2">
        <f>TrialBalance!C332</f>
        <v>0</v>
      </c>
      <c r="G15" s="142">
        <f>TrialBalance!L332</f>
        <v>0</v>
      </c>
      <c r="H15" s="142">
        <f>TrialBalance!N332</f>
        <v>0</v>
      </c>
    </row>
    <row r="16" spans="3:8" x14ac:dyDescent="0.25">
      <c r="C16" s="2">
        <f>TrialBalance!C333</f>
        <v>0</v>
      </c>
      <c r="G16" s="142">
        <f>TrialBalance!L333</f>
        <v>0</v>
      </c>
      <c r="H16" s="142">
        <f>TrialBalance!N333</f>
        <v>0</v>
      </c>
    </row>
    <row r="17" spans="3:8" x14ac:dyDescent="0.25">
      <c r="C17" s="2">
        <f>TrialBalance!C334</f>
        <v>0</v>
      </c>
      <c r="G17" s="142">
        <f>TrialBalance!L334</f>
        <v>0</v>
      </c>
      <c r="H17" s="142">
        <f>TrialBalance!N334</f>
        <v>0</v>
      </c>
    </row>
    <row r="18" spans="3:8" x14ac:dyDescent="0.25">
      <c r="C18" s="2">
        <f>TrialBalance!C335</f>
        <v>0</v>
      </c>
      <c r="G18" s="142">
        <f>TrialBalance!L335</f>
        <v>0</v>
      </c>
      <c r="H18" s="142">
        <f>TrialBalance!N335</f>
        <v>0</v>
      </c>
    </row>
    <row r="19" spans="3:8" x14ac:dyDescent="0.25">
      <c r="C19" s="2" t="str">
        <f>TrialBalance!C336</f>
        <v>OTHER NON - CURRENT RECEIVABLES</v>
      </c>
      <c r="G19" s="142"/>
      <c r="H19" s="142"/>
    </row>
    <row r="20" spans="3:8" x14ac:dyDescent="0.25">
      <c r="C20" s="2" t="str">
        <f>TrialBalance!C337</f>
        <v>Interest bearing</v>
      </c>
      <c r="G20" s="142"/>
      <c r="H20" s="142"/>
    </row>
    <row r="21" spans="3:8" x14ac:dyDescent="0.25">
      <c r="C21" s="2">
        <f>TrialBalance!C338</f>
        <v>0</v>
      </c>
      <c r="G21" s="142">
        <f>TrialBalance!L338</f>
        <v>0</v>
      </c>
      <c r="H21" s="142">
        <f>TrialBalance!N338</f>
        <v>0</v>
      </c>
    </row>
    <row r="22" spans="3:8" x14ac:dyDescent="0.25">
      <c r="C22" s="2">
        <f>TrialBalance!C339</f>
        <v>0</v>
      </c>
      <c r="G22" s="142">
        <f>TrialBalance!L339</f>
        <v>0</v>
      </c>
      <c r="H22" s="142">
        <f>TrialBalance!N339</f>
        <v>0</v>
      </c>
    </row>
    <row r="23" spans="3:8" x14ac:dyDescent="0.25">
      <c r="C23" s="2">
        <f>TrialBalance!C340</f>
        <v>0</v>
      </c>
      <c r="G23" s="142">
        <f>TrialBalance!L340</f>
        <v>0</v>
      </c>
      <c r="H23" s="142">
        <f>TrialBalance!N340</f>
        <v>0</v>
      </c>
    </row>
    <row r="24" spans="3:8" x14ac:dyDescent="0.25">
      <c r="C24" s="2">
        <f>TrialBalance!C341</f>
        <v>0</v>
      </c>
      <c r="G24" s="142">
        <f>TrialBalance!L341</f>
        <v>0</v>
      </c>
      <c r="H24" s="142">
        <f>TrialBalance!N341</f>
        <v>0</v>
      </c>
    </row>
    <row r="25" spans="3:8" x14ac:dyDescent="0.25">
      <c r="C25" s="2" t="str">
        <f>TrialBalance!C342</f>
        <v>Interest free</v>
      </c>
      <c r="G25" s="142"/>
      <c r="H25" s="142"/>
    </row>
    <row r="26" spans="3:8" x14ac:dyDescent="0.25">
      <c r="C26" s="2">
        <f>TrialBalance!C343</f>
        <v>0</v>
      </c>
      <c r="G26" s="142">
        <f>TrialBalance!L343</f>
        <v>0</v>
      </c>
      <c r="H26" s="142">
        <f>TrialBalance!N343</f>
        <v>0</v>
      </c>
    </row>
    <row r="27" spans="3:8" x14ac:dyDescent="0.25">
      <c r="C27" s="2">
        <f>TrialBalance!C344</f>
        <v>0</v>
      </c>
      <c r="G27" s="142">
        <f>TrialBalance!L344</f>
        <v>0</v>
      </c>
      <c r="H27" s="142">
        <f>TrialBalance!N344</f>
        <v>0</v>
      </c>
    </row>
    <row r="28" spans="3:8" x14ac:dyDescent="0.25">
      <c r="C28" s="2">
        <f>TrialBalance!C345</f>
        <v>0</v>
      </c>
      <c r="G28" s="142">
        <f>TrialBalance!L345</f>
        <v>0</v>
      </c>
      <c r="H28" s="142">
        <f>TrialBalance!N345</f>
        <v>0</v>
      </c>
    </row>
    <row r="29" spans="3:8" x14ac:dyDescent="0.25">
      <c r="C29" s="2">
        <f>TrialBalance!C346</f>
        <v>0</v>
      </c>
      <c r="G29" s="142">
        <f>TrialBalance!L346</f>
        <v>0</v>
      </c>
      <c r="H29" s="142">
        <f>TrialBalance!N346</f>
        <v>0</v>
      </c>
    </row>
    <row r="30" spans="3:8" x14ac:dyDescent="0.25">
      <c r="C30" s="2">
        <f>TrialBalance!C347</f>
        <v>0</v>
      </c>
      <c r="G30" s="142">
        <f>TrialBalance!L347</f>
        <v>0</v>
      </c>
      <c r="H30" s="142">
        <f>TrialBalance!N347</f>
        <v>0</v>
      </c>
    </row>
    <row r="31" spans="3:8" s="2" customFormat="1" x14ac:dyDescent="0.25">
      <c r="G31" s="142"/>
      <c r="H31" s="142"/>
    </row>
    <row r="32" spans="3:8" s="2" customFormat="1" ht="16.5" thickBot="1" x14ac:dyDescent="0.3">
      <c r="G32" s="144">
        <f>SUM(G7:G31)</f>
        <v>0</v>
      </c>
      <c r="H32" s="144">
        <f>SUM(H7:H31)</f>
        <v>0</v>
      </c>
    </row>
    <row r="33" spans="3:8" s="2" customFormat="1" ht="16.5" thickTop="1" x14ac:dyDescent="0.25">
      <c r="G33" s="142"/>
      <c r="H33" s="142"/>
    </row>
    <row r="34" spans="3:8" x14ac:dyDescent="0.25">
      <c r="C34" s="1" t="s">
        <v>566</v>
      </c>
      <c r="G34" s="142">
        <f>G32-SUM(TrialBalance!L325:L347)</f>
        <v>0</v>
      </c>
      <c r="H34" s="142">
        <f>H32-SUM(TrialBalance!N325:N347)</f>
        <v>0</v>
      </c>
    </row>
    <row r="2498" spans="7:9" s="2" customFormat="1" x14ac:dyDescent="0.25">
      <c r="G2498" s="5"/>
      <c r="H2498" s="5"/>
      <c r="I2498" s="29"/>
    </row>
  </sheetData>
  <hyperlinks>
    <hyperlink ref="C4" location="TrialBalance!A1" display="NON CURRENT RECEIVABLES" xr:uid="{5330A241-1C70-41F4-9DBE-B09339572CC6}"/>
  </hyperlinks>
  <pageMargins left="0.75" right="0.75" top="1" bottom="1" header="0.5" footer="0.5"/>
  <pageSetup paperSize="9" scale="76" fitToHeight="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8E38C-9E84-411E-BC4F-617525A8226F}">
  <sheetPr>
    <pageSetUpPr fitToPage="1"/>
  </sheetPr>
  <dimension ref="A2:J2483"/>
  <sheetViews>
    <sheetView zoomScale="87" zoomScaleNormal="87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4" sqref="C4"/>
    </sheetView>
  </sheetViews>
  <sheetFormatPr defaultRowHeight="15.75" x14ac:dyDescent="0.25"/>
  <cols>
    <col min="1" max="2" width="4.7109375" style="2" customWidth="1"/>
    <col min="3" max="3" width="42.5703125" style="2" bestFit="1" customWidth="1"/>
    <col min="4" max="4" width="3" style="2" customWidth="1"/>
    <col min="5" max="5" width="14.7109375" style="2" bestFit="1" customWidth="1"/>
    <col min="6" max="6" width="15.7109375" style="2" customWidth="1"/>
    <col min="7" max="8" width="16" style="5" bestFit="1" customWidth="1"/>
    <col min="9" max="9" width="14.7109375" style="2" bestFit="1" customWidth="1"/>
    <col min="10" max="10" width="10" style="2" bestFit="1" customWidth="1"/>
    <col min="11" max="16384" width="9.140625" style="148"/>
  </cols>
  <sheetData>
    <row r="2" spans="3:8" ht="52.5" customHeight="1" x14ac:dyDescent="0.25">
      <c r="C2" s="147" t="str">
        <f>Criteria!E9</f>
        <v>ABC TRUST</v>
      </c>
      <c r="D2" s="212"/>
      <c r="E2" s="212"/>
      <c r="G2" s="146" t="s">
        <v>90</v>
      </c>
      <c r="H2" s="146"/>
    </row>
    <row r="3" spans="3:8" x14ac:dyDescent="0.25">
      <c r="C3" s="3" t="s">
        <v>89</v>
      </c>
      <c r="D3" s="3"/>
      <c r="E3" s="3" t="str">
        <f>Criteria!E20</f>
        <v>29 FEBRUARY 2024</v>
      </c>
    </row>
    <row r="4" spans="3:8" ht="52.5" customHeight="1" x14ac:dyDescent="0.25">
      <c r="C4" s="186" t="s">
        <v>55</v>
      </c>
      <c r="G4" s="146" t="s">
        <v>91</v>
      </c>
      <c r="H4" s="146"/>
    </row>
    <row r="5" spans="3:8" ht="15.75" customHeight="1" x14ac:dyDescent="0.25">
      <c r="G5" s="25"/>
      <c r="H5" s="25"/>
    </row>
    <row r="6" spans="3:8" x14ac:dyDescent="0.25">
      <c r="G6" s="5">
        <f>Criteria!E22</f>
        <v>2024</v>
      </c>
      <c r="H6" s="5">
        <f>Criteria!E27</f>
        <v>2023</v>
      </c>
    </row>
    <row r="7" spans="3:8" x14ac:dyDescent="0.25">
      <c r="G7" s="142"/>
      <c r="H7" s="142"/>
    </row>
    <row r="8" spans="3:8" x14ac:dyDescent="0.25">
      <c r="G8" s="142"/>
      <c r="H8" s="142"/>
    </row>
    <row r="9" spans="3:8" x14ac:dyDescent="0.25">
      <c r="G9" s="142"/>
      <c r="H9" s="142"/>
    </row>
    <row r="10" spans="3:8" x14ac:dyDescent="0.25">
      <c r="G10" s="142"/>
      <c r="H10" s="142"/>
    </row>
    <row r="11" spans="3:8" x14ac:dyDescent="0.25">
      <c r="G11" s="142"/>
      <c r="H11" s="142"/>
    </row>
    <row r="12" spans="3:8" x14ac:dyDescent="0.25">
      <c r="G12" s="142"/>
      <c r="H12" s="142"/>
    </row>
    <row r="13" spans="3:8" x14ac:dyDescent="0.25">
      <c r="G13" s="142"/>
      <c r="H13" s="142"/>
    </row>
    <row r="14" spans="3:8" x14ac:dyDescent="0.25">
      <c r="G14" s="142"/>
      <c r="H14" s="142"/>
    </row>
    <row r="15" spans="3:8" x14ac:dyDescent="0.25">
      <c r="G15" s="142"/>
      <c r="H15" s="142"/>
    </row>
    <row r="16" spans="3:8" s="2" customFormat="1" x14ac:dyDescent="0.25">
      <c r="G16" s="142"/>
      <c r="H16" s="142"/>
    </row>
    <row r="17" spans="3:8" s="2" customFormat="1" ht="16.5" thickBot="1" x14ac:dyDescent="0.3">
      <c r="G17" s="144">
        <f>SUM(G7:G16)</f>
        <v>0</v>
      </c>
      <c r="H17" s="144">
        <f>SUM(H7:H16)</f>
        <v>0</v>
      </c>
    </row>
    <row r="18" spans="3:8" s="2" customFormat="1" ht="16.5" thickTop="1" x14ac:dyDescent="0.25">
      <c r="G18" s="142"/>
      <c r="H18" s="142"/>
    </row>
    <row r="19" spans="3:8" x14ac:dyDescent="0.25">
      <c r="C19" s="1" t="s">
        <v>566</v>
      </c>
      <c r="G19" s="184">
        <f>G17-SUM(TrialBalance!L353:L356)</f>
        <v>0</v>
      </c>
      <c r="H19" s="184">
        <f>H17-SUM(TrialBalance!N353:N356)</f>
        <v>0</v>
      </c>
    </row>
    <row r="2483" spans="7:9" s="2" customFormat="1" x14ac:dyDescent="0.25">
      <c r="G2483" s="5"/>
      <c r="H2483" s="5"/>
      <c r="I2483" s="29"/>
    </row>
  </sheetData>
  <hyperlinks>
    <hyperlink ref="C4" location="TrialBalance!A1" display="INVENTORY" xr:uid="{95A80F32-56AE-4024-9DAC-C4466C8C92F0}"/>
  </hyperlinks>
  <pageMargins left="0.75" right="0.75" top="1" bottom="1" header="0.5" footer="0.5"/>
  <pageSetup paperSize="9" scale="76" fitToHeight="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F5184-191D-4EAD-99C8-53D171595BFB}">
  <sheetPr>
    <pageSetUpPr fitToPage="1"/>
  </sheetPr>
  <dimension ref="A2:J2602"/>
  <sheetViews>
    <sheetView zoomScale="87" zoomScaleNormal="87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RowHeight="15.75" x14ac:dyDescent="0.25"/>
  <cols>
    <col min="1" max="2" width="4.7109375" style="2" customWidth="1"/>
    <col min="3" max="3" width="42.5703125" style="2" bestFit="1" customWidth="1"/>
    <col min="4" max="4" width="3" style="2" customWidth="1"/>
    <col min="5" max="5" width="14.7109375" style="2" bestFit="1" customWidth="1"/>
    <col min="6" max="6" width="15.7109375" style="2" customWidth="1"/>
    <col min="7" max="8" width="16" style="5" bestFit="1" customWidth="1"/>
    <col min="9" max="9" width="14.7109375" style="2" bestFit="1" customWidth="1"/>
    <col min="10" max="10" width="10" style="2" bestFit="1" customWidth="1"/>
    <col min="11" max="16384" width="9.140625" style="148"/>
  </cols>
  <sheetData>
    <row r="2" spans="2:8" ht="52.5" customHeight="1" x14ac:dyDescent="0.25">
      <c r="C2" s="147" t="str">
        <f>Criteria!E9</f>
        <v>ABC TRUST</v>
      </c>
      <c r="D2" s="212"/>
      <c r="E2" s="212"/>
      <c r="G2" s="146" t="s">
        <v>90</v>
      </c>
      <c r="H2" s="146"/>
    </row>
    <row r="3" spans="2:8" x14ac:dyDescent="0.25">
      <c r="C3" s="3" t="s">
        <v>89</v>
      </c>
      <c r="D3" s="3"/>
      <c r="E3" s="3" t="str">
        <f>Criteria!E20</f>
        <v>29 FEBRUARY 2024</v>
      </c>
    </row>
    <row r="4" spans="2:8" ht="52.5" customHeight="1" x14ac:dyDescent="0.25">
      <c r="C4" s="186" t="s">
        <v>32</v>
      </c>
      <c r="G4" s="146" t="s">
        <v>91</v>
      </c>
      <c r="H4" s="146"/>
    </row>
    <row r="5" spans="2:8" ht="15.75" customHeight="1" x14ac:dyDescent="0.25">
      <c r="G5" s="25"/>
      <c r="H5" s="25"/>
    </row>
    <row r="6" spans="2:8" ht="15.75" customHeight="1" x14ac:dyDescent="0.25">
      <c r="G6" s="25"/>
      <c r="H6" s="25"/>
    </row>
    <row r="7" spans="2:8" x14ac:dyDescent="0.25">
      <c r="B7" s="109" t="s">
        <v>564</v>
      </c>
      <c r="C7" s="3" t="s">
        <v>562</v>
      </c>
      <c r="G7" s="25"/>
      <c r="H7" s="25"/>
    </row>
    <row r="8" spans="2:8" x14ac:dyDescent="0.25">
      <c r="C8" s="6"/>
      <c r="D8" s="6"/>
      <c r="E8" s="6"/>
      <c r="F8" s="6"/>
      <c r="G8" s="141"/>
      <c r="H8" s="141"/>
    </row>
    <row r="10" spans="2:8" x14ac:dyDescent="0.25">
      <c r="G10" s="5">
        <f>Criteria!E22</f>
        <v>2024</v>
      </c>
      <c r="H10" s="5">
        <f>Criteria!E27</f>
        <v>2023</v>
      </c>
    </row>
    <row r="11" spans="2:8" x14ac:dyDescent="0.25">
      <c r="G11" s="142"/>
      <c r="H11" s="142"/>
    </row>
    <row r="12" spans="2:8" x14ac:dyDescent="0.25">
      <c r="C12" s="28"/>
      <c r="G12" s="142"/>
      <c r="H12" s="142"/>
    </row>
    <row r="13" spans="2:8" x14ac:dyDescent="0.25">
      <c r="G13" s="142"/>
      <c r="H13" s="142"/>
    </row>
    <row r="14" spans="2:8" x14ac:dyDescent="0.25">
      <c r="G14" s="142"/>
      <c r="H14" s="142"/>
    </row>
    <row r="15" spans="2:8" x14ac:dyDescent="0.25">
      <c r="G15" s="142"/>
      <c r="H15" s="142"/>
    </row>
    <row r="16" spans="2:8" x14ac:dyDescent="0.25">
      <c r="G16" s="142"/>
      <c r="H16" s="142"/>
    </row>
    <row r="17" spans="2:8" x14ac:dyDescent="0.25">
      <c r="G17" s="142"/>
      <c r="H17" s="142"/>
    </row>
    <row r="18" spans="2:8" s="2" customFormat="1" x14ac:dyDescent="0.25">
      <c r="G18" s="142"/>
      <c r="H18" s="142"/>
    </row>
    <row r="19" spans="2:8" s="2" customFormat="1" x14ac:dyDescent="0.25">
      <c r="G19" s="142"/>
      <c r="H19" s="142"/>
    </row>
    <row r="20" spans="2:8" s="2" customFormat="1" x14ac:dyDescent="0.25">
      <c r="G20" s="142"/>
      <c r="H20" s="142"/>
    </row>
    <row r="21" spans="2:8" s="2" customFormat="1" x14ac:dyDescent="0.25">
      <c r="G21" s="143"/>
      <c r="H21" s="143"/>
    </row>
    <row r="22" spans="2:8" s="2" customFormat="1" x14ac:dyDescent="0.25">
      <c r="G22" s="142">
        <f>SUM(G11:G21)</f>
        <v>0</v>
      </c>
      <c r="H22" s="142">
        <f>SUM(H11:H21)</f>
        <v>0</v>
      </c>
    </row>
    <row r="23" spans="2:8" s="2" customFormat="1" x14ac:dyDescent="0.25">
      <c r="G23" s="142"/>
      <c r="H23" s="142"/>
    </row>
    <row r="24" spans="2:8" s="2" customFormat="1" x14ac:dyDescent="0.25">
      <c r="C24" s="2" t="s">
        <v>561</v>
      </c>
      <c r="G24" s="142">
        <f>TrialBalance!L359</f>
        <v>0</v>
      </c>
      <c r="H24" s="142">
        <f>TrialBalance!N359</f>
        <v>0</v>
      </c>
    </row>
    <row r="25" spans="2:8" s="2" customFormat="1" x14ac:dyDescent="0.25">
      <c r="G25" s="142"/>
      <c r="H25" s="142"/>
    </row>
    <row r="26" spans="2:8" s="2" customFormat="1" ht="16.5" thickBot="1" x14ac:dyDescent="0.3">
      <c r="G26" s="144">
        <f>SUM(G22:G25)</f>
        <v>0</v>
      </c>
      <c r="H26" s="144">
        <f>SUM(H22:H25)</f>
        <v>0</v>
      </c>
    </row>
    <row r="27" spans="2:8" s="2" customFormat="1" ht="16.5" thickTop="1" x14ac:dyDescent="0.25">
      <c r="G27" s="142"/>
      <c r="H27" s="142"/>
    </row>
    <row r="28" spans="2:8" s="2" customFormat="1" x14ac:dyDescent="0.25">
      <c r="C28" s="1" t="s">
        <v>566</v>
      </c>
      <c r="D28" s="1"/>
      <c r="E28" s="1"/>
      <c r="F28" s="1"/>
      <c r="G28" s="7">
        <f>SUM(TrialBalance!L358:L359)-G26</f>
        <v>0</v>
      </c>
      <c r="H28" s="7">
        <f>SUM(TrialBalance!N358:N359)-H26</f>
        <v>0</v>
      </c>
    </row>
    <row r="29" spans="2:8" s="2" customFormat="1" x14ac:dyDescent="0.25">
      <c r="G29" s="142"/>
      <c r="H29" s="142"/>
    </row>
    <row r="30" spans="2:8" s="2" customFormat="1" x14ac:dyDescent="0.25">
      <c r="G30" s="142"/>
      <c r="H30" s="142"/>
    </row>
    <row r="31" spans="2:8" s="2" customFormat="1" x14ac:dyDescent="0.25">
      <c r="G31" s="142"/>
      <c r="H31" s="142"/>
    </row>
    <row r="32" spans="2:8" s="2" customFormat="1" x14ac:dyDescent="0.25">
      <c r="B32" s="109" t="s">
        <v>565</v>
      </c>
      <c r="C32" s="3" t="s">
        <v>491</v>
      </c>
      <c r="G32" s="25"/>
      <c r="H32" s="25"/>
    </row>
    <row r="33" spans="3:8" s="2" customFormat="1" x14ac:dyDescent="0.25">
      <c r="C33" s="6"/>
      <c r="D33" s="6"/>
      <c r="E33" s="6"/>
      <c r="F33" s="6"/>
      <c r="G33" s="141"/>
      <c r="H33" s="141"/>
    </row>
    <row r="34" spans="3:8" s="2" customFormat="1" x14ac:dyDescent="0.25">
      <c r="G34" s="5"/>
      <c r="H34" s="5"/>
    </row>
    <row r="35" spans="3:8" s="2" customFormat="1" x14ac:dyDescent="0.25">
      <c r="G35" s="5">
        <f>Criteria!E22</f>
        <v>2024</v>
      </c>
      <c r="H35" s="5">
        <f>Criteria!E27</f>
        <v>2023</v>
      </c>
    </row>
    <row r="36" spans="3:8" s="2" customFormat="1" x14ac:dyDescent="0.25">
      <c r="G36" s="142"/>
      <c r="H36" s="142"/>
    </row>
    <row r="37" spans="3:8" s="2" customFormat="1" x14ac:dyDescent="0.25">
      <c r="G37" s="4"/>
      <c r="H37" s="4"/>
    </row>
    <row r="38" spans="3:8" s="2" customFormat="1" x14ac:dyDescent="0.25">
      <c r="G38" s="142"/>
      <c r="H38" s="142"/>
    </row>
    <row r="39" spans="3:8" s="2" customFormat="1" x14ac:dyDescent="0.25">
      <c r="G39" s="4"/>
      <c r="H39" s="4"/>
    </row>
    <row r="40" spans="3:8" s="2" customFormat="1" x14ac:dyDescent="0.25">
      <c r="G40" s="4"/>
      <c r="H40" s="4"/>
    </row>
    <row r="41" spans="3:8" s="2" customFormat="1" x14ac:dyDescent="0.25">
      <c r="G41" s="142"/>
      <c r="H41" s="142"/>
    </row>
    <row r="42" spans="3:8" s="2" customFormat="1" x14ac:dyDescent="0.25">
      <c r="G42" s="142"/>
      <c r="H42" s="142"/>
    </row>
    <row r="43" spans="3:8" s="2" customFormat="1" ht="16.5" thickBot="1" x14ac:dyDescent="0.3">
      <c r="G43" s="144">
        <f>SUM(G36:G42)</f>
        <v>0</v>
      </c>
      <c r="H43" s="144">
        <f>SUM(H36:H42)</f>
        <v>0</v>
      </c>
    </row>
    <row r="44" spans="3:8" s="2" customFormat="1" ht="16.5" thickTop="1" x14ac:dyDescent="0.25">
      <c r="G44" s="142"/>
      <c r="H44" s="142"/>
    </row>
    <row r="45" spans="3:8" s="2" customFormat="1" x14ac:dyDescent="0.25">
      <c r="C45" s="1" t="s">
        <v>566</v>
      </c>
      <c r="D45" s="1"/>
      <c r="E45" s="1"/>
      <c r="F45" s="1"/>
      <c r="G45" s="7">
        <f>TrialBalance!D360+TrialBalance!L360-Debtors!G43</f>
        <v>0</v>
      </c>
      <c r="H45" s="7">
        <f>TrialBalance!E360+TrialBalance!N360-Debtors!H43</f>
        <v>0</v>
      </c>
    </row>
    <row r="46" spans="3:8" s="2" customFormat="1" x14ac:dyDescent="0.25">
      <c r="G46" s="142"/>
      <c r="H46" s="142"/>
    </row>
    <row r="47" spans="3:8" s="2" customFormat="1" x14ac:dyDescent="0.25">
      <c r="G47" s="142"/>
      <c r="H47" s="142"/>
    </row>
    <row r="48" spans="3:8" s="2" customFormat="1" x14ac:dyDescent="0.25">
      <c r="G48" s="142"/>
      <c r="H48" s="142"/>
    </row>
    <row r="49" spans="2:8" s="2" customFormat="1" x14ac:dyDescent="0.25">
      <c r="B49" s="109" t="s">
        <v>567</v>
      </c>
      <c r="C49" s="3" t="s">
        <v>568</v>
      </c>
      <c r="G49" s="25"/>
      <c r="H49" s="25"/>
    </row>
    <row r="50" spans="2:8" s="2" customFormat="1" x14ac:dyDescent="0.25">
      <c r="C50" s="6"/>
      <c r="D50" s="6"/>
      <c r="E50" s="6"/>
      <c r="F50" s="6"/>
      <c r="G50" s="141"/>
      <c r="H50" s="141"/>
    </row>
    <row r="51" spans="2:8" s="2" customFormat="1" x14ac:dyDescent="0.25">
      <c r="G51" s="5"/>
      <c r="H51" s="5"/>
    </row>
    <row r="52" spans="2:8" s="2" customFormat="1" x14ac:dyDescent="0.25">
      <c r="G52" s="5">
        <f>Criteria!E22</f>
        <v>2024</v>
      </c>
      <c r="H52" s="5">
        <f>Criteria!E27</f>
        <v>2023</v>
      </c>
    </row>
    <row r="53" spans="2:8" s="2" customFormat="1" x14ac:dyDescent="0.25">
      <c r="G53" s="142"/>
      <c r="H53" s="142"/>
    </row>
    <row r="54" spans="2:8" s="2" customFormat="1" x14ac:dyDescent="0.25">
      <c r="G54" s="4"/>
      <c r="H54" s="4"/>
    </row>
    <row r="55" spans="2:8" x14ac:dyDescent="0.25">
      <c r="G55" s="142"/>
      <c r="H55" s="142"/>
    </row>
    <row r="56" spans="2:8" x14ac:dyDescent="0.25">
      <c r="G56" s="4"/>
      <c r="H56" s="4"/>
    </row>
    <row r="57" spans="2:8" x14ac:dyDescent="0.25">
      <c r="G57" s="4"/>
      <c r="H57" s="4"/>
    </row>
    <row r="58" spans="2:8" x14ac:dyDescent="0.25">
      <c r="G58" s="142"/>
      <c r="H58" s="142"/>
    </row>
    <row r="59" spans="2:8" x14ac:dyDescent="0.25">
      <c r="G59" s="142"/>
      <c r="H59" s="142"/>
    </row>
    <row r="60" spans="2:8" ht="16.5" thickBot="1" x14ac:dyDescent="0.3">
      <c r="G60" s="144">
        <f>SUM(G53:G59)</f>
        <v>0</v>
      </c>
      <c r="H60" s="144">
        <f>SUM(H53:H59)</f>
        <v>0</v>
      </c>
    </row>
    <row r="61" spans="2:8" ht="16.5" thickTop="1" x14ac:dyDescent="0.25">
      <c r="G61" s="142"/>
      <c r="H61" s="142"/>
    </row>
    <row r="62" spans="2:8" x14ac:dyDescent="0.25">
      <c r="C62" s="1" t="s">
        <v>566</v>
      </c>
      <c r="D62" s="1"/>
      <c r="E62" s="1"/>
      <c r="F62" s="1"/>
      <c r="G62" s="7">
        <f>TrialBalance!L361-Debtors!G60</f>
        <v>0</v>
      </c>
      <c r="H62" s="7">
        <f>TrialBalance!N361-Debtors!H60</f>
        <v>0</v>
      </c>
    </row>
    <row r="66" spans="2:8" x14ac:dyDescent="0.25">
      <c r="B66" s="109" t="s">
        <v>569</v>
      </c>
      <c r="C66" s="3" t="s">
        <v>495</v>
      </c>
      <c r="G66" s="25"/>
      <c r="H66" s="25"/>
    </row>
    <row r="67" spans="2:8" x14ac:dyDescent="0.25">
      <c r="C67" s="6"/>
      <c r="D67" s="6"/>
      <c r="E67" s="6"/>
      <c r="F67" s="6"/>
      <c r="G67" s="141"/>
      <c r="H67" s="141"/>
    </row>
    <row r="69" spans="2:8" x14ac:dyDescent="0.25">
      <c r="G69" s="5">
        <f>Criteria!E22</f>
        <v>2024</v>
      </c>
      <c r="H69" s="5">
        <f>Criteria!E27</f>
        <v>2023</v>
      </c>
    </row>
    <row r="70" spans="2:8" x14ac:dyDescent="0.25">
      <c r="G70" s="142"/>
      <c r="H70" s="142"/>
    </row>
    <row r="71" spans="2:8" x14ac:dyDescent="0.25">
      <c r="C71" s="28"/>
      <c r="G71" s="4"/>
      <c r="H71" s="4"/>
    </row>
    <row r="72" spans="2:8" x14ac:dyDescent="0.25">
      <c r="G72" s="4"/>
      <c r="H72" s="4"/>
    </row>
    <row r="73" spans="2:8" x14ac:dyDescent="0.25">
      <c r="G73" s="142"/>
      <c r="H73" s="142"/>
    </row>
    <row r="74" spans="2:8" ht="16.5" thickBot="1" x14ac:dyDescent="0.3">
      <c r="G74" s="144">
        <f>SUM(G70:G73)</f>
        <v>0</v>
      </c>
      <c r="H74" s="144">
        <f>SUM(H70:H73)</f>
        <v>0</v>
      </c>
    </row>
    <row r="75" spans="2:8" ht="16.5" thickTop="1" x14ac:dyDescent="0.25">
      <c r="G75" s="142"/>
      <c r="H75" s="142"/>
    </row>
    <row r="76" spans="2:8" x14ac:dyDescent="0.25">
      <c r="C76" s="1" t="s">
        <v>566</v>
      </c>
      <c r="D76" s="1"/>
      <c r="E76" s="1"/>
      <c r="F76" s="1"/>
      <c r="G76" s="7">
        <f>TrialBalance!L362-Debtors!G74</f>
        <v>0</v>
      </c>
      <c r="H76" s="7">
        <f>TrialBalance!N362-Debtors!H74</f>
        <v>0</v>
      </c>
    </row>
    <row r="80" spans="2:8" x14ac:dyDescent="0.25">
      <c r="B80" s="109" t="s">
        <v>570</v>
      </c>
      <c r="C80" s="3" t="s">
        <v>504</v>
      </c>
      <c r="G80" s="25"/>
      <c r="H80" s="25"/>
    </row>
    <row r="81" spans="3:8" x14ac:dyDescent="0.25">
      <c r="C81" s="6"/>
      <c r="D81" s="6"/>
      <c r="E81" s="6"/>
      <c r="F81" s="6"/>
      <c r="G81" s="141"/>
      <c r="H81" s="141"/>
    </row>
    <row r="83" spans="3:8" x14ac:dyDescent="0.25">
      <c r="G83" s="5">
        <f>Criteria!E22</f>
        <v>2024</v>
      </c>
      <c r="H83" s="5">
        <f>Criteria!E27</f>
        <v>2023</v>
      </c>
    </row>
    <row r="84" spans="3:8" x14ac:dyDescent="0.25">
      <c r="G84" s="142"/>
      <c r="H84" s="142"/>
    </row>
    <row r="85" spans="3:8" x14ac:dyDescent="0.25">
      <c r="C85" s="28"/>
      <c r="G85" s="4"/>
      <c r="H85" s="4"/>
    </row>
    <row r="86" spans="3:8" x14ac:dyDescent="0.25">
      <c r="G86" s="4"/>
      <c r="H86" s="4"/>
    </row>
    <row r="87" spans="3:8" x14ac:dyDescent="0.25">
      <c r="C87" s="28"/>
      <c r="G87" s="4"/>
      <c r="H87" s="4"/>
    </row>
    <row r="88" spans="3:8" x14ac:dyDescent="0.25">
      <c r="C88" s="149"/>
      <c r="G88" s="4"/>
      <c r="H88" s="4"/>
    </row>
    <row r="89" spans="3:8" x14ac:dyDescent="0.25">
      <c r="G89" s="4"/>
      <c r="H89" s="4"/>
    </row>
    <row r="90" spans="3:8" x14ac:dyDescent="0.25">
      <c r="G90" s="142"/>
      <c r="H90" s="142"/>
    </row>
    <row r="91" spans="3:8" ht="16.5" thickBot="1" x14ac:dyDescent="0.3">
      <c r="G91" s="144">
        <f>SUM(G84:G90)</f>
        <v>0</v>
      </c>
      <c r="H91" s="144">
        <f>SUM(H84:H90)</f>
        <v>0</v>
      </c>
    </row>
    <row r="92" spans="3:8" ht="16.5" thickTop="1" x14ac:dyDescent="0.25">
      <c r="G92" s="142"/>
      <c r="H92" s="142"/>
    </row>
    <row r="93" spans="3:8" x14ac:dyDescent="0.25">
      <c r="C93" s="1" t="s">
        <v>566</v>
      </c>
      <c r="D93" s="1"/>
      <c r="E93" s="1"/>
      <c r="F93" s="1"/>
      <c r="G93" s="7">
        <f>G91-TrialBalance!L363</f>
        <v>0</v>
      </c>
      <c r="H93" s="7">
        <f>H91-TrialBalance!N363</f>
        <v>0</v>
      </c>
    </row>
    <row r="2602" spans="7:9" s="2" customFormat="1" x14ac:dyDescent="0.25">
      <c r="G2602" s="5"/>
      <c r="H2602" s="5"/>
      <c r="I2602" s="29"/>
    </row>
  </sheetData>
  <hyperlinks>
    <hyperlink ref="C4" location="TrialBalance!A1" display="DEBTORS" xr:uid="{F8E76A99-6AE1-4F45-95CA-275BE4FCB13C}"/>
  </hyperlinks>
  <pageMargins left="0.75" right="0.75" top="1" bottom="1" header="0.5" footer="0.5"/>
  <pageSetup paperSize="9" scale="76" fitToHeight="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B32F7-132D-42C2-9234-9241844E861E}">
  <sheetPr>
    <pageSetUpPr fitToPage="1"/>
  </sheetPr>
  <dimension ref="A2:J2540"/>
  <sheetViews>
    <sheetView zoomScale="87" zoomScaleNormal="87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4" sqref="C4"/>
    </sheetView>
  </sheetViews>
  <sheetFormatPr defaultRowHeight="15.75" x14ac:dyDescent="0.25"/>
  <cols>
    <col min="1" max="2" width="4.7109375" style="2" customWidth="1"/>
    <col min="3" max="3" width="42.5703125" style="2" bestFit="1" customWidth="1"/>
    <col min="4" max="4" width="3" style="2" customWidth="1"/>
    <col min="5" max="5" width="14.7109375" style="2" bestFit="1" customWidth="1"/>
    <col min="6" max="6" width="15.7109375" style="2" customWidth="1"/>
    <col min="7" max="8" width="16" style="5" bestFit="1" customWidth="1"/>
    <col min="9" max="9" width="14.7109375" style="2" bestFit="1" customWidth="1"/>
    <col min="10" max="10" width="10" style="2" bestFit="1" customWidth="1"/>
    <col min="11" max="16384" width="9.140625" style="148"/>
  </cols>
  <sheetData>
    <row r="2" spans="2:8" ht="52.5" customHeight="1" x14ac:dyDescent="0.25">
      <c r="C2" s="147" t="str">
        <f>Criteria!E9</f>
        <v>ABC TRUST</v>
      </c>
      <c r="D2" s="212"/>
      <c r="E2" s="212"/>
      <c r="G2" s="146" t="s">
        <v>90</v>
      </c>
      <c r="H2" s="146"/>
    </row>
    <row r="3" spans="2:8" x14ac:dyDescent="0.25">
      <c r="C3" s="3" t="s">
        <v>89</v>
      </c>
      <c r="D3" s="3"/>
      <c r="E3" s="3" t="str">
        <f>Criteria!E20</f>
        <v>29 FEBRUARY 2024</v>
      </c>
    </row>
    <row r="4" spans="2:8" ht="52.5" customHeight="1" x14ac:dyDescent="0.25">
      <c r="C4" s="188" t="s">
        <v>571</v>
      </c>
      <c r="G4" s="146" t="s">
        <v>91</v>
      </c>
      <c r="H4" s="146"/>
    </row>
    <row r="5" spans="2:8" ht="15.75" customHeight="1" x14ac:dyDescent="0.25">
      <c r="G5" s="25"/>
      <c r="H5" s="25"/>
    </row>
    <row r="6" spans="2:8" ht="15.75" customHeight="1" x14ac:dyDescent="0.25">
      <c r="G6" s="25"/>
      <c r="H6" s="25"/>
    </row>
    <row r="7" spans="2:8" x14ac:dyDescent="0.25">
      <c r="B7" s="109" t="s">
        <v>564</v>
      </c>
      <c r="C7" s="3" t="s">
        <v>505</v>
      </c>
      <c r="G7" s="25"/>
      <c r="H7" s="25"/>
    </row>
    <row r="8" spans="2:8" x14ac:dyDescent="0.25">
      <c r="C8" s="6"/>
      <c r="D8" s="6"/>
      <c r="E8" s="6"/>
      <c r="F8" s="6"/>
      <c r="G8" s="141"/>
      <c r="H8" s="141"/>
    </row>
    <row r="10" spans="2:8" x14ac:dyDescent="0.25">
      <c r="G10" s="5">
        <f>Criteria!E22</f>
        <v>2024</v>
      </c>
      <c r="H10" s="5">
        <f>Criteria!E27</f>
        <v>2023</v>
      </c>
    </row>
    <row r="11" spans="2:8" x14ac:dyDescent="0.25">
      <c r="G11" s="142"/>
      <c r="H11" s="142"/>
    </row>
    <row r="12" spans="2:8" x14ac:dyDescent="0.25">
      <c r="C12" s="28">
        <f>TrialBalance!C365</f>
        <v>0</v>
      </c>
      <c r="G12" s="142">
        <f>TrialBalance!L365</f>
        <v>0</v>
      </c>
      <c r="H12" s="142">
        <f>TrialBalance!N365</f>
        <v>0</v>
      </c>
    </row>
    <row r="13" spans="2:8" x14ac:dyDescent="0.25">
      <c r="C13" s="28">
        <f>TrialBalance!C366</f>
        <v>0</v>
      </c>
      <c r="G13" s="142">
        <f>TrialBalance!L366</f>
        <v>0</v>
      </c>
      <c r="H13" s="142">
        <f>TrialBalance!N366</f>
        <v>0</v>
      </c>
    </row>
    <row r="14" spans="2:8" x14ac:dyDescent="0.25">
      <c r="C14" s="28">
        <f>TrialBalance!C367</f>
        <v>0</v>
      </c>
      <c r="G14" s="142">
        <f>TrialBalance!L367</f>
        <v>0</v>
      </c>
      <c r="H14" s="142">
        <f>TrialBalance!N367</f>
        <v>0</v>
      </c>
    </row>
    <row r="15" spans="2:8" x14ac:dyDescent="0.25">
      <c r="C15" s="28">
        <f>TrialBalance!C368</f>
        <v>0</v>
      </c>
      <c r="G15" s="142">
        <f>TrialBalance!L368</f>
        <v>0</v>
      </c>
      <c r="H15" s="142">
        <f>TrialBalance!N368</f>
        <v>0</v>
      </c>
    </row>
    <row r="16" spans="2:8" x14ac:dyDescent="0.25">
      <c r="C16" s="28">
        <f>TrialBalance!C369</f>
        <v>0</v>
      </c>
      <c r="G16" s="142">
        <f>TrialBalance!L369</f>
        <v>0</v>
      </c>
      <c r="H16" s="142">
        <f>TrialBalance!N369</f>
        <v>0</v>
      </c>
    </row>
    <row r="17" spans="2:8" x14ac:dyDescent="0.25">
      <c r="C17" s="28">
        <f>TrialBalance!C370</f>
        <v>0</v>
      </c>
      <c r="G17" s="142">
        <f>TrialBalance!L370</f>
        <v>0</v>
      </c>
      <c r="H17" s="142">
        <f>TrialBalance!N370</f>
        <v>0</v>
      </c>
    </row>
    <row r="18" spans="2:8" s="2" customFormat="1" x14ac:dyDescent="0.25">
      <c r="G18" s="142"/>
      <c r="H18" s="142"/>
    </row>
    <row r="19" spans="2:8" s="2" customFormat="1" ht="16.5" thickBot="1" x14ac:dyDescent="0.3">
      <c r="G19" s="144">
        <f>SUM(G11:G18)</f>
        <v>0</v>
      </c>
      <c r="H19" s="144">
        <f>SUM(H11:H18)</f>
        <v>0</v>
      </c>
    </row>
    <row r="20" spans="2:8" s="2" customFormat="1" ht="16.5" thickTop="1" x14ac:dyDescent="0.25">
      <c r="G20" s="142"/>
      <c r="H20" s="142"/>
    </row>
    <row r="21" spans="2:8" s="2" customFormat="1" x14ac:dyDescent="0.25">
      <c r="C21" s="1" t="s">
        <v>566</v>
      </c>
      <c r="D21" s="1"/>
      <c r="E21" s="1"/>
      <c r="F21" s="1"/>
      <c r="G21" s="7">
        <f>SUM(TrialBalance!L365:L370)-G19</f>
        <v>0</v>
      </c>
      <c r="H21" s="7">
        <f>SUM(TrialBalance!N365:N370)-H19</f>
        <v>0</v>
      </c>
    </row>
    <row r="22" spans="2:8" s="2" customFormat="1" x14ac:dyDescent="0.25">
      <c r="G22" s="142"/>
      <c r="H22" s="142"/>
    </row>
    <row r="23" spans="2:8" s="2" customFormat="1" x14ac:dyDescent="0.25">
      <c r="G23" s="142"/>
      <c r="H23" s="142"/>
    </row>
    <row r="24" spans="2:8" s="2" customFormat="1" x14ac:dyDescent="0.25">
      <c r="G24" s="142"/>
      <c r="H24" s="142"/>
    </row>
    <row r="25" spans="2:8" s="2" customFormat="1" x14ac:dyDescent="0.25">
      <c r="B25" s="109" t="s">
        <v>565</v>
      </c>
      <c r="C25" s="3" t="s">
        <v>511</v>
      </c>
      <c r="G25" s="25"/>
      <c r="H25" s="25"/>
    </row>
    <row r="26" spans="2:8" s="2" customFormat="1" x14ac:dyDescent="0.25">
      <c r="C26" s="6"/>
      <c r="D26" s="6"/>
      <c r="E26" s="6"/>
      <c r="F26" s="6"/>
      <c r="G26" s="141"/>
      <c r="H26" s="141"/>
    </row>
    <row r="27" spans="2:8" s="2" customFormat="1" x14ac:dyDescent="0.25">
      <c r="G27" s="5"/>
      <c r="H27" s="5"/>
    </row>
    <row r="28" spans="2:8" s="2" customFormat="1" x14ac:dyDescent="0.25">
      <c r="G28" s="5">
        <f>Criteria!E22</f>
        <v>2024</v>
      </c>
      <c r="H28" s="5">
        <f>Criteria!E27</f>
        <v>2023</v>
      </c>
    </row>
    <row r="29" spans="2:8" s="2" customFormat="1" x14ac:dyDescent="0.25">
      <c r="G29" s="142"/>
      <c r="H29" s="142"/>
    </row>
    <row r="30" spans="2:8" s="2" customFormat="1" x14ac:dyDescent="0.25">
      <c r="C30" s="28"/>
      <c r="G30" s="4"/>
      <c r="H30" s="4"/>
    </row>
    <row r="31" spans="2:8" s="2" customFormat="1" x14ac:dyDescent="0.25">
      <c r="C31" s="28"/>
      <c r="G31" s="142"/>
      <c r="H31" s="142"/>
    </row>
    <row r="32" spans="2:8" s="2" customFormat="1" x14ac:dyDescent="0.25">
      <c r="C32" s="28"/>
      <c r="G32" s="142"/>
      <c r="H32" s="142"/>
    </row>
    <row r="33" spans="3:8" s="2" customFormat="1" x14ac:dyDescent="0.25">
      <c r="C33" s="28"/>
      <c r="G33" s="142"/>
      <c r="H33" s="142"/>
    </row>
    <row r="34" spans="3:8" s="2" customFormat="1" x14ac:dyDescent="0.25">
      <c r="C34" s="28"/>
      <c r="G34" s="142"/>
      <c r="H34" s="142"/>
    </row>
    <row r="35" spans="3:8" s="2" customFormat="1" x14ac:dyDescent="0.25">
      <c r="C35" s="28"/>
      <c r="G35" s="142"/>
      <c r="H35" s="142"/>
    </row>
    <row r="36" spans="3:8" s="2" customFormat="1" x14ac:dyDescent="0.25">
      <c r="G36" s="142"/>
      <c r="H36" s="142"/>
    </row>
    <row r="37" spans="3:8" s="2" customFormat="1" ht="16.5" thickBot="1" x14ac:dyDescent="0.3">
      <c r="G37" s="144">
        <f>SUM(G29:G36)</f>
        <v>0</v>
      </c>
      <c r="H37" s="144">
        <f>SUM(H29:H36)</f>
        <v>0</v>
      </c>
    </row>
    <row r="38" spans="3:8" s="2" customFormat="1" ht="16.5" thickTop="1" x14ac:dyDescent="0.25">
      <c r="G38" s="142"/>
      <c r="H38" s="142"/>
    </row>
    <row r="39" spans="3:8" s="2" customFormat="1" x14ac:dyDescent="0.25">
      <c r="C39" s="1" t="s">
        <v>566</v>
      </c>
      <c r="D39" s="1"/>
      <c r="E39" s="1"/>
      <c r="F39" s="1"/>
      <c r="G39" s="7">
        <f>G37-TrialBalance!L371</f>
        <v>0</v>
      </c>
      <c r="H39" s="7">
        <f>H37-TrialBalance!N371</f>
        <v>0</v>
      </c>
    </row>
    <row r="40" spans="3:8" s="2" customFormat="1" x14ac:dyDescent="0.25">
      <c r="G40" s="5"/>
      <c r="H40" s="5"/>
    </row>
    <row r="41" spans="3:8" s="2" customFormat="1" x14ac:dyDescent="0.25">
      <c r="G41" s="142"/>
      <c r="H41" s="142"/>
    </row>
    <row r="42" spans="3:8" s="2" customFormat="1" x14ac:dyDescent="0.25">
      <c r="G42" s="142"/>
      <c r="H42" s="142"/>
    </row>
    <row r="2540" spans="7:9" s="2" customFormat="1" x14ac:dyDescent="0.25">
      <c r="G2540" s="5"/>
      <c r="H2540" s="5"/>
      <c r="I2540" s="29"/>
    </row>
  </sheetData>
  <hyperlinks>
    <hyperlink ref="C4" location="TrialBalance!A1" display="BANK AND CASH" xr:uid="{35ACDB94-2A26-4C55-9F40-0F8BF1355106}"/>
  </hyperlinks>
  <pageMargins left="0.75" right="0.75" top="1" bottom="1" header="0.5" footer="0.5"/>
  <pageSetup paperSize="9" scale="74" fitToHeight="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9AF2F-FC1D-47B0-9D38-21C2905CA49A}">
  <sheetPr>
    <pageSetUpPr fitToPage="1"/>
  </sheetPr>
  <dimension ref="A2:J2600"/>
  <sheetViews>
    <sheetView zoomScale="87" zoomScaleNormal="87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4" sqref="C4"/>
    </sheetView>
  </sheetViews>
  <sheetFormatPr defaultRowHeight="15.75" x14ac:dyDescent="0.25"/>
  <cols>
    <col min="1" max="2" width="4.7109375" style="2" customWidth="1"/>
    <col min="3" max="3" width="42.5703125" style="2" bestFit="1" customWidth="1"/>
    <col min="4" max="4" width="3" style="2" customWidth="1"/>
    <col min="5" max="5" width="14.7109375" style="2" bestFit="1" customWidth="1"/>
    <col min="6" max="6" width="15.7109375" style="2" customWidth="1"/>
    <col min="7" max="8" width="16" style="5" bestFit="1" customWidth="1"/>
    <col min="9" max="10" width="16" style="2" bestFit="1" customWidth="1"/>
    <col min="11" max="16384" width="9.140625" style="148"/>
  </cols>
  <sheetData>
    <row r="2" spans="2:8" ht="52.5" customHeight="1" x14ac:dyDescent="0.25">
      <c r="C2" s="147" t="str">
        <f>Criteria!E9</f>
        <v>ABC TRUST</v>
      </c>
      <c r="D2" s="212"/>
      <c r="E2" s="212"/>
      <c r="G2" s="146" t="s">
        <v>90</v>
      </c>
      <c r="H2" s="146"/>
    </row>
    <row r="3" spans="2:8" x14ac:dyDescent="0.25">
      <c r="C3" s="3" t="s">
        <v>89</v>
      </c>
      <c r="D3" s="3"/>
      <c r="E3" s="3" t="str">
        <f>Criteria!E20</f>
        <v>29 FEBRUARY 2024</v>
      </c>
    </row>
    <row r="4" spans="2:8" ht="52.5" customHeight="1" x14ac:dyDescent="0.25">
      <c r="C4" s="186" t="s">
        <v>438</v>
      </c>
      <c r="G4" s="146" t="s">
        <v>91</v>
      </c>
      <c r="H4" s="146"/>
    </row>
    <row r="5" spans="2:8" ht="15.75" customHeight="1" x14ac:dyDescent="0.25">
      <c r="G5" s="25"/>
      <c r="H5" s="25"/>
    </row>
    <row r="6" spans="2:8" ht="15.75" customHeight="1" x14ac:dyDescent="0.25">
      <c r="G6" s="25"/>
      <c r="H6" s="25"/>
    </row>
    <row r="7" spans="2:8" x14ac:dyDescent="0.25">
      <c r="B7" s="109" t="s">
        <v>564</v>
      </c>
      <c r="C7" s="3" t="s">
        <v>572</v>
      </c>
      <c r="G7" s="25"/>
      <c r="H7" s="25"/>
    </row>
    <row r="8" spans="2:8" x14ac:dyDescent="0.25">
      <c r="C8" s="6"/>
      <c r="D8" s="6"/>
      <c r="E8" s="6"/>
      <c r="F8" s="6"/>
      <c r="G8" s="141"/>
      <c r="H8" s="141"/>
    </row>
    <row r="10" spans="2:8" x14ac:dyDescent="0.25">
      <c r="G10" s="5">
        <f>Criteria!E22</f>
        <v>2024</v>
      </c>
      <c r="H10" s="5">
        <f>Criteria!E27</f>
        <v>2023</v>
      </c>
    </row>
    <row r="11" spans="2:8" x14ac:dyDescent="0.25">
      <c r="G11" s="142"/>
      <c r="H11" s="142"/>
    </row>
    <row r="12" spans="2:8" x14ac:dyDescent="0.25">
      <c r="C12" s="28"/>
      <c r="G12" s="142"/>
      <c r="H12" s="142"/>
    </row>
    <row r="13" spans="2:8" s="2" customFormat="1" x14ac:dyDescent="0.25">
      <c r="G13" s="142"/>
      <c r="H13" s="142"/>
    </row>
    <row r="14" spans="2:8" s="2" customFormat="1" x14ac:dyDescent="0.25">
      <c r="G14" s="142"/>
      <c r="H14" s="142"/>
    </row>
    <row r="15" spans="2:8" s="2" customFormat="1" x14ac:dyDescent="0.25">
      <c r="G15" s="142"/>
      <c r="H15" s="142"/>
    </row>
    <row r="16" spans="2:8" s="2" customFormat="1" x14ac:dyDescent="0.25">
      <c r="G16" s="142"/>
      <c r="H16" s="142"/>
    </row>
    <row r="17" spans="2:8" s="2" customFormat="1" x14ac:dyDescent="0.25">
      <c r="G17" s="142"/>
      <c r="H17" s="142"/>
    </row>
    <row r="18" spans="2:8" s="2" customFormat="1" ht="16.5" thickBot="1" x14ac:dyDescent="0.3">
      <c r="G18" s="144">
        <f>SUM(G11:G17)</f>
        <v>0</v>
      </c>
      <c r="H18" s="144">
        <f>SUM(H11:H17)</f>
        <v>0</v>
      </c>
    </row>
    <row r="19" spans="2:8" s="2" customFormat="1" ht="16.5" thickTop="1" x14ac:dyDescent="0.25">
      <c r="G19" s="142"/>
      <c r="H19" s="142"/>
    </row>
    <row r="20" spans="2:8" s="2" customFormat="1" x14ac:dyDescent="0.25">
      <c r="C20" s="1" t="s">
        <v>566</v>
      </c>
      <c r="D20" s="1"/>
      <c r="E20" s="1"/>
      <c r="F20" s="1"/>
      <c r="G20" s="7">
        <f>G18+TrialBalance!L378</f>
        <v>0</v>
      </c>
      <c r="H20" s="7">
        <f>H18+TrialBalance!N378</f>
        <v>0</v>
      </c>
    </row>
    <row r="21" spans="2:8" s="2" customFormat="1" x14ac:dyDescent="0.25">
      <c r="G21" s="142"/>
      <c r="H21" s="142"/>
    </row>
    <row r="22" spans="2:8" s="2" customFormat="1" x14ac:dyDescent="0.25">
      <c r="G22" s="142"/>
      <c r="H22" s="142"/>
    </row>
    <row r="23" spans="2:8" s="2" customFormat="1" x14ac:dyDescent="0.25">
      <c r="G23" s="142"/>
      <c r="H23" s="142"/>
    </row>
    <row r="24" spans="2:8" s="2" customFormat="1" x14ac:dyDescent="0.25">
      <c r="B24" s="109" t="s">
        <v>565</v>
      </c>
      <c r="C24" s="3" t="s">
        <v>550</v>
      </c>
      <c r="G24" s="25"/>
      <c r="H24" s="25"/>
    </row>
    <row r="25" spans="2:8" s="2" customFormat="1" x14ac:dyDescent="0.25">
      <c r="C25" s="6"/>
      <c r="D25" s="6"/>
      <c r="E25" s="6"/>
      <c r="F25" s="6"/>
      <c r="G25" s="141"/>
      <c r="H25" s="141"/>
    </row>
    <row r="26" spans="2:8" s="2" customFormat="1" x14ac:dyDescent="0.25">
      <c r="G26" s="5"/>
      <c r="H26" s="5"/>
    </row>
    <row r="27" spans="2:8" s="2" customFormat="1" x14ac:dyDescent="0.25">
      <c r="G27" s="5">
        <f>Criteria!E22</f>
        <v>2024</v>
      </c>
      <c r="H27" s="5">
        <f>Criteria!E27</f>
        <v>2023</v>
      </c>
    </row>
    <row r="28" spans="2:8" s="2" customFormat="1" x14ac:dyDescent="0.25">
      <c r="G28" s="142"/>
      <c r="H28" s="142"/>
    </row>
    <row r="29" spans="2:8" s="2" customFormat="1" x14ac:dyDescent="0.25">
      <c r="G29" s="4"/>
      <c r="H29" s="4"/>
    </row>
    <row r="30" spans="2:8" s="2" customFormat="1" x14ac:dyDescent="0.25">
      <c r="G30" s="4"/>
      <c r="H30" s="142"/>
    </row>
    <row r="31" spans="2:8" s="2" customFormat="1" x14ac:dyDescent="0.25">
      <c r="G31" s="4"/>
      <c r="H31" s="4"/>
    </row>
    <row r="32" spans="2:8" s="2" customFormat="1" x14ac:dyDescent="0.25">
      <c r="G32" s="4"/>
      <c r="H32" s="4"/>
    </row>
    <row r="33" spans="2:8" s="2" customFormat="1" x14ac:dyDescent="0.25">
      <c r="G33" s="142"/>
      <c r="H33" s="142"/>
    </row>
    <row r="34" spans="2:8" s="2" customFormat="1" x14ac:dyDescent="0.25">
      <c r="G34" s="142"/>
      <c r="H34" s="142"/>
    </row>
    <row r="35" spans="2:8" s="2" customFormat="1" ht="16.5" thickBot="1" x14ac:dyDescent="0.3">
      <c r="G35" s="144">
        <f>SUM(G28:G34)</f>
        <v>0</v>
      </c>
      <c r="H35" s="144">
        <f>SUM(H28:H34)</f>
        <v>0</v>
      </c>
    </row>
    <row r="36" spans="2:8" s="2" customFormat="1" ht="16.5" thickTop="1" x14ac:dyDescent="0.25">
      <c r="G36" s="142"/>
      <c r="H36" s="142"/>
    </row>
    <row r="37" spans="2:8" s="2" customFormat="1" x14ac:dyDescent="0.25">
      <c r="C37" s="1" t="s">
        <v>566</v>
      </c>
      <c r="D37" s="1"/>
      <c r="E37" s="1"/>
      <c r="F37" s="1"/>
      <c r="G37" s="7">
        <f>G35+TrialBalance!L379</f>
        <v>0</v>
      </c>
      <c r="H37" s="7">
        <f>H35+TrialBalance!N379</f>
        <v>0</v>
      </c>
    </row>
    <row r="38" spans="2:8" s="2" customFormat="1" x14ac:dyDescent="0.25">
      <c r="G38" s="142"/>
      <c r="H38" s="142"/>
    </row>
    <row r="39" spans="2:8" s="2" customFormat="1" x14ac:dyDescent="0.25">
      <c r="G39" s="142"/>
      <c r="H39" s="142"/>
    </row>
    <row r="40" spans="2:8" s="2" customFormat="1" x14ac:dyDescent="0.25">
      <c r="G40" s="142"/>
      <c r="H40" s="142"/>
    </row>
    <row r="41" spans="2:8" s="2" customFormat="1" x14ac:dyDescent="0.25">
      <c r="B41" s="109" t="s">
        <v>567</v>
      </c>
      <c r="C41" s="3" t="s">
        <v>890</v>
      </c>
      <c r="G41" s="25"/>
      <c r="H41" s="25"/>
    </row>
    <row r="42" spans="2:8" s="2" customFormat="1" x14ac:dyDescent="0.25">
      <c r="C42" s="6"/>
      <c r="D42" s="6"/>
      <c r="E42" s="6"/>
      <c r="F42" s="6"/>
      <c r="G42" s="141"/>
      <c r="H42" s="141"/>
    </row>
    <row r="43" spans="2:8" s="2" customFormat="1" x14ac:dyDescent="0.25">
      <c r="G43" s="5"/>
      <c r="H43" s="5"/>
    </row>
    <row r="44" spans="2:8" s="2" customFormat="1" x14ac:dyDescent="0.25">
      <c r="G44" s="5">
        <f>Criteria!E22</f>
        <v>2024</v>
      </c>
      <c r="H44" s="5">
        <f>Criteria!E27</f>
        <v>2023</v>
      </c>
    </row>
    <row r="45" spans="2:8" s="2" customFormat="1" x14ac:dyDescent="0.25">
      <c r="G45" s="142"/>
      <c r="H45" s="142"/>
    </row>
    <row r="46" spans="2:8" s="2" customFormat="1" x14ac:dyDescent="0.25">
      <c r="G46" s="4"/>
      <c r="H46" s="4"/>
    </row>
    <row r="47" spans="2:8" x14ac:dyDescent="0.25">
      <c r="G47" s="142"/>
      <c r="H47" s="142"/>
    </row>
    <row r="48" spans="2:8" x14ac:dyDescent="0.25">
      <c r="G48" s="4"/>
      <c r="H48" s="4"/>
    </row>
    <row r="49" spans="2:10" x14ac:dyDescent="0.25">
      <c r="G49" s="4"/>
      <c r="H49" s="4"/>
    </row>
    <row r="50" spans="2:10" x14ac:dyDescent="0.25">
      <c r="G50" s="142"/>
      <c r="H50" s="142"/>
    </row>
    <row r="51" spans="2:10" x14ac:dyDescent="0.25">
      <c r="G51" s="142"/>
      <c r="H51" s="142"/>
    </row>
    <row r="52" spans="2:10" ht="16.5" thickBot="1" x14ac:dyDescent="0.3">
      <c r="G52" s="144">
        <f>SUM(G45:G51)</f>
        <v>0</v>
      </c>
      <c r="H52" s="144">
        <f>SUM(H45:H51)</f>
        <v>0</v>
      </c>
    </row>
    <row r="53" spans="2:10" ht="16.5" thickTop="1" x14ac:dyDescent="0.25">
      <c r="G53" s="142"/>
      <c r="H53" s="142"/>
    </row>
    <row r="54" spans="2:10" x14ac:dyDescent="0.25">
      <c r="C54" s="1" t="s">
        <v>566</v>
      </c>
      <c r="D54" s="1"/>
      <c r="E54" s="1"/>
      <c r="F54" s="1"/>
      <c r="G54" s="7">
        <f>G52+TrialBalance!L380</f>
        <v>0</v>
      </c>
      <c r="H54" s="7">
        <f>H52+TrialBalance!N380</f>
        <v>0</v>
      </c>
    </row>
    <row r="58" spans="2:10" x14ac:dyDescent="0.25">
      <c r="B58" s="109" t="s">
        <v>569</v>
      </c>
      <c r="C58" s="3" t="s">
        <v>551</v>
      </c>
      <c r="G58" s="25"/>
      <c r="H58" s="25"/>
    </row>
    <row r="59" spans="2:10" x14ac:dyDescent="0.25">
      <c r="C59" s="6"/>
      <c r="D59" s="6"/>
      <c r="E59" s="6"/>
      <c r="F59" s="6"/>
      <c r="G59" s="141"/>
      <c r="H59" s="141"/>
    </row>
    <row r="61" spans="2:10" x14ac:dyDescent="0.25">
      <c r="G61" s="5">
        <f>Criteria!E22</f>
        <v>2024</v>
      </c>
      <c r="H61" s="5">
        <f>Criteria!E27</f>
        <v>2023</v>
      </c>
    </row>
    <row r="63" spans="2:10" x14ac:dyDescent="0.25">
      <c r="G63" s="4"/>
      <c r="H63" s="4"/>
      <c r="I63" s="4"/>
    </row>
    <row r="64" spans="2:10" x14ac:dyDescent="0.25">
      <c r="G64" s="4"/>
      <c r="H64" s="4"/>
      <c r="I64" s="4"/>
      <c r="J64" s="15"/>
    </row>
    <row r="65" spans="2:9" x14ac:dyDescent="0.25">
      <c r="G65" s="4"/>
      <c r="H65" s="4"/>
      <c r="I65" s="4"/>
    </row>
    <row r="66" spans="2:9" x14ac:dyDescent="0.25">
      <c r="G66" s="4"/>
      <c r="H66" s="4"/>
      <c r="I66" s="4"/>
    </row>
    <row r="67" spans="2:9" x14ac:dyDescent="0.25">
      <c r="G67" s="4"/>
      <c r="H67" s="4"/>
      <c r="I67" s="4"/>
    </row>
    <row r="68" spans="2:9" x14ac:dyDescent="0.25">
      <c r="G68" s="4"/>
      <c r="H68" s="4"/>
      <c r="I68" s="4"/>
    </row>
    <row r="69" spans="2:9" x14ac:dyDescent="0.25">
      <c r="G69" s="4"/>
      <c r="H69" s="4"/>
      <c r="I69" s="4"/>
    </row>
    <row r="70" spans="2:9" x14ac:dyDescent="0.25">
      <c r="G70" s="4"/>
      <c r="H70" s="4"/>
      <c r="I70" s="4"/>
    </row>
    <row r="71" spans="2:9" x14ac:dyDescent="0.25">
      <c r="G71" s="4"/>
      <c r="H71" s="4"/>
      <c r="I71" s="4"/>
    </row>
    <row r="72" spans="2:9" ht="16.5" thickBot="1" x14ac:dyDescent="0.3">
      <c r="G72" s="144">
        <f>SUM(G62:G71)</f>
        <v>0</v>
      </c>
      <c r="H72" s="144">
        <f>SUM(H62:H71)</f>
        <v>0</v>
      </c>
    </row>
    <row r="73" spans="2:9" ht="16.5" thickTop="1" x14ac:dyDescent="0.25">
      <c r="G73" s="142"/>
      <c r="H73" s="142"/>
    </row>
    <row r="74" spans="2:9" x14ac:dyDescent="0.25">
      <c r="C74" s="1" t="s">
        <v>566</v>
      </c>
      <c r="D74" s="1"/>
      <c r="E74" s="1"/>
      <c r="F74" s="1"/>
      <c r="G74" s="7">
        <f>G72+TrialBalance!L381</f>
        <v>0</v>
      </c>
      <c r="H74" s="7">
        <f>H72+TrialBalance!N381</f>
        <v>0</v>
      </c>
    </row>
    <row r="78" spans="2:9" x14ac:dyDescent="0.25">
      <c r="B78" s="109" t="s">
        <v>570</v>
      </c>
      <c r="C78" s="3" t="s">
        <v>552</v>
      </c>
      <c r="G78" s="25"/>
      <c r="H78" s="25"/>
    </row>
    <row r="79" spans="2:9" x14ac:dyDescent="0.25">
      <c r="C79" s="6"/>
      <c r="D79" s="6"/>
      <c r="E79" s="6"/>
      <c r="F79" s="6"/>
      <c r="G79" s="141"/>
      <c r="H79" s="141"/>
    </row>
    <row r="81" spans="3:8" x14ac:dyDescent="0.25">
      <c r="G81" s="5">
        <f>Criteria!E22</f>
        <v>2024</v>
      </c>
      <c r="H81" s="5">
        <f>Criteria!E27</f>
        <v>2023</v>
      </c>
    </row>
    <row r="82" spans="3:8" x14ac:dyDescent="0.25">
      <c r="G82" s="142"/>
      <c r="H82" s="142"/>
    </row>
    <row r="83" spans="3:8" x14ac:dyDescent="0.25">
      <c r="C83" s="28"/>
      <c r="G83" s="4"/>
      <c r="H83" s="4"/>
    </row>
    <row r="84" spans="3:8" x14ac:dyDescent="0.25">
      <c r="G84" s="4"/>
      <c r="H84" s="4"/>
    </row>
    <row r="85" spans="3:8" x14ac:dyDescent="0.25">
      <c r="C85" s="28"/>
      <c r="G85" s="4"/>
      <c r="H85" s="4"/>
    </row>
    <row r="86" spans="3:8" x14ac:dyDescent="0.25">
      <c r="C86" s="149"/>
      <c r="G86" s="4"/>
      <c r="H86" s="4"/>
    </row>
    <row r="87" spans="3:8" x14ac:dyDescent="0.25">
      <c r="G87" s="4"/>
      <c r="H87" s="4"/>
    </row>
    <row r="88" spans="3:8" x14ac:dyDescent="0.25">
      <c r="G88" s="142"/>
      <c r="H88" s="142"/>
    </row>
    <row r="89" spans="3:8" ht="16.5" thickBot="1" x14ac:dyDescent="0.3">
      <c r="G89" s="144">
        <f>SUM(G82:G88)</f>
        <v>0</v>
      </c>
      <c r="H89" s="144">
        <f>SUM(H82:H88)</f>
        <v>0</v>
      </c>
    </row>
    <row r="90" spans="3:8" ht="16.5" thickTop="1" x14ac:dyDescent="0.25">
      <c r="G90" s="142"/>
      <c r="H90" s="142"/>
    </row>
    <row r="91" spans="3:8" x14ac:dyDescent="0.25">
      <c r="C91" s="1" t="s">
        <v>566</v>
      </c>
      <c r="D91" s="1"/>
      <c r="E91" s="1"/>
      <c r="F91" s="1"/>
      <c r="G91" s="7">
        <f>G89+TrialBalance!L382</f>
        <v>0</v>
      </c>
      <c r="H91" s="7">
        <f>H89+TrialBalance!N382</f>
        <v>0</v>
      </c>
    </row>
    <row r="2600" spans="7:9" s="2" customFormat="1" x14ac:dyDescent="0.25">
      <c r="G2600" s="5"/>
      <c r="H2600" s="5"/>
      <c r="I2600" s="29"/>
    </row>
  </sheetData>
  <hyperlinks>
    <hyperlink ref="C4" location="TrialBalance!A1" display="CREDITORS" xr:uid="{25059F72-F2E2-4E52-8BE9-6558C5509CD9}"/>
  </hyperlinks>
  <pageMargins left="0.75" right="0.75" top="1" bottom="1" header="0.5" footer="0.5"/>
  <pageSetup paperSize="9" scale="74" fitToHeight="0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EA3D4-76EF-474F-B588-887BE57D807E}">
  <sheetPr>
    <pageSetUpPr fitToPage="1"/>
  </sheetPr>
  <dimension ref="A2:J2483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C12" sqref="C12"/>
    </sheetView>
  </sheetViews>
  <sheetFormatPr defaultRowHeight="15.75" x14ac:dyDescent="0.25"/>
  <cols>
    <col min="1" max="2" width="4.7109375" style="2" customWidth="1"/>
    <col min="3" max="3" width="42.5703125" style="2" bestFit="1" customWidth="1"/>
    <col min="4" max="4" width="3" style="2" customWidth="1"/>
    <col min="5" max="5" width="14.7109375" style="2" bestFit="1" customWidth="1"/>
    <col min="6" max="6" width="15.7109375" style="2" customWidth="1"/>
    <col min="7" max="8" width="16" style="5" bestFit="1" customWidth="1"/>
    <col min="9" max="9" width="14.7109375" style="2" bestFit="1" customWidth="1"/>
    <col min="10" max="10" width="10" style="2" bestFit="1" customWidth="1"/>
    <col min="11" max="16384" width="9.140625" style="148"/>
  </cols>
  <sheetData>
    <row r="2" spans="3:8" ht="52.5" customHeight="1" x14ac:dyDescent="0.25">
      <c r="C2" s="147" t="str">
        <f>Criteria!E9</f>
        <v>ABC TRUST</v>
      </c>
      <c r="D2" s="212"/>
      <c r="E2" s="212"/>
      <c r="G2" s="146" t="s">
        <v>90</v>
      </c>
      <c r="H2" s="146"/>
    </row>
    <row r="3" spans="3:8" x14ac:dyDescent="0.25">
      <c r="C3" s="3" t="s">
        <v>89</v>
      </c>
      <c r="D3" s="3"/>
      <c r="E3" s="3" t="str">
        <f>Criteria!E20</f>
        <v>29 FEBRUARY 2024</v>
      </c>
    </row>
    <row r="4" spans="3:8" ht="52.5" customHeight="1" x14ac:dyDescent="0.25">
      <c r="C4" s="186" t="s">
        <v>672</v>
      </c>
      <c r="G4" s="146" t="s">
        <v>91</v>
      </c>
      <c r="H4" s="146"/>
    </row>
    <row r="5" spans="3:8" ht="15.75" customHeight="1" x14ac:dyDescent="0.25">
      <c r="G5" s="25"/>
      <c r="H5" s="25"/>
    </row>
    <row r="6" spans="3:8" x14ac:dyDescent="0.25">
      <c r="G6" s="5">
        <f>Criteria!E22</f>
        <v>2024</v>
      </c>
      <c r="H6" s="5">
        <f>Criteria!E27</f>
        <v>2023</v>
      </c>
    </row>
    <row r="7" spans="3:8" x14ac:dyDescent="0.25">
      <c r="G7" s="142"/>
      <c r="H7" s="142"/>
    </row>
    <row r="8" spans="3:8" x14ac:dyDescent="0.25">
      <c r="C8" s="18" t="s">
        <v>673</v>
      </c>
      <c r="G8" s="142"/>
      <c r="H8" s="142"/>
    </row>
    <row r="9" spans="3:8" x14ac:dyDescent="0.25">
      <c r="G9" s="142"/>
      <c r="H9" s="142"/>
    </row>
    <row r="10" spans="3:8" x14ac:dyDescent="0.25">
      <c r="G10" s="142"/>
      <c r="H10" s="142"/>
    </row>
    <row r="11" spans="3:8" x14ac:dyDescent="0.25">
      <c r="G11" s="142"/>
      <c r="H11" s="142"/>
    </row>
    <row r="12" spans="3:8" x14ac:dyDescent="0.25">
      <c r="G12" s="142"/>
      <c r="H12" s="142"/>
    </row>
    <row r="13" spans="3:8" x14ac:dyDescent="0.25">
      <c r="G13" s="142"/>
      <c r="H13" s="142"/>
    </row>
    <row r="14" spans="3:8" x14ac:dyDescent="0.25">
      <c r="G14" s="142"/>
      <c r="H14" s="142"/>
    </row>
    <row r="15" spans="3:8" x14ac:dyDescent="0.25">
      <c r="G15" s="142"/>
      <c r="H15" s="142"/>
    </row>
    <row r="16" spans="3:8" s="2" customFormat="1" x14ac:dyDescent="0.25">
      <c r="G16" s="142"/>
      <c r="H16" s="142"/>
    </row>
    <row r="17" spans="3:8" s="2" customFormat="1" ht="16.5" thickBot="1" x14ac:dyDescent="0.3">
      <c r="G17" s="144">
        <f>SUM(G7:G16)</f>
        <v>0</v>
      </c>
      <c r="H17" s="144">
        <f>SUM(H7:H16)</f>
        <v>0</v>
      </c>
    </row>
    <row r="18" spans="3:8" s="2" customFormat="1" ht="16.5" thickTop="1" x14ac:dyDescent="0.25">
      <c r="G18" s="142"/>
      <c r="H18" s="142"/>
    </row>
    <row r="19" spans="3:8" x14ac:dyDescent="0.25">
      <c r="C19" s="1" t="s">
        <v>566</v>
      </c>
      <c r="G19" s="142">
        <f>(TrialBalance!L37+TrialBalanceA!I37+TrialBalanceB!I37+TrialBalanceC!I37)-G17</f>
        <v>0</v>
      </c>
      <c r="H19" s="142">
        <f>(TrialBalance!N37+TrialBalanceA!K37+TrialBalanceB!K37+TrialBalanceC!K37)-H17</f>
        <v>0</v>
      </c>
    </row>
    <row r="22" spans="3:8" x14ac:dyDescent="0.25">
      <c r="C22" s="18" t="s">
        <v>674</v>
      </c>
      <c r="G22" s="142"/>
      <c r="H22" s="142"/>
    </row>
    <row r="23" spans="3:8" x14ac:dyDescent="0.25">
      <c r="G23" s="142"/>
      <c r="H23" s="142"/>
    </row>
    <row r="24" spans="3:8" x14ac:dyDescent="0.25">
      <c r="G24" s="142"/>
      <c r="H24" s="142"/>
    </row>
    <row r="25" spans="3:8" x14ac:dyDescent="0.25">
      <c r="G25" s="142"/>
      <c r="H25" s="142"/>
    </row>
    <row r="26" spans="3:8" x14ac:dyDescent="0.25">
      <c r="G26" s="142"/>
      <c r="H26" s="142"/>
    </row>
    <row r="27" spans="3:8" x14ac:dyDescent="0.25">
      <c r="G27" s="142"/>
      <c r="H27" s="142"/>
    </row>
    <row r="28" spans="3:8" x14ac:dyDescent="0.25">
      <c r="G28" s="142"/>
      <c r="H28" s="142"/>
    </row>
    <row r="29" spans="3:8" x14ac:dyDescent="0.25">
      <c r="G29" s="142"/>
      <c r="H29" s="142"/>
    </row>
    <row r="30" spans="3:8" x14ac:dyDescent="0.25">
      <c r="G30" s="142"/>
      <c r="H30" s="142"/>
    </row>
    <row r="31" spans="3:8" ht="16.5" thickBot="1" x14ac:dyDescent="0.3">
      <c r="G31" s="144">
        <f>SUM(G23:G30)</f>
        <v>0</v>
      </c>
      <c r="H31" s="144">
        <f>SUM(H23:H30)</f>
        <v>0</v>
      </c>
    </row>
    <row r="32" spans="3:8" ht="16.5" thickTop="1" x14ac:dyDescent="0.25">
      <c r="G32" s="142"/>
      <c r="H32" s="142"/>
    </row>
    <row r="33" spans="3:8" x14ac:dyDescent="0.25">
      <c r="C33" s="1" t="s">
        <v>566</v>
      </c>
      <c r="G33" s="142">
        <f>(TrialBalance!L47+TrialBalanceA!I47+TrialBalanceB!I47+TrialBalanceC!I47)-G31</f>
        <v>0</v>
      </c>
      <c r="H33" s="142">
        <f>(TrialBalance!N47+TrialBalanceA!K47+TrialBalanceB!K47+TrialBalanceC!K47)-H31</f>
        <v>0</v>
      </c>
    </row>
    <row r="2483" spans="7:9" s="2" customFormat="1" x14ac:dyDescent="0.25">
      <c r="G2483" s="5"/>
      <c r="H2483" s="5"/>
      <c r="I2483" s="29"/>
    </row>
  </sheetData>
  <hyperlinks>
    <hyperlink ref="C4" location="TrialBalance!A1" display="EXPENSES" xr:uid="{1A26ACC8-1272-457D-AD6A-4918B8752794}"/>
  </hyperlinks>
  <pageMargins left="0.75" right="0.75" top="1" bottom="1" header="0.5" footer="0.5"/>
  <pageSetup paperSize="9" scale="76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>
    <pageSetUpPr fitToPage="1"/>
  </sheetPr>
  <dimension ref="A1:AJ2769"/>
  <sheetViews>
    <sheetView view="pageBreakPreview" zoomScale="60" zoomScaleNormal="100" workbookViewId="0">
      <selection activeCell="R19" sqref="R19"/>
    </sheetView>
  </sheetViews>
  <sheetFormatPr defaultRowHeight="31.5" x14ac:dyDescent="0.45"/>
  <cols>
    <col min="1" max="1" width="4.28515625" style="368" customWidth="1"/>
    <col min="2" max="2" width="6.140625" style="368" customWidth="1"/>
    <col min="3" max="3" width="9.7109375" style="368" customWidth="1"/>
    <col min="4" max="4" width="10.28515625" style="368" customWidth="1"/>
    <col min="5" max="5" width="9.7109375" style="368" customWidth="1"/>
    <col min="6" max="6" width="5.140625" style="368" customWidth="1"/>
    <col min="7" max="7" width="17.5703125" style="368" customWidth="1"/>
    <col min="8" max="8" width="21.85546875" style="368" customWidth="1"/>
    <col min="9" max="9" width="4.85546875" style="368" customWidth="1"/>
    <col min="10" max="10" width="22" style="368" customWidth="1"/>
    <col min="11" max="11" width="21.85546875" style="368" customWidth="1"/>
    <col min="12" max="12" width="3.28515625" style="368" customWidth="1"/>
    <col min="13" max="13" width="26.5703125" style="467" customWidth="1"/>
    <col min="14" max="14" width="3.7109375" style="468" customWidth="1"/>
    <col min="15" max="15" width="26.5703125" style="467" customWidth="1"/>
    <col min="16" max="16" width="3.42578125" style="468" customWidth="1"/>
    <col min="17" max="17" width="6.42578125" style="368" customWidth="1"/>
    <col min="18" max="18" width="17.42578125" style="416" customWidth="1"/>
    <col min="19" max="19" width="20.85546875" style="417" bestFit="1" customWidth="1"/>
    <col min="20" max="20" width="4.85546875" style="417" customWidth="1"/>
    <col min="21" max="21" width="20.85546875" style="417" bestFit="1" customWidth="1"/>
    <col min="22" max="22" width="18.7109375" style="417" bestFit="1" customWidth="1"/>
    <col min="23" max="23" width="6.28515625" style="417" customWidth="1"/>
    <col min="24" max="24" width="19.85546875" style="417" customWidth="1"/>
    <col min="25" max="25" width="12" style="417" bestFit="1" customWidth="1"/>
    <col min="26" max="26" width="8.85546875" style="417" customWidth="1"/>
    <col min="27" max="27" width="21.85546875" style="417" bestFit="1" customWidth="1"/>
    <col min="28" max="29" width="8.85546875" style="418" customWidth="1"/>
    <col min="30" max="36" width="9.140625" style="418"/>
    <col min="37" max="16384" width="9.140625" style="372"/>
  </cols>
  <sheetData>
    <row r="1" spans="6:24" ht="31.5" customHeight="1" x14ac:dyDescent="0.45">
      <c r="V1" s="499" t="s">
        <v>662</v>
      </c>
      <c r="W1" s="499"/>
      <c r="X1" s="499"/>
    </row>
    <row r="2" spans="6:24" ht="31.5" customHeight="1" x14ac:dyDescent="0.45">
      <c r="V2" s="427" t="str">
        <f>IF(COUNTIF(V3:V2769,"FALSE")&gt;0,"NO","YES")</f>
        <v>YES</v>
      </c>
      <c r="W2" s="278"/>
      <c r="X2" s="427" t="str">
        <f>IF(COUNTIF(X3:X2769,"FALSE")&gt;0,"NO","YES")</f>
        <v>YES</v>
      </c>
    </row>
    <row r="3" spans="6:24" ht="31.5" customHeight="1" x14ac:dyDescent="0.45"/>
    <row r="4" spans="6:24" ht="31.5" customHeight="1" x14ac:dyDescent="0.45">
      <c r="H4" s="469"/>
      <c r="J4" s="469"/>
      <c r="K4" s="469"/>
    </row>
    <row r="5" spans="6:24" ht="31.5" customHeight="1" x14ac:dyDescent="0.45"/>
    <row r="6" spans="6:24" ht="31.5" customHeight="1" x14ac:dyDescent="0.45"/>
    <row r="7" spans="6:24" ht="31.5" customHeight="1" x14ac:dyDescent="0.45"/>
    <row r="8" spans="6:24" ht="31.5" customHeight="1" x14ac:dyDescent="0.45"/>
    <row r="9" spans="6:24" ht="31.5" customHeight="1" x14ac:dyDescent="0.45"/>
    <row r="10" spans="6:24" ht="31.5" customHeight="1" x14ac:dyDescent="0.45"/>
    <row r="11" spans="6:24" ht="31.5" customHeight="1" x14ac:dyDescent="0.45"/>
    <row r="12" spans="6:24" ht="31.5" customHeight="1" x14ac:dyDescent="0.45"/>
    <row r="13" spans="6:24" ht="31.5" customHeight="1" x14ac:dyDescent="0.45"/>
    <row r="14" spans="6:24" ht="31.5" customHeight="1" thickBot="1" x14ac:dyDescent="0.5"/>
    <row r="15" spans="6:24" ht="31.5" customHeight="1" x14ac:dyDescent="0.45">
      <c r="F15" s="373"/>
      <c r="G15" s="374"/>
      <c r="H15" s="374"/>
      <c r="I15" s="374"/>
      <c r="J15" s="374"/>
      <c r="K15" s="374"/>
      <c r="L15" s="374"/>
      <c r="M15" s="470"/>
    </row>
    <row r="16" spans="6:24" ht="31.5" customHeight="1" x14ac:dyDescent="0.45">
      <c r="F16" s="500" t="str">
        <f>Criteria!E9</f>
        <v>ABC TRUST</v>
      </c>
      <c r="G16" s="501"/>
      <c r="H16" s="501"/>
      <c r="I16" s="501"/>
      <c r="J16" s="501"/>
      <c r="K16" s="501"/>
      <c r="L16" s="501"/>
      <c r="M16" s="502"/>
      <c r="N16" s="371"/>
    </row>
    <row r="17" spans="6:14" ht="31.5" customHeight="1" x14ac:dyDescent="0.45">
      <c r="F17" s="375"/>
      <c r="G17" s="371"/>
      <c r="H17" s="371"/>
      <c r="I17" s="371"/>
      <c r="J17" s="371"/>
      <c r="K17" s="371"/>
      <c r="L17" s="371"/>
      <c r="M17" s="428"/>
    </row>
    <row r="18" spans="6:14" ht="31.5" customHeight="1" x14ac:dyDescent="0.45">
      <c r="F18" s="500" t="s">
        <v>171</v>
      </c>
      <c r="G18" s="501"/>
      <c r="H18" s="501"/>
      <c r="I18" s="501"/>
      <c r="J18" s="501"/>
      <c r="K18" s="501"/>
      <c r="L18" s="501"/>
      <c r="M18" s="502"/>
      <c r="N18" s="371"/>
    </row>
    <row r="19" spans="6:14" ht="31.5" customHeight="1" x14ac:dyDescent="0.45">
      <c r="F19" s="375"/>
      <c r="G19" s="371"/>
      <c r="H19" s="371"/>
      <c r="I19" s="371"/>
      <c r="J19" s="371"/>
      <c r="K19" s="371"/>
      <c r="L19" s="371"/>
      <c r="M19" s="428"/>
      <c r="N19" s="371"/>
    </row>
    <row r="20" spans="6:14" ht="31.5" customHeight="1" x14ac:dyDescent="0.45">
      <c r="F20" s="500" t="str">
        <f>Criteria!E20</f>
        <v>29 FEBRUARY 2024</v>
      </c>
      <c r="G20" s="501"/>
      <c r="H20" s="501"/>
      <c r="I20" s="501"/>
      <c r="J20" s="501"/>
      <c r="K20" s="501"/>
      <c r="L20" s="501"/>
      <c r="M20" s="502"/>
      <c r="N20" s="371"/>
    </row>
    <row r="21" spans="6:14" ht="31.5" customHeight="1" thickBot="1" x14ac:dyDescent="0.5">
      <c r="F21" s="376"/>
      <c r="G21" s="377"/>
      <c r="H21" s="377"/>
      <c r="I21" s="377"/>
      <c r="J21" s="377"/>
      <c r="K21" s="377"/>
      <c r="L21" s="377"/>
      <c r="M21" s="471"/>
    </row>
    <row r="22" spans="6:14" ht="31.5" customHeight="1" x14ac:dyDescent="0.45"/>
    <row r="23" spans="6:14" ht="31.5" customHeight="1" x14ac:dyDescent="0.45"/>
    <row r="24" spans="6:14" ht="31.5" customHeight="1" x14ac:dyDescent="0.45"/>
    <row r="25" spans="6:14" ht="31.5" customHeight="1" x14ac:dyDescent="0.45"/>
    <row r="26" spans="6:14" ht="31.5" customHeight="1" x14ac:dyDescent="0.45"/>
    <row r="27" spans="6:14" ht="31.5" customHeight="1" x14ac:dyDescent="0.45"/>
    <row r="28" spans="6:14" ht="31.5" customHeight="1" x14ac:dyDescent="0.45"/>
    <row r="29" spans="6:14" ht="31.5" customHeight="1" x14ac:dyDescent="0.45"/>
    <row r="30" spans="6:14" ht="31.5" customHeight="1" x14ac:dyDescent="0.45"/>
    <row r="31" spans="6:14" ht="31.5" customHeight="1" x14ac:dyDescent="0.45"/>
    <row r="32" spans="6:14" ht="31.5" customHeight="1" x14ac:dyDescent="0.45"/>
    <row r="33" ht="31.5" customHeight="1" x14ac:dyDescent="0.45"/>
    <row r="34" ht="31.5" customHeight="1" x14ac:dyDescent="0.45"/>
    <row r="35" ht="31.5" customHeight="1" x14ac:dyDescent="0.45"/>
    <row r="36" ht="31.5" customHeight="1" x14ac:dyDescent="0.45"/>
    <row r="37" ht="31.5" customHeight="1" x14ac:dyDescent="0.45"/>
    <row r="38" ht="31.5" customHeight="1" x14ac:dyDescent="0.45"/>
    <row r="39" ht="31.5" customHeight="1" x14ac:dyDescent="0.45"/>
    <row r="40" ht="31.5" customHeight="1" x14ac:dyDescent="0.45"/>
    <row r="41" ht="31.5" customHeight="1" x14ac:dyDescent="0.45"/>
    <row r="42" ht="31.5" customHeight="1" x14ac:dyDescent="0.45"/>
    <row r="43" ht="31.5" customHeight="1" x14ac:dyDescent="0.45"/>
    <row r="44" ht="31.5" customHeight="1" x14ac:dyDescent="0.45"/>
    <row r="45" ht="31.5" customHeight="1" x14ac:dyDescent="0.45"/>
    <row r="46" ht="31.5" customHeight="1" x14ac:dyDescent="0.45"/>
    <row r="47" ht="31.5" customHeight="1" x14ac:dyDescent="0.45"/>
    <row r="48" ht="31.5" customHeight="1" x14ac:dyDescent="0.45"/>
    <row r="49" spans="4:18" ht="31.5" customHeight="1" x14ac:dyDescent="0.45"/>
    <row r="50" spans="4:18" ht="31.5" customHeight="1" x14ac:dyDescent="0.45"/>
    <row r="51" spans="4:18" ht="31.5" customHeight="1" x14ac:dyDescent="0.45"/>
    <row r="52" spans="4:18" ht="31.5" customHeight="1" x14ac:dyDescent="0.45"/>
    <row r="53" spans="4:18" ht="31.5" customHeight="1" x14ac:dyDescent="0.45"/>
    <row r="54" spans="4:18" ht="31.5" customHeight="1" x14ac:dyDescent="0.45"/>
    <row r="55" spans="4:18" ht="31.5" customHeight="1" x14ac:dyDescent="0.45"/>
    <row r="56" spans="4:18" ht="31.5" customHeight="1" x14ac:dyDescent="0.45"/>
    <row r="57" spans="4:18" ht="31.5" customHeight="1" x14ac:dyDescent="0.45"/>
    <row r="58" spans="4:18" ht="31.5" customHeight="1" x14ac:dyDescent="0.45">
      <c r="D58" s="369" t="str">
        <f>Criteria!E9</f>
        <v>ABC TRUST</v>
      </c>
    </row>
    <row r="59" spans="4:18" ht="31.5" customHeight="1" x14ac:dyDescent="0.45">
      <c r="D59" s="369" t="str">
        <f>Criteria!E10</f>
        <v>T/A RENTAL PROPERTIES, SEAFRONT RESTAURANT AND SURF SHOP</v>
      </c>
      <c r="R59" s="416" t="str">
        <f>IF(D59=0,"DELETE"," ")</f>
        <v xml:space="preserve"> </v>
      </c>
    </row>
    <row r="60" spans="4:18" ht="31.5" customHeight="1" x14ac:dyDescent="0.45">
      <c r="D60" s="369" t="str">
        <f>Criteria!E18</f>
        <v>IT83/2021</v>
      </c>
    </row>
    <row r="61" spans="4:18" ht="31.5" customHeight="1" x14ac:dyDescent="0.45">
      <c r="D61" s="369"/>
    </row>
    <row r="62" spans="4:18" ht="31.5" customHeight="1" x14ac:dyDescent="0.45">
      <c r="D62" s="369" t="s">
        <v>172</v>
      </c>
    </row>
    <row r="63" spans="4:18" ht="31.5" customHeight="1" x14ac:dyDescent="0.45">
      <c r="D63" s="369" t="str">
        <f>Criteria!E20</f>
        <v>29 FEBRUARY 2024</v>
      </c>
    </row>
    <row r="64" spans="4:18" ht="31.5" customHeight="1" x14ac:dyDescent="0.45"/>
    <row r="65" spans="4:15" ht="31.5" customHeight="1" x14ac:dyDescent="0.45"/>
    <row r="66" spans="4:15" ht="31.5" customHeight="1" x14ac:dyDescent="0.5">
      <c r="D66" s="460" t="s">
        <v>1021</v>
      </c>
    </row>
    <row r="67" spans="4:15" ht="31.5" customHeight="1" x14ac:dyDescent="0.5">
      <c r="D67" s="460" t="str">
        <f>IF(MAX(Criteria!I38:I42)=1,"presented to the Trustee:","presented to the Trustees:")</f>
        <v>presented to the Trustees:</v>
      </c>
    </row>
    <row r="68" spans="4:15" ht="31.5" customHeight="1" x14ac:dyDescent="0.45"/>
    <row r="69" spans="4:15" ht="31.5" customHeight="1" x14ac:dyDescent="0.45">
      <c r="D69" s="369" t="s">
        <v>173</v>
      </c>
      <c r="N69" s="378"/>
      <c r="O69" s="429" t="s">
        <v>174</v>
      </c>
    </row>
    <row r="70" spans="4:15" ht="31.5" customHeight="1" x14ac:dyDescent="0.45"/>
    <row r="71" spans="4:15" ht="31.5" customHeight="1" x14ac:dyDescent="0.45">
      <c r="D71" s="368" t="s">
        <v>175</v>
      </c>
      <c r="N71" s="379"/>
      <c r="O71" s="430">
        <f>Q114</f>
        <v>1</v>
      </c>
    </row>
    <row r="72" spans="4:15" ht="31.5" customHeight="1" x14ac:dyDescent="0.45">
      <c r="N72" s="379"/>
      <c r="O72" s="430"/>
    </row>
    <row r="73" spans="4:15" ht="31.5" customHeight="1" x14ac:dyDescent="0.45">
      <c r="D73" s="368" t="str">
        <f>IF(MAX(Criteria!I38:I42)&gt;1,"TRUSTEES' RESPONSIBILITY STATEMENT","TRUSTEE'S RESPONSIBILITY STATEMENT")</f>
        <v>TRUSTEES' RESPONSIBILITY STATEMENT</v>
      </c>
      <c r="N73" s="379"/>
      <c r="O73" s="430">
        <f>Q170</f>
        <v>2</v>
      </c>
    </row>
    <row r="74" spans="4:15" ht="31.5" customHeight="1" x14ac:dyDescent="0.45">
      <c r="N74" s="379"/>
      <c r="O74" s="430"/>
    </row>
    <row r="75" spans="4:15" ht="31.5" customHeight="1" x14ac:dyDescent="0.45">
      <c r="D75" s="368" t="s">
        <v>1006</v>
      </c>
      <c r="N75" s="379"/>
      <c r="O75" s="430">
        <f>MAX($Q$114:Q281)</f>
        <v>3</v>
      </c>
    </row>
    <row r="76" spans="4:15" ht="31.5" customHeight="1" x14ac:dyDescent="0.45">
      <c r="N76" s="379"/>
      <c r="O76" s="430"/>
    </row>
    <row r="77" spans="4:15" ht="31.5" customHeight="1" x14ac:dyDescent="0.45">
      <c r="D77" s="368" t="s">
        <v>646</v>
      </c>
      <c r="N77" s="379"/>
      <c r="O77" s="430">
        <f>Q282</f>
        <v>4</v>
      </c>
    </row>
    <row r="78" spans="4:15" ht="31.5" customHeight="1" x14ac:dyDescent="0.45">
      <c r="N78" s="379"/>
      <c r="O78" s="430"/>
    </row>
    <row r="79" spans="4:15" ht="31.5" customHeight="1" x14ac:dyDescent="0.45">
      <c r="D79" s="368" t="s">
        <v>645</v>
      </c>
      <c r="N79" s="379"/>
      <c r="O79" s="430">
        <f>Q349</f>
        <v>5</v>
      </c>
    </row>
    <row r="80" spans="4:15" ht="31.5" customHeight="1" x14ac:dyDescent="0.45">
      <c r="N80" s="379"/>
      <c r="O80" s="430"/>
    </row>
    <row r="81" spans="4:18" ht="31.5" customHeight="1" x14ac:dyDescent="0.45">
      <c r="D81" s="368" t="s">
        <v>102</v>
      </c>
      <c r="N81" s="379"/>
      <c r="O81" s="430" t="str">
        <f>IF(Q432&lt;MAX(Q432:Q1511),CONCATENATE(Q432," - ",MAX(Q432:Q1511)),Q432)</f>
        <v>6 - 33</v>
      </c>
    </row>
    <row r="82" spans="4:18" ht="31.5" customHeight="1" x14ac:dyDescent="0.45">
      <c r="N82" s="379"/>
      <c r="O82" s="430"/>
    </row>
    <row r="83" spans="4:18" ht="31.5" customHeight="1" x14ac:dyDescent="0.45">
      <c r="D83" s="368" t="str">
        <f>IF(Criteria!E13=0,"DETAILED INCOME STATEMENT",CONCATENATE("DETAILED INCOME STATEMENT - ",Criteria!E13))</f>
        <v>DETAILED INCOME STATEMENT - RENTAL PROPERTIES</v>
      </c>
      <c r="N83" s="379"/>
      <c r="O83" s="430" t="str">
        <f>IF(Q1512&lt;MAX(Q1512:Q1669),CONCATENATE(Q1512," - ",MAX(Q1512:Q1669)),Q1512)</f>
        <v>34 - 35</v>
      </c>
    </row>
    <row r="84" spans="4:18" ht="31.5" customHeight="1" x14ac:dyDescent="0.45">
      <c r="N84" s="379"/>
      <c r="O84" s="430"/>
    </row>
    <row r="85" spans="4:18" ht="31.5" customHeight="1" x14ac:dyDescent="0.45">
      <c r="D85" s="368" t="s">
        <v>103</v>
      </c>
      <c r="N85" s="379"/>
      <c r="O85" s="430">
        <f>Q1670</f>
        <v>36</v>
      </c>
    </row>
    <row r="86" spans="4:18" ht="31.5" customHeight="1" x14ac:dyDescent="0.45">
      <c r="N86" s="379"/>
      <c r="O86" s="430"/>
    </row>
    <row r="87" spans="4:18" ht="31.5" customHeight="1" x14ac:dyDescent="0.45">
      <c r="D87" s="368" t="s">
        <v>293</v>
      </c>
      <c r="N87" s="379"/>
      <c r="O87" s="430">
        <f>Q1743</f>
        <v>37</v>
      </c>
      <c r="R87" s="416" t="str">
        <f>R1742</f>
        <v>DELETE</v>
      </c>
    </row>
    <row r="88" spans="4:18" ht="31.5" customHeight="1" x14ac:dyDescent="0.45"/>
    <row r="89" spans="4:18" ht="31.5" customHeight="1" x14ac:dyDescent="0.45">
      <c r="D89" s="368" t="s">
        <v>486</v>
      </c>
      <c r="R89" s="416" t="str">
        <f>IF(Criteria!E14=0,"DELETE"," ")</f>
        <v xml:space="preserve"> </v>
      </c>
    </row>
    <row r="90" spans="4:18" ht="31.5" customHeight="1" x14ac:dyDescent="0.45">
      <c r="E90" s="368" t="s">
        <v>26</v>
      </c>
      <c r="F90" s="368" t="str">
        <f>CONCATENATE("DETAILED INCOME STATEMENT"," - ",Criteria!E14)</f>
        <v>DETAILED INCOME STATEMENT - SEAFRONT RESTAURANT</v>
      </c>
      <c r="R90" s="416" t="str">
        <f>IF(Criteria!E14=0,"DELETE"," ")</f>
        <v xml:space="preserve"> </v>
      </c>
    </row>
    <row r="91" spans="4:18" ht="31.5" customHeight="1" x14ac:dyDescent="0.45">
      <c r="E91" s="368" t="s">
        <v>615</v>
      </c>
      <c r="F91" s="368" t="str">
        <f>CONCATENATE("DETAILED INCOME STATEMENT"," - ",Criteria!E15)</f>
        <v>DETAILED INCOME STATEMENT - SURF SHOP</v>
      </c>
      <c r="R91" s="416" t="str">
        <f>IF(Criteria!E15=0,"DELETE"," ")</f>
        <v xml:space="preserve"> </v>
      </c>
    </row>
    <row r="92" spans="4:18" ht="31.5" customHeight="1" x14ac:dyDescent="0.45">
      <c r="E92" s="368" t="s">
        <v>617</v>
      </c>
      <c r="F92" s="368" t="str">
        <f>CONCATENATE("DETAILED INCOME STATEMENT"," - ",Criteria!E16)</f>
        <v xml:space="preserve">DETAILED INCOME STATEMENT - </v>
      </c>
      <c r="R92" s="416" t="str">
        <f>IF(Criteria!E16=0,"DELETE"," ")</f>
        <v>DELETE</v>
      </c>
    </row>
    <row r="93" spans="4:18" ht="31.5" customHeight="1" x14ac:dyDescent="0.45"/>
    <row r="94" spans="4:18" ht="31.5" customHeight="1" x14ac:dyDescent="0.45">
      <c r="D94" s="369"/>
    </row>
    <row r="95" spans="4:18" ht="31.5" customHeight="1" x14ac:dyDescent="0.45"/>
    <row r="96" spans="4:18" ht="31.5" customHeight="1" x14ac:dyDescent="0.45"/>
    <row r="97" spans="4:16" ht="31.5" customHeight="1" x14ac:dyDescent="0.45"/>
    <row r="98" spans="4:16" ht="31.5" customHeight="1" x14ac:dyDescent="0.45"/>
    <row r="99" spans="4:16" ht="31.5" customHeight="1" x14ac:dyDescent="0.45"/>
    <row r="100" spans="4:16" ht="31.5" customHeight="1" x14ac:dyDescent="0.45"/>
    <row r="101" spans="4:16" ht="31.5" customHeight="1" x14ac:dyDescent="0.45">
      <c r="D101" s="372"/>
      <c r="E101" s="372"/>
      <c r="F101" s="372"/>
      <c r="G101" s="372"/>
      <c r="H101" s="372"/>
      <c r="I101" s="372"/>
      <c r="J101" s="372"/>
      <c r="K101" s="372"/>
      <c r="L101" s="372"/>
      <c r="M101" s="37"/>
      <c r="N101" s="372"/>
      <c r="O101" s="37"/>
      <c r="P101" s="372"/>
    </row>
    <row r="102" spans="4:16" ht="31.5" customHeight="1" x14ac:dyDescent="0.45">
      <c r="D102" s="372"/>
      <c r="E102" s="372"/>
      <c r="F102" s="372"/>
      <c r="G102" s="372"/>
      <c r="H102" s="372"/>
      <c r="I102" s="372"/>
      <c r="J102" s="372"/>
      <c r="K102" s="372"/>
      <c r="L102" s="372"/>
      <c r="M102" s="37"/>
      <c r="N102" s="372"/>
      <c r="O102" s="37"/>
      <c r="P102" s="372"/>
    </row>
    <row r="103" spans="4:16" ht="31.5" customHeight="1" x14ac:dyDescent="0.45">
      <c r="D103" s="372"/>
      <c r="E103" s="372"/>
      <c r="F103" s="372"/>
      <c r="G103" s="372"/>
      <c r="H103" s="372"/>
      <c r="I103" s="372"/>
      <c r="J103" s="372"/>
      <c r="K103" s="372"/>
      <c r="L103" s="372"/>
      <c r="M103" s="37"/>
      <c r="N103" s="372"/>
      <c r="O103" s="37"/>
      <c r="P103" s="372"/>
    </row>
    <row r="104" spans="4:16" ht="31.5" customHeight="1" x14ac:dyDescent="0.45">
      <c r="D104" s="372"/>
      <c r="E104" s="372"/>
      <c r="F104" s="372"/>
      <c r="G104" s="372"/>
      <c r="H104" s="372"/>
      <c r="I104" s="372"/>
      <c r="J104" s="372"/>
      <c r="K104" s="372"/>
      <c r="L104" s="372"/>
      <c r="M104" s="37"/>
      <c r="N104" s="372"/>
      <c r="O104" s="37"/>
      <c r="P104" s="372"/>
    </row>
    <row r="105" spans="4:16" ht="31.5" customHeight="1" x14ac:dyDescent="0.45">
      <c r="D105" s="372"/>
      <c r="E105" s="372"/>
      <c r="F105" s="372"/>
      <c r="G105" s="372"/>
      <c r="H105" s="372"/>
      <c r="I105" s="372"/>
      <c r="J105" s="372"/>
      <c r="K105" s="372"/>
      <c r="L105" s="372"/>
      <c r="M105" s="37"/>
      <c r="N105" s="372"/>
      <c r="O105" s="37"/>
      <c r="P105" s="372"/>
    </row>
    <row r="106" spans="4:16" ht="31.5" customHeight="1" x14ac:dyDescent="0.45">
      <c r="D106" s="372"/>
      <c r="E106" s="372"/>
      <c r="F106" s="372"/>
      <c r="G106" s="372"/>
      <c r="H106" s="372"/>
      <c r="I106" s="372"/>
      <c r="J106" s="372"/>
      <c r="K106" s="372"/>
      <c r="L106" s="372"/>
      <c r="M106" s="37"/>
      <c r="N106" s="372"/>
      <c r="O106" s="37"/>
      <c r="P106" s="372"/>
    </row>
    <row r="107" spans="4:16" ht="31.5" customHeight="1" x14ac:dyDescent="0.45">
      <c r="D107" s="372"/>
      <c r="E107" s="372"/>
      <c r="F107" s="372"/>
      <c r="G107" s="372"/>
      <c r="H107" s="372"/>
      <c r="I107" s="372"/>
      <c r="J107" s="372"/>
      <c r="K107" s="372"/>
      <c r="L107" s="372"/>
      <c r="M107" s="37"/>
      <c r="N107" s="372"/>
      <c r="O107" s="37"/>
      <c r="P107" s="372"/>
    </row>
    <row r="108" spans="4:16" ht="31.5" customHeight="1" x14ac:dyDescent="0.45">
      <c r="D108" s="372"/>
      <c r="E108" s="372"/>
      <c r="F108" s="372"/>
      <c r="G108" s="372"/>
      <c r="H108" s="372"/>
      <c r="I108" s="372"/>
      <c r="J108" s="372"/>
      <c r="K108" s="372"/>
      <c r="L108" s="372"/>
      <c r="M108" s="37"/>
      <c r="N108" s="372"/>
      <c r="O108" s="37"/>
      <c r="P108" s="372"/>
    </row>
    <row r="109" spans="4:16" ht="31.5" customHeight="1" x14ac:dyDescent="0.45">
      <c r="D109" s="372"/>
      <c r="E109" s="372"/>
      <c r="F109" s="372"/>
      <c r="G109" s="372"/>
      <c r="H109" s="372"/>
      <c r="I109" s="372"/>
      <c r="J109" s="372"/>
      <c r="K109" s="372"/>
      <c r="L109" s="372"/>
      <c r="M109" s="37"/>
      <c r="N109" s="372"/>
      <c r="O109" s="37"/>
      <c r="P109" s="372"/>
    </row>
    <row r="110" spans="4:16" ht="31.5" customHeight="1" x14ac:dyDescent="0.45">
      <c r="D110" s="372"/>
      <c r="E110" s="372"/>
      <c r="F110" s="372"/>
      <c r="G110" s="372"/>
      <c r="H110" s="372"/>
      <c r="I110" s="372"/>
      <c r="J110" s="372"/>
      <c r="K110" s="372"/>
      <c r="L110" s="372"/>
      <c r="M110" s="37"/>
      <c r="N110" s="372"/>
      <c r="O110" s="37"/>
      <c r="P110" s="372"/>
    </row>
    <row r="111" spans="4:16" ht="31.5" customHeight="1" x14ac:dyDescent="0.45"/>
    <row r="112" spans="4:16" ht="31.5" customHeight="1" x14ac:dyDescent="0.45"/>
    <row r="113" spans="4:18" ht="31.5" customHeight="1" x14ac:dyDescent="0.45"/>
    <row r="114" spans="4:18" ht="31.5" customHeight="1" x14ac:dyDescent="0.45">
      <c r="D114" s="369" t="str">
        <f>Criteria!E9</f>
        <v>ABC TRUST</v>
      </c>
      <c r="O114" s="433" t="s">
        <v>105</v>
      </c>
      <c r="P114" s="380"/>
      <c r="Q114" s="370">
        <v>1</v>
      </c>
    </row>
    <row r="115" spans="4:18" ht="31.5" customHeight="1" x14ac:dyDescent="0.45">
      <c r="D115" s="369" t="str">
        <f>Criteria!E10</f>
        <v>T/A RENTAL PROPERTIES, SEAFRONT RESTAURANT AND SURF SHOP</v>
      </c>
      <c r="R115" s="416" t="str">
        <f>IF(D115=0,"DELETE"," ")</f>
        <v xml:space="preserve"> </v>
      </c>
    </row>
    <row r="116" spans="4:18" ht="31.5" customHeight="1" x14ac:dyDescent="0.45"/>
    <row r="117" spans="4:18" ht="31.5" customHeight="1" x14ac:dyDescent="0.45"/>
    <row r="118" spans="4:18" ht="31.5" customHeight="1" x14ac:dyDescent="0.45">
      <c r="D118" s="369" t="s">
        <v>175</v>
      </c>
    </row>
    <row r="119" spans="4:18" ht="31.5" customHeight="1" x14ac:dyDescent="0.45"/>
    <row r="120" spans="4:18" ht="31.5" customHeight="1" x14ac:dyDescent="0.45"/>
    <row r="121" spans="4:18" ht="31.5" customHeight="1" x14ac:dyDescent="0.45">
      <c r="D121" s="368" t="s">
        <v>1022</v>
      </c>
    </row>
    <row r="122" spans="4:18" ht="31.5" customHeight="1" x14ac:dyDescent="0.45">
      <c r="D122" s="368" t="s">
        <v>1023</v>
      </c>
      <c r="J122" s="368" t="s">
        <v>618</v>
      </c>
    </row>
    <row r="123" spans="4:18" ht="31.5" customHeight="1" x14ac:dyDescent="0.45"/>
    <row r="124" spans="4:18" ht="31.5" customHeight="1" x14ac:dyDescent="0.45">
      <c r="D124" s="368" t="s">
        <v>727</v>
      </c>
      <c r="J124" s="368" t="s">
        <v>728</v>
      </c>
    </row>
    <row r="125" spans="4:18" ht="31.5" customHeight="1" x14ac:dyDescent="0.45"/>
    <row r="126" spans="4:18" ht="31.5" customHeight="1" x14ac:dyDescent="0.45">
      <c r="D126" s="368" t="s">
        <v>106</v>
      </c>
      <c r="J126" s="368" t="str">
        <f>Criteria!E33</f>
        <v>Investment in immovable property</v>
      </c>
    </row>
    <row r="127" spans="4:18" ht="31.5" customHeight="1" x14ac:dyDescent="0.45">
      <c r="J127" s="368">
        <f>Criteria!E34</f>
        <v>0</v>
      </c>
      <c r="R127" s="416" t="str">
        <f>IF(J127=0,"DELETE"," ")</f>
        <v>DELETE</v>
      </c>
    </row>
    <row r="128" spans="4:18" ht="31.5" customHeight="1" x14ac:dyDescent="0.45">
      <c r="J128" s="368">
        <f>Criteria!E35</f>
        <v>0</v>
      </c>
      <c r="R128" s="416" t="str">
        <f>IF(J128=0,"DELETE"," ")</f>
        <v>DELETE</v>
      </c>
    </row>
    <row r="129" spans="4:18" ht="31.5" customHeight="1" x14ac:dyDescent="0.45">
      <c r="J129" s="368">
        <f>Criteria!E36</f>
        <v>0</v>
      </c>
      <c r="R129" s="416" t="str">
        <f>IF(J129=0,"DELETE"," ")</f>
        <v>DELETE</v>
      </c>
    </row>
    <row r="130" spans="4:18" ht="31.5" customHeight="1" x14ac:dyDescent="0.45"/>
    <row r="131" spans="4:18" ht="31.5" customHeight="1" x14ac:dyDescent="0.45">
      <c r="D131" s="368" t="str">
        <f>IF(MAX(Criteria!I38:I42)&gt;1,"Trustees","Trustee")</f>
        <v>Trustees</v>
      </c>
      <c r="J131" s="368" t="str">
        <f>Criteria!E38</f>
        <v>A Trustee</v>
      </c>
    </row>
    <row r="132" spans="4:18" ht="31.5" customHeight="1" x14ac:dyDescent="0.45">
      <c r="J132" s="368" t="str">
        <f>Criteria!E39</f>
        <v>C Trustee</v>
      </c>
      <c r="R132" s="416" t="str">
        <f>IF(J132=0,"DELETE"," ")</f>
        <v xml:space="preserve"> </v>
      </c>
    </row>
    <row r="133" spans="4:18" ht="31.5" customHeight="1" x14ac:dyDescent="0.45">
      <c r="J133" s="368">
        <f>Criteria!E40</f>
        <v>0</v>
      </c>
      <c r="R133" s="416" t="str">
        <f>IF(J133=0,"DELETE"," ")</f>
        <v>DELETE</v>
      </c>
    </row>
    <row r="134" spans="4:18" ht="31.5" customHeight="1" x14ac:dyDescent="0.45">
      <c r="J134" s="368">
        <f>Criteria!E41</f>
        <v>0</v>
      </c>
      <c r="R134" s="416" t="str">
        <f>IF(J134=0,"DELETE"," ")</f>
        <v>DELETE</v>
      </c>
    </row>
    <row r="135" spans="4:18" ht="31.5" customHeight="1" x14ac:dyDescent="0.45">
      <c r="J135" s="368">
        <f>Criteria!E42</f>
        <v>0</v>
      </c>
      <c r="R135" s="416" t="str">
        <f>IF(J135=0,"DELETE"," ")</f>
        <v>DELETE</v>
      </c>
    </row>
    <row r="136" spans="4:18" ht="31.5" customHeight="1" x14ac:dyDescent="0.45"/>
    <row r="137" spans="4:18" ht="31.5" customHeight="1" x14ac:dyDescent="0.45">
      <c r="D137" s="368" t="s">
        <v>107</v>
      </c>
      <c r="J137" s="368">
        <f>Criteria!E47</f>
        <v>0</v>
      </c>
    </row>
    <row r="138" spans="4:18" ht="31.5" customHeight="1" x14ac:dyDescent="0.45">
      <c r="J138" s="368">
        <f>Criteria!E48</f>
        <v>0</v>
      </c>
    </row>
    <row r="139" spans="4:18" ht="31.5" customHeight="1" x14ac:dyDescent="0.45">
      <c r="J139" s="381">
        <f>Criteria!E49</f>
        <v>0</v>
      </c>
      <c r="R139" s="416" t="str">
        <f>IF(J139=0,"DELETE"," ")</f>
        <v>DELETE</v>
      </c>
    </row>
    <row r="140" spans="4:18" ht="31.5" customHeight="1" x14ac:dyDescent="0.45">
      <c r="J140" s="381">
        <f>Criteria!E50</f>
        <v>0</v>
      </c>
      <c r="R140" s="416" t="str">
        <f>IF(J140=0,"DELETE"," ")</f>
        <v>DELETE</v>
      </c>
    </row>
    <row r="141" spans="4:18" ht="31.5" customHeight="1" x14ac:dyDescent="0.45">
      <c r="J141" s="381"/>
    </row>
    <row r="142" spans="4:18" ht="31.5" customHeight="1" x14ac:dyDescent="0.45">
      <c r="D142" s="368" t="s">
        <v>108</v>
      </c>
      <c r="J142" s="368">
        <f>Criteria!E52</f>
        <v>0</v>
      </c>
      <c r="R142" s="416" t="str">
        <f>IF(J142=0,"DELETE"," ")</f>
        <v>DELETE</v>
      </c>
    </row>
    <row r="143" spans="4:18" ht="31.5" customHeight="1" x14ac:dyDescent="0.45">
      <c r="J143" s="368">
        <f>Criteria!E53</f>
        <v>0</v>
      </c>
      <c r="R143" s="416" t="str">
        <f>IF(J143=0,"DELETE"," ")</f>
        <v>DELETE</v>
      </c>
    </row>
    <row r="144" spans="4:18" ht="31.5" customHeight="1" x14ac:dyDescent="0.45">
      <c r="J144" s="381">
        <f>Criteria!E54</f>
        <v>0</v>
      </c>
      <c r="R144" s="416" t="str">
        <f>IF(J144=0,"DELETE"," ")</f>
        <v>DELETE</v>
      </c>
    </row>
    <row r="145" spans="4:18" ht="31.5" customHeight="1" x14ac:dyDescent="0.45">
      <c r="J145" s="381">
        <f>Criteria!E55</f>
        <v>0</v>
      </c>
      <c r="R145" s="416" t="str">
        <f>IF(J145=0,"DELETE"," ")</f>
        <v>DELETE</v>
      </c>
    </row>
    <row r="146" spans="4:18" ht="31.5" customHeight="1" x14ac:dyDescent="0.45">
      <c r="J146" s="381"/>
    </row>
    <row r="147" spans="4:18" ht="31.5" customHeight="1" x14ac:dyDescent="0.45">
      <c r="D147" s="368" t="s">
        <v>726</v>
      </c>
      <c r="J147" s="368">
        <f>Criteria!E57</f>
        <v>0</v>
      </c>
      <c r="R147" s="416" t="str">
        <f t="shared" ref="R147:R149" si="0">IF(J147=0,"DELETE"," ")</f>
        <v>DELETE</v>
      </c>
    </row>
    <row r="148" spans="4:18" ht="31.5" customHeight="1" x14ac:dyDescent="0.45">
      <c r="J148" s="368">
        <f>Criteria!E58</f>
        <v>0</v>
      </c>
      <c r="R148" s="416" t="str">
        <f t="shared" si="0"/>
        <v>DELETE</v>
      </c>
    </row>
    <row r="149" spans="4:18" ht="31.5" customHeight="1" x14ac:dyDescent="0.45">
      <c r="J149" s="368">
        <f>Criteria!E59</f>
        <v>0</v>
      </c>
      <c r="R149" s="416" t="str">
        <f t="shared" si="0"/>
        <v>DELETE</v>
      </c>
    </row>
    <row r="150" spans="4:18" ht="31.5" customHeight="1" x14ac:dyDescent="0.45"/>
    <row r="151" spans="4:18" ht="31.5" customHeight="1" x14ac:dyDescent="0.45">
      <c r="D151" s="368" t="s">
        <v>748</v>
      </c>
      <c r="J151" s="368" t="str">
        <f>Criteria!E18</f>
        <v>IT83/2021</v>
      </c>
    </row>
    <row r="152" spans="4:18" ht="31.5" customHeight="1" x14ac:dyDescent="0.45"/>
    <row r="153" spans="4:18" ht="31.5" customHeight="1" x14ac:dyDescent="0.45">
      <c r="D153" s="368" t="s">
        <v>1007</v>
      </c>
      <c r="J153" s="382"/>
    </row>
    <row r="154" spans="4:18" ht="31.5" customHeight="1" x14ac:dyDescent="0.45"/>
    <row r="155" spans="4:18" ht="31.5" customHeight="1" x14ac:dyDescent="0.45"/>
    <row r="156" spans="4:18" ht="31.5" customHeight="1" x14ac:dyDescent="0.45">
      <c r="J156" s="381"/>
    </row>
    <row r="157" spans="4:18" ht="31.5" customHeight="1" x14ac:dyDescent="0.45">
      <c r="J157" s="382"/>
    </row>
    <row r="158" spans="4:18" ht="31.5" customHeight="1" x14ac:dyDescent="0.45"/>
    <row r="159" spans="4:18" ht="31.5" customHeight="1" x14ac:dyDescent="0.45"/>
    <row r="160" spans="4:18" ht="31.5" customHeight="1" x14ac:dyDescent="0.45"/>
    <row r="161" spans="4:18" ht="31.5" customHeight="1" x14ac:dyDescent="0.45"/>
    <row r="162" spans="4:18" ht="31.5" customHeight="1" x14ac:dyDescent="0.45"/>
    <row r="163" spans="4:18" ht="31.5" customHeight="1" x14ac:dyDescent="0.45"/>
    <row r="164" spans="4:18" ht="31.5" customHeight="1" x14ac:dyDescent="0.45"/>
    <row r="165" spans="4:18" ht="31.5" customHeight="1" x14ac:dyDescent="0.45"/>
    <row r="166" spans="4:18" ht="31.5" customHeight="1" x14ac:dyDescent="0.45"/>
    <row r="167" spans="4:18" ht="31.5" customHeight="1" x14ac:dyDescent="0.45"/>
    <row r="168" spans="4:18" ht="31.5" customHeight="1" x14ac:dyDescent="0.45"/>
    <row r="169" spans="4:18" ht="31.5" customHeight="1" x14ac:dyDescent="0.45"/>
    <row r="170" spans="4:18" ht="31.5" customHeight="1" x14ac:dyDescent="0.45">
      <c r="D170" s="369" t="str">
        <f>Criteria!E9</f>
        <v>ABC TRUST</v>
      </c>
      <c r="O170" s="433" t="s">
        <v>105</v>
      </c>
      <c r="P170" s="380"/>
      <c r="Q170" s="370">
        <f>MAX($Q$114:Q$169)+1</f>
        <v>2</v>
      </c>
    </row>
    <row r="171" spans="4:18" ht="31.5" customHeight="1" x14ac:dyDescent="0.45">
      <c r="D171" s="369" t="str">
        <f>Criteria!E10</f>
        <v>T/A RENTAL PROPERTIES, SEAFRONT RESTAURANT AND SURF SHOP</v>
      </c>
      <c r="R171" s="416" t="str">
        <f>IF(D171=0,"DELETE"," ")</f>
        <v xml:space="preserve"> </v>
      </c>
    </row>
    <row r="172" spans="4:18" ht="31.5" customHeight="1" x14ac:dyDescent="0.45"/>
    <row r="173" spans="4:18" ht="31.5" customHeight="1" x14ac:dyDescent="0.45">
      <c r="D173" s="369" t="str">
        <f>IF(MAX(Criteria!I38:I42)&gt;1,"TRUSTEES' RESPONSIBILITY STATEMENT AND APPROVAL","TRUSTEE'S RESPONSIBILITY STATEMENT AND APPROVAL")</f>
        <v>TRUSTEES' RESPONSIBILITY STATEMENT AND APPROVAL</v>
      </c>
    </row>
    <row r="174" spans="4:18" ht="31.5" customHeight="1" x14ac:dyDescent="0.45">
      <c r="D174" s="383"/>
      <c r="E174" s="383"/>
      <c r="F174" s="383"/>
      <c r="G174" s="383"/>
      <c r="H174" s="383"/>
      <c r="I174" s="383"/>
      <c r="J174" s="383"/>
      <c r="K174" s="383"/>
      <c r="L174" s="383"/>
      <c r="M174" s="472"/>
      <c r="N174" s="473"/>
      <c r="O174" s="474"/>
      <c r="P174" s="475"/>
      <c r="Q174" s="383"/>
    </row>
    <row r="175" spans="4:18" ht="31.5" customHeight="1" x14ac:dyDescent="0.45"/>
    <row r="176" spans="4:18" ht="31.5" customHeight="1" x14ac:dyDescent="0.45"/>
    <row r="177" spans="4:4" ht="31.5" customHeight="1" x14ac:dyDescent="0.45">
      <c r="D177" s="369" t="str">
        <f>IF(MAX(Criteria!I38:I42)&gt;1,"TRUSTEES' RESPONSIBILITY STATEMENT","TRUSTEE'S RESPONSIBILITY STATEMENT")</f>
        <v>TRUSTEES' RESPONSIBILITY STATEMENT</v>
      </c>
    </row>
    <row r="178" spans="4:4" ht="31.5" customHeight="1" x14ac:dyDescent="0.45"/>
    <row r="179" spans="4:4" ht="31.5" customHeight="1" x14ac:dyDescent="0.45">
      <c r="D179" s="368" t="str">
        <f>CONCATENATE("The ",IF(MAX(Criteria!I38:I42)&gt;1,"trustees are ","trustee is "),"responsible for the preparation and fair presentation of the annual Financial")</f>
        <v>The trustees are responsible for the preparation and fair presentation of the annual Financial</v>
      </c>
    </row>
    <row r="180" spans="4:4" ht="31.5" customHeight="1" x14ac:dyDescent="0.45">
      <c r="D180" s="368" t="str">
        <f>CONCATENATE("Statements of ",Criteria!E11,", comprising the statement of")</f>
        <v>Statements of ABC Trust, comprising the statement of</v>
      </c>
    </row>
    <row r="181" spans="4:4" ht="31.5" customHeight="1" x14ac:dyDescent="0.45">
      <c r="D181" s="368" t="str">
        <f>CONCATENATE("financial position as at ",Criteria!G24,", statement of comprehensive income for the year then")</f>
        <v>financial position as at 29 February 2024, statement of comprehensive income for the year then</v>
      </c>
    </row>
    <row r="182" spans="4:4" ht="31.5" customHeight="1" x14ac:dyDescent="0.45">
      <c r="D182" s="368" t="s">
        <v>1024</v>
      </c>
    </row>
    <row r="183" spans="4:4" ht="31.5" customHeight="1" x14ac:dyDescent="0.45"/>
    <row r="184" spans="4:4" ht="31.5" customHeight="1" x14ac:dyDescent="0.45">
      <c r="D184" s="368" t="str">
        <f>CONCATENATE("The ",IF(MAX(Criteria!I38:I42)&gt;1,"trustees are ","trustee is "),"also responsible for such internal control as ",IF(MAX(Criteria!I38:I42)&gt;1,"they determine is ","is determined "),"necessary to")</f>
        <v>The trustees are also responsible for such internal control as they determine is necessary to</v>
      </c>
    </row>
    <row r="185" spans="4:4" ht="31.5" customHeight="1" x14ac:dyDescent="0.45">
      <c r="D185" s="368" t="s">
        <v>1025</v>
      </c>
    </row>
    <row r="186" spans="4:4" ht="31.5" customHeight="1" x14ac:dyDescent="0.45">
      <c r="D186" s="368" t="s">
        <v>1027</v>
      </c>
    </row>
    <row r="187" spans="4:4" ht="31.5" customHeight="1" x14ac:dyDescent="0.45">
      <c r="D187" s="368" t="s">
        <v>1026</v>
      </c>
    </row>
    <row r="188" spans="4:4" ht="31.5" customHeight="1" x14ac:dyDescent="0.45"/>
    <row r="189" spans="4:4" ht="31.5" customHeight="1" x14ac:dyDescent="0.45">
      <c r="D189" s="369" t="s">
        <v>705</v>
      </c>
    </row>
    <row r="190" spans="4:4" ht="31.5" customHeight="1" x14ac:dyDescent="0.45"/>
    <row r="191" spans="4:4" ht="31.5" customHeight="1" x14ac:dyDescent="0.45">
      <c r="D191" s="368" t="str">
        <f>CONCATENATE("The annual Financial Statements of ",Criteria!E11,", as identified")</f>
        <v>The annual Financial Statements of ABC Trust, as identified</v>
      </c>
    </row>
    <row r="192" spans="4:4" ht="31.5" customHeight="1" x14ac:dyDescent="0.45">
      <c r="D192" s="368" t="str">
        <f>CONCATENATE("in the first paragraph, ",IF(MAX(Criteria!I38:I42)&gt;1,"were approved by the Trustees and signed on their behalf by:","was approved by the Trustee and signed accordingly:"))</f>
        <v>in the first paragraph, were approved by the Trustees and signed on their behalf by:</v>
      </c>
    </row>
    <row r="193" spans="4:13" ht="31.5" customHeight="1" x14ac:dyDescent="0.45"/>
    <row r="194" spans="4:13" ht="31.5" customHeight="1" x14ac:dyDescent="0.45"/>
    <row r="195" spans="4:13" ht="31.5" customHeight="1" x14ac:dyDescent="0.45"/>
    <row r="196" spans="4:13" ht="31.5" customHeight="1" x14ac:dyDescent="0.45"/>
    <row r="197" spans="4:13" ht="31.5" customHeight="1" x14ac:dyDescent="0.45"/>
    <row r="198" spans="4:13" ht="31.5" customHeight="1" x14ac:dyDescent="0.45"/>
    <row r="199" spans="4:13" ht="31.5" customHeight="1" x14ac:dyDescent="0.45"/>
    <row r="200" spans="4:13" ht="31.5" customHeight="1" x14ac:dyDescent="0.45"/>
    <row r="201" spans="4:13" ht="31.5" customHeight="1" x14ac:dyDescent="0.45"/>
    <row r="202" spans="4:13" ht="31.5" customHeight="1" x14ac:dyDescent="0.45">
      <c r="D202" s="368" t="s">
        <v>156</v>
      </c>
      <c r="M202" s="467" t="str">
        <f>IF(Criteria!F39="Signature",D202," ")</f>
        <v>. . . . . . . . . . . . . . . . . . . . . . .</v>
      </c>
    </row>
    <row r="203" spans="4:13" ht="31.5" customHeight="1" x14ac:dyDescent="0.45">
      <c r="D203" s="368" t="str">
        <f>Criteria!E38</f>
        <v>A Trustee</v>
      </c>
      <c r="M203" s="467" t="str">
        <f>IF(Criteria!F39="Signature",Criteria!E39," ")</f>
        <v>C Trustee</v>
      </c>
    </row>
    <row r="204" spans="4:13" ht="31.5" customHeight="1" x14ac:dyDescent="0.45"/>
    <row r="205" spans="4:13" ht="31.5" customHeight="1" x14ac:dyDescent="0.45"/>
    <row r="206" spans="4:13" ht="31.5" customHeight="1" x14ac:dyDescent="0.45">
      <c r="D206" s="368" t="str">
        <f>Criteria!F29</f>
        <v>Johannesburg</v>
      </c>
      <c r="H206" s="368" t="s">
        <v>110</v>
      </c>
      <c r="J206" s="498"/>
      <c r="K206" s="498"/>
    </row>
    <row r="207" spans="4:13" ht="14.25" customHeight="1" x14ac:dyDescent="0.45">
      <c r="J207" s="368" t="s">
        <v>808</v>
      </c>
    </row>
    <row r="208" spans="4:13" ht="31.5" customHeight="1" x14ac:dyDescent="0.45"/>
    <row r="209" ht="31.5" customHeight="1" x14ac:dyDescent="0.45"/>
    <row r="210" ht="31.5" customHeight="1" x14ac:dyDescent="0.45"/>
    <row r="211" ht="31.5" customHeight="1" x14ac:dyDescent="0.45"/>
    <row r="212" ht="31.5" customHeight="1" x14ac:dyDescent="0.45"/>
    <row r="213" ht="31.5" customHeight="1" x14ac:dyDescent="0.45"/>
    <row r="214" ht="31.5" customHeight="1" x14ac:dyDescent="0.45"/>
    <row r="215" ht="31.5" customHeight="1" x14ac:dyDescent="0.45"/>
    <row r="216" ht="31.5" customHeight="1" x14ac:dyDescent="0.45"/>
    <row r="217" ht="31.5" customHeight="1" x14ac:dyDescent="0.45"/>
    <row r="218" ht="31.5" customHeight="1" x14ac:dyDescent="0.45"/>
    <row r="219" ht="31.5" customHeight="1" x14ac:dyDescent="0.45"/>
    <row r="220" ht="31.5" customHeight="1" x14ac:dyDescent="0.45"/>
    <row r="221" ht="31.5" customHeight="1" x14ac:dyDescent="0.45"/>
    <row r="222" ht="31.5" customHeight="1" x14ac:dyDescent="0.45"/>
    <row r="223" ht="31.5" customHeight="1" x14ac:dyDescent="0.45"/>
    <row r="224" ht="31.5" customHeight="1" x14ac:dyDescent="0.45"/>
    <row r="225" spans="4:17" ht="31.5" customHeight="1" x14ac:dyDescent="0.45">
      <c r="O225" s="433"/>
      <c r="P225" s="380"/>
      <c r="Q225" s="370"/>
    </row>
    <row r="226" spans="4:17" ht="31.5" customHeight="1" x14ac:dyDescent="0.45">
      <c r="K226" s="372"/>
      <c r="L226" s="372"/>
      <c r="M226" s="37"/>
      <c r="N226" s="372"/>
      <c r="O226" s="433" t="s">
        <v>105</v>
      </c>
      <c r="Q226" s="370">
        <f>MAX($Q$114:Q225)+1</f>
        <v>3</v>
      </c>
    </row>
    <row r="227" spans="4:17" ht="31.5" customHeight="1" x14ac:dyDescent="0.45">
      <c r="M227" s="431"/>
      <c r="O227" s="431"/>
    </row>
    <row r="228" spans="4:17" ht="31.5" customHeight="1" x14ac:dyDescent="0.45">
      <c r="L228" s="372"/>
      <c r="M228" s="37"/>
      <c r="O228" s="476"/>
    </row>
    <row r="229" spans="4:17" ht="31.5" customHeight="1" x14ac:dyDescent="0.45">
      <c r="L229" s="372"/>
      <c r="M229" s="37"/>
      <c r="O229" s="476"/>
    </row>
    <row r="230" spans="4:17" ht="31.5" customHeight="1" x14ac:dyDescent="0.45">
      <c r="L230" s="372"/>
      <c r="M230" s="431"/>
      <c r="O230" s="431"/>
    </row>
    <row r="231" spans="4:17" ht="31.5" customHeight="1" x14ac:dyDescent="0.45">
      <c r="L231" s="372"/>
      <c r="M231" s="432"/>
    </row>
    <row r="232" spans="4:17" ht="31.5" customHeight="1" x14ac:dyDescent="0.45">
      <c r="L232" s="372"/>
    </row>
    <row r="233" spans="4:17" ht="31.5" customHeight="1" x14ac:dyDescent="0.45">
      <c r="M233" s="477"/>
      <c r="N233" s="478"/>
      <c r="O233" s="477"/>
      <c r="P233" s="478"/>
    </row>
    <row r="234" spans="4:17" ht="31.5" customHeight="1" x14ac:dyDescent="0.45"/>
    <row r="235" spans="4:17" ht="31.5" customHeight="1" x14ac:dyDescent="0.45"/>
    <row r="236" spans="4:17" ht="31.5" customHeight="1" x14ac:dyDescent="0.45">
      <c r="D236" s="369" t="str">
        <f>IF(MAX(Criteria!I38:I42)&gt;1,"ACCOUNTANT'S COMPILATION REPORT TO THE TRUSTEES OF","ACCOUNTANT'S COMPILATION REPORT TO THE TRUSTEE OF")</f>
        <v>ACCOUNTANT'S COMPILATION REPORT TO THE TRUSTEES OF</v>
      </c>
    </row>
    <row r="237" spans="4:17" ht="31.5" customHeight="1" x14ac:dyDescent="0.45">
      <c r="D237" s="369" t="str">
        <f>Criteria!E9</f>
        <v>ABC TRUST</v>
      </c>
    </row>
    <row r="238" spans="4:17" ht="31.5" customHeight="1" x14ac:dyDescent="0.45"/>
    <row r="239" spans="4:17" ht="31.5" customHeight="1" x14ac:dyDescent="0.45">
      <c r="D239" s="368" t="str">
        <f>CONCATENATE("We have compiled the accompanying Financial Statements of ",Criteria!E11,",")</f>
        <v>We have compiled the accompanying Financial Statements of ABC Trust,</v>
      </c>
    </row>
    <row r="240" spans="4:17" ht="31.5" customHeight="1" x14ac:dyDescent="0.45">
      <c r="D240" s="368" t="str">
        <f>CONCATENATE("as set out on pages ",Q282," to ",MAX(Q282:Q1511),", based on information you have provided. These Financial Statements")</f>
        <v>as set out on pages 4 to 33, based on information you have provided. These Financial Statements</v>
      </c>
    </row>
    <row r="241" spans="4:4" ht="31.5" customHeight="1" x14ac:dyDescent="0.45">
      <c r="D241" s="368" t="str">
        <f>CONCATENATE("comprise the statement of financial position of ",Criteria!E11," as at")</f>
        <v>comprise the statement of financial position of ABC Trust as at</v>
      </c>
    </row>
    <row r="242" spans="4:4" ht="31.5" customHeight="1" x14ac:dyDescent="0.45">
      <c r="D242" s="368" t="str">
        <f>CONCATENATE(Criteria!G24,", the statement of comprehensive income for the year then ended and notes")</f>
        <v>29 February 2024, the statement of comprehensive income for the year then ended and notes</v>
      </c>
    </row>
    <row r="243" spans="4:4" ht="31.5" customHeight="1" x14ac:dyDescent="0.45">
      <c r="D243" s="368" t="s">
        <v>1177</v>
      </c>
    </row>
    <row r="244" spans="4:4" ht="31.5" customHeight="1" x14ac:dyDescent="0.45"/>
    <row r="245" spans="4:4" ht="31.5" customHeight="1" x14ac:dyDescent="0.45">
      <c r="D245" s="368" t="s">
        <v>1029</v>
      </c>
    </row>
    <row r="246" spans="4:4" ht="31.5" customHeight="1" x14ac:dyDescent="0.45">
      <c r="D246" s="368" t="s">
        <v>1028</v>
      </c>
    </row>
    <row r="247" spans="4:4" ht="31.5" customHeight="1" x14ac:dyDescent="0.45"/>
    <row r="248" spans="4:4" ht="31.5" customHeight="1" x14ac:dyDescent="0.45">
      <c r="D248" s="368" t="s">
        <v>1030</v>
      </c>
    </row>
    <row r="249" spans="4:4" ht="31.5" customHeight="1" x14ac:dyDescent="0.45">
      <c r="D249" s="368" t="s">
        <v>1031</v>
      </c>
    </row>
    <row r="250" spans="4:4" ht="31.5" customHeight="1" x14ac:dyDescent="0.45">
      <c r="D250" s="368" t="s">
        <v>1033</v>
      </c>
    </row>
    <row r="251" spans="4:4" ht="31.5" customHeight="1" x14ac:dyDescent="0.45">
      <c r="D251" s="368" t="s">
        <v>1032</v>
      </c>
    </row>
    <row r="252" spans="4:4" ht="31.5" customHeight="1" x14ac:dyDescent="0.45"/>
    <row r="253" spans="4:4" ht="31.5" customHeight="1" x14ac:dyDescent="0.45">
      <c r="D253" s="368" t="s">
        <v>1035</v>
      </c>
    </row>
    <row r="254" spans="4:4" ht="31.5" customHeight="1" x14ac:dyDescent="0.45">
      <c r="D254" s="368" t="s">
        <v>1034</v>
      </c>
    </row>
    <row r="255" spans="4:4" ht="31.5" customHeight="1" x14ac:dyDescent="0.45"/>
    <row r="256" spans="4:4" ht="31.5" customHeight="1" x14ac:dyDescent="0.45">
      <c r="D256" s="368" t="s">
        <v>1036</v>
      </c>
    </row>
    <row r="257" spans="4:8" ht="31.5" customHeight="1" x14ac:dyDescent="0.45">
      <c r="D257" s="368" t="s">
        <v>1037</v>
      </c>
    </row>
    <row r="258" spans="4:8" ht="31.5" customHeight="1" x14ac:dyDescent="0.45">
      <c r="D258" s="368" t="s">
        <v>1042</v>
      </c>
    </row>
    <row r="259" spans="4:8" ht="31.5" customHeight="1" x14ac:dyDescent="0.45"/>
    <row r="260" spans="4:8" ht="31.5" customHeight="1" x14ac:dyDescent="0.45"/>
    <row r="261" spans="4:8" ht="31.5" customHeight="1" x14ac:dyDescent="0.45"/>
    <row r="262" spans="4:8" ht="31.5" customHeight="1" x14ac:dyDescent="0.45">
      <c r="D262" s="368" t="s">
        <v>134</v>
      </c>
    </row>
    <row r="263" spans="4:8" ht="31.5" customHeight="1" x14ac:dyDescent="0.45">
      <c r="D263" s="498" t="s">
        <v>1007</v>
      </c>
      <c r="E263" s="498"/>
      <c r="F263" s="498"/>
      <c r="G263" s="498"/>
      <c r="H263" s="498"/>
    </row>
    <row r="264" spans="4:8" ht="31.5" customHeight="1" x14ac:dyDescent="0.45"/>
    <row r="265" spans="4:8" ht="31.5" customHeight="1" x14ac:dyDescent="0.45"/>
    <row r="266" spans="4:8" ht="31.5" customHeight="1" x14ac:dyDescent="0.45">
      <c r="D266" s="368" t="s">
        <v>110</v>
      </c>
      <c r="E266" s="498"/>
      <c r="F266" s="498"/>
      <c r="G266" s="498"/>
      <c r="H266" s="498"/>
    </row>
    <row r="267" spans="4:8" ht="14.25" customHeight="1" x14ac:dyDescent="0.45">
      <c r="E267" s="368" t="s">
        <v>135</v>
      </c>
    </row>
    <row r="268" spans="4:8" ht="31.5" customHeight="1" x14ac:dyDescent="0.45"/>
    <row r="269" spans="4:8" ht="31.5" customHeight="1" x14ac:dyDescent="0.45">
      <c r="D269" s="368" t="str">
        <f>Criteria!F29</f>
        <v>Johannesburg</v>
      </c>
    </row>
    <row r="270" spans="4:8" ht="31.5" customHeight="1" x14ac:dyDescent="0.45"/>
    <row r="271" spans="4:8" ht="31.5" customHeight="1" x14ac:dyDescent="0.45"/>
    <row r="272" spans="4:8" ht="31.5" customHeight="1" x14ac:dyDescent="0.45"/>
    <row r="273" spans="2:18" ht="31.5" customHeight="1" x14ac:dyDescent="0.45">
      <c r="H273" s="469"/>
      <c r="J273" s="469"/>
      <c r="K273" s="469"/>
      <c r="M273" s="479"/>
      <c r="O273" s="479"/>
    </row>
    <row r="274" spans="2:18" ht="31.5" customHeight="1" x14ac:dyDescent="0.45"/>
    <row r="275" spans="2:18" ht="31.5" customHeight="1" x14ac:dyDescent="0.45">
      <c r="M275" s="477"/>
      <c r="N275" s="478"/>
      <c r="O275" s="477"/>
      <c r="P275" s="478"/>
    </row>
    <row r="276" spans="2:18" ht="31.5" customHeight="1" x14ac:dyDescent="0.45">
      <c r="M276" s="477"/>
      <c r="N276" s="478"/>
      <c r="O276" s="477"/>
      <c r="P276" s="478"/>
    </row>
    <row r="277" spans="2:18" ht="31.5" customHeight="1" x14ac:dyDescent="0.45">
      <c r="M277" s="431"/>
      <c r="N277" s="368"/>
      <c r="O277" s="431"/>
      <c r="P277" s="368"/>
    </row>
    <row r="278" spans="2:18" ht="31.5" customHeight="1" x14ac:dyDescent="0.45">
      <c r="M278" s="431"/>
      <c r="N278" s="368"/>
      <c r="O278" s="431"/>
      <c r="P278" s="368"/>
    </row>
    <row r="279" spans="2:18" ht="31.5" customHeight="1" x14ac:dyDescent="0.45">
      <c r="M279" s="431"/>
      <c r="N279" s="368"/>
      <c r="O279" s="431"/>
      <c r="P279" s="368"/>
    </row>
    <row r="280" spans="2:18" ht="31.5" customHeight="1" x14ac:dyDescent="0.45"/>
    <row r="281" spans="2:18" ht="31.5" customHeight="1" x14ac:dyDescent="0.45"/>
    <row r="282" spans="2:18" ht="31.5" customHeight="1" x14ac:dyDescent="0.45">
      <c r="D282" s="369" t="str">
        <f>Criteria!E9</f>
        <v>ABC TRUST</v>
      </c>
      <c r="O282" s="433" t="s">
        <v>105</v>
      </c>
      <c r="Q282" s="370">
        <f>MAX($Q$114:Q281)+1</f>
        <v>4</v>
      </c>
    </row>
    <row r="283" spans="2:18" ht="31.5" customHeight="1" x14ac:dyDescent="0.45">
      <c r="D283" s="369" t="str">
        <f>Criteria!E10</f>
        <v>T/A RENTAL PROPERTIES, SEAFRONT RESTAURANT AND SURF SHOP</v>
      </c>
      <c r="R283" s="416" t="str">
        <f>IF(D283=0,"DELETE"," ")</f>
        <v xml:space="preserve"> </v>
      </c>
    </row>
    <row r="284" spans="2:18" ht="31.5" customHeight="1" x14ac:dyDescent="0.45"/>
    <row r="285" spans="2:18" ht="31.5" customHeight="1" x14ac:dyDescent="0.45">
      <c r="D285" s="369" t="s">
        <v>647</v>
      </c>
    </row>
    <row r="286" spans="2:18" ht="31.5" customHeight="1" x14ac:dyDescent="0.45">
      <c r="D286" s="369" t="str">
        <f>Criteria!E20</f>
        <v>29 FEBRUARY 2024</v>
      </c>
    </row>
    <row r="287" spans="2:18" ht="31.5" customHeight="1" x14ac:dyDescent="0.45">
      <c r="K287" s="383"/>
      <c r="L287" s="383"/>
      <c r="M287" s="474"/>
      <c r="N287" s="475"/>
      <c r="O287" s="474"/>
    </row>
    <row r="288" spans="2:18" ht="31.5" customHeight="1" x14ac:dyDescent="0.45">
      <c r="B288" s="385"/>
      <c r="C288" s="386"/>
      <c r="D288" s="386"/>
      <c r="E288" s="386"/>
      <c r="F288" s="386"/>
      <c r="G288" s="386"/>
      <c r="H288" s="386"/>
      <c r="I288" s="386"/>
      <c r="J288" s="386"/>
      <c r="K288" s="370"/>
      <c r="L288" s="370"/>
      <c r="M288" s="430"/>
      <c r="N288" s="379"/>
      <c r="O288" s="430"/>
      <c r="P288" s="399"/>
      <c r="Q288" s="387"/>
    </row>
    <row r="289" spans="2:24" ht="31.5" customHeight="1" x14ac:dyDescent="0.45">
      <c r="B289" s="388"/>
      <c r="K289" s="370" t="s">
        <v>113</v>
      </c>
      <c r="L289" s="370"/>
      <c r="M289" s="430">
        <f>Criteria!E22</f>
        <v>2024</v>
      </c>
      <c r="N289" s="379"/>
      <c r="O289" s="430">
        <f>Criteria!E27</f>
        <v>2023</v>
      </c>
      <c r="P289" s="379"/>
      <c r="Q289" s="389"/>
    </row>
    <row r="290" spans="2:24" ht="31.5" customHeight="1" x14ac:dyDescent="0.45">
      <c r="B290" s="388"/>
      <c r="K290" s="370"/>
      <c r="L290" s="370"/>
      <c r="M290" s="433"/>
      <c r="N290" s="380"/>
      <c r="O290" s="433"/>
      <c r="P290" s="380"/>
      <c r="Q290" s="389"/>
    </row>
    <row r="291" spans="2:24" ht="31.5" customHeight="1" x14ac:dyDescent="0.45">
      <c r="B291" s="388"/>
      <c r="D291" s="368" t="s">
        <v>995</v>
      </c>
      <c r="K291" s="370"/>
      <c r="L291" s="370"/>
      <c r="M291" s="441">
        <f>SUM(M292:M297)</f>
        <v>0</v>
      </c>
      <c r="N291" s="400"/>
      <c r="O291" s="441">
        <f>SUM(O292:O297)</f>
        <v>0</v>
      </c>
      <c r="P291" s="401"/>
      <c r="Q291" s="389"/>
      <c r="S291" s="421">
        <f>M291</f>
        <v>0</v>
      </c>
      <c r="T291" s="421"/>
      <c r="U291" s="421">
        <f>O291</f>
        <v>0</v>
      </c>
    </row>
    <row r="292" spans="2:24" ht="9" customHeight="1" x14ac:dyDescent="0.45">
      <c r="B292" s="388"/>
      <c r="K292" s="370"/>
      <c r="L292" s="370"/>
      <c r="M292" s="441"/>
      <c r="N292" s="400"/>
      <c r="O292" s="441"/>
      <c r="P292" s="401"/>
      <c r="Q292" s="389"/>
    </row>
    <row r="293" spans="2:24" ht="9" customHeight="1" x14ac:dyDescent="0.45">
      <c r="B293" s="388"/>
      <c r="K293" s="370"/>
      <c r="L293" s="370"/>
      <c r="M293" s="435"/>
      <c r="N293" s="391"/>
      <c r="O293" s="450"/>
      <c r="P293" s="401"/>
      <c r="Q293" s="389"/>
      <c r="R293" s="416" t="str">
        <f>IF(SUM(M294:M296)=0,IF(SUM(O294:O296)=0,"DELETE"," ")," ")</f>
        <v>DELETE</v>
      </c>
    </row>
    <row r="294" spans="2:24" ht="31.5" customHeight="1" x14ac:dyDescent="0.45">
      <c r="B294" s="388"/>
      <c r="D294" s="368" t="s">
        <v>658</v>
      </c>
      <c r="K294" s="370">
        <f>B441</f>
        <v>1</v>
      </c>
      <c r="L294" s="370"/>
      <c r="M294" s="436">
        <f>-SUM(TrialBalance!L144:L151)-SUM(TrialBalanceA!I144:I151)-SUM(TrialBalanceB!I144:I151)-SUM(TrialBalanceC!I144:I151)</f>
        <v>0</v>
      </c>
      <c r="N294" s="400"/>
      <c r="O294" s="451">
        <f>-SUM(TrialBalance!N144:N151)-SUM(TrialBalanceA!K144:K151)-SUM(TrialBalanceB!K144:K151)-SUM(TrialBalanceC!K144:K151)</f>
        <v>0</v>
      </c>
      <c r="P294" s="401"/>
      <c r="Q294" s="389"/>
      <c r="R294" s="416" t="str">
        <f t="shared" ref="R294:R296" si="1">IF(M294=0,IF(O294=0,"DELETE"," ")," ")</f>
        <v>DELETE</v>
      </c>
      <c r="S294" s="421"/>
      <c r="T294" s="421"/>
      <c r="U294" s="421"/>
      <c r="V294" s="417" t="b">
        <f>M294=M476</f>
        <v>1</v>
      </c>
      <c r="X294" s="417" t="b">
        <f>O294=O476</f>
        <v>1</v>
      </c>
    </row>
    <row r="295" spans="2:24" ht="31.5" customHeight="1" x14ac:dyDescent="0.45">
      <c r="B295" s="388"/>
      <c r="D295" s="368" t="s">
        <v>503</v>
      </c>
      <c r="K295" s="370">
        <f>B480</f>
        <v>2</v>
      </c>
      <c r="L295" s="370"/>
      <c r="M295" s="436">
        <f>-SUM(TrialBalance!L153:L154)-SUM(TrialBalanceA!I153:I154)-SUM(TrialBalanceB!I153:I154)-SUM(TrialBalanceC!I153:I154)</f>
        <v>0</v>
      </c>
      <c r="N295" s="400"/>
      <c r="O295" s="451">
        <f>-SUM(TrialBalance!N153:N154)-SUM(TrialBalanceA!K153:K154)-SUM(TrialBalanceB!K153:K154)-SUM(TrialBalanceC!K153:K154)</f>
        <v>0</v>
      </c>
      <c r="P295" s="401"/>
      <c r="Q295" s="389"/>
      <c r="R295" s="416" t="str">
        <f t="shared" si="1"/>
        <v>DELETE</v>
      </c>
      <c r="V295" s="417" t="b">
        <f>M295=M485</f>
        <v>1</v>
      </c>
      <c r="X295" s="417" t="b">
        <f>O295=O485</f>
        <v>1</v>
      </c>
    </row>
    <row r="296" spans="2:24" ht="31.5" customHeight="1" x14ac:dyDescent="0.45">
      <c r="B296" s="388"/>
      <c r="D296" s="368" t="s">
        <v>210</v>
      </c>
      <c r="K296" s="370">
        <f>B502</f>
        <v>3</v>
      </c>
      <c r="L296" s="370"/>
      <c r="M296" s="442">
        <f>-SUM(TrialBalance!L156:L165)-SUM(TrialBalanceA!I156:I165)-SUM(TrialBalanceB!I156:I165)-SUM(TrialBalanceC!I156:I165)</f>
        <v>0</v>
      </c>
      <c r="N296" s="402"/>
      <c r="O296" s="454">
        <f>-SUM(TrialBalance!N156:N165)-SUM(TrialBalanceA!K156:K165)-SUM(TrialBalanceB!K156:K165)-SUM(TrialBalanceC!K156:K165)</f>
        <v>0</v>
      </c>
      <c r="P296" s="401"/>
      <c r="Q296" s="389"/>
      <c r="R296" s="416" t="str">
        <f t="shared" si="1"/>
        <v>DELETE</v>
      </c>
      <c r="S296" s="421"/>
      <c r="T296" s="421"/>
      <c r="U296" s="421"/>
      <c r="V296" s="417" t="b">
        <f>M296=M545</f>
        <v>1</v>
      </c>
      <c r="X296" s="417" t="b">
        <f>O296=O545</f>
        <v>1</v>
      </c>
    </row>
    <row r="297" spans="2:24" ht="9" customHeight="1" x14ac:dyDescent="0.45">
      <c r="B297" s="388"/>
      <c r="K297" s="370"/>
      <c r="L297" s="370"/>
      <c r="M297" s="437"/>
      <c r="N297" s="392"/>
      <c r="O297" s="452"/>
      <c r="P297" s="401"/>
      <c r="Q297" s="389"/>
      <c r="R297" s="416" t="str">
        <f>IF(SUM(M294:M296)=0,IF(SUM(O294:O296)=0,"DELETE"," ")," ")</f>
        <v>DELETE</v>
      </c>
    </row>
    <row r="298" spans="2:24" ht="9" customHeight="1" x14ac:dyDescent="0.45">
      <c r="B298" s="388"/>
      <c r="K298" s="370"/>
      <c r="L298" s="370"/>
      <c r="M298" s="441"/>
      <c r="N298" s="400"/>
      <c r="O298" s="441"/>
      <c r="P298" s="401"/>
      <c r="Q298" s="389"/>
      <c r="R298" s="416" t="str">
        <f>R297</f>
        <v>DELETE</v>
      </c>
    </row>
    <row r="299" spans="2:24" ht="31.5" customHeight="1" x14ac:dyDescent="0.45">
      <c r="B299" s="388"/>
      <c r="K299" s="370"/>
      <c r="L299" s="370"/>
      <c r="M299" s="434"/>
      <c r="N299" s="390"/>
      <c r="O299" s="434"/>
      <c r="P299" s="380"/>
      <c r="Q299" s="389"/>
      <c r="S299" s="421"/>
      <c r="T299" s="421"/>
      <c r="U299" s="421"/>
    </row>
    <row r="300" spans="2:24" ht="31.5" customHeight="1" x14ac:dyDescent="0.45">
      <c r="B300" s="388"/>
      <c r="D300" s="368" t="s">
        <v>996</v>
      </c>
      <c r="K300" s="370">
        <f>B562</f>
        <v>4</v>
      </c>
      <c r="L300" s="370"/>
      <c r="M300" s="441">
        <f>SUM(TrialBalance!L167:L171)+SUM(TrialBalanceA!I167:I171)+SUM(TrialBalanceB!I167:I171)+SUM(TrialBalanceC!I167:I171)</f>
        <v>0</v>
      </c>
      <c r="N300" s="400"/>
      <c r="O300" s="441">
        <f>SUM(TrialBalance!N167:N171)+SUM(TrialBalanceA!K167:K171)+SUM(TrialBalanceB!K167:K171)+SUM(TrialBalanceC!K167:K171)</f>
        <v>0</v>
      </c>
      <c r="P300" s="380"/>
      <c r="Q300" s="389"/>
      <c r="R300" s="416" t="str">
        <f t="shared" ref="R300" si="2">IF(M300=0,IF(O300=0,"DELETE"," ")," ")</f>
        <v>DELETE</v>
      </c>
      <c r="S300" s="421">
        <f>-M300</f>
        <v>0</v>
      </c>
      <c r="T300" s="421"/>
      <c r="U300" s="421">
        <f>-O300</f>
        <v>0</v>
      </c>
      <c r="V300" s="417" t="b">
        <f>M300=M585</f>
        <v>1</v>
      </c>
      <c r="X300" s="417" t="b">
        <f>O300=O585</f>
        <v>1</v>
      </c>
    </row>
    <row r="301" spans="2:24" ht="9" customHeight="1" x14ac:dyDescent="0.45">
      <c r="B301" s="388"/>
      <c r="K301" s="370"/>
      <c r="L301" s="370"/>
      <c r="M301" s="438"/>
      <c r="N301" s="392"/>
      <c r="O301" s="438"/>
      <c r="P301" s="380"/>
      <c r="Q301" s="389"/>
      <c r="R301" s="416" t="str">
        <f>R300</f>
        <v>DELETE</v>
      </c>
    </row>
    <row r="302" spans="2:24" ht="9" customHeight="1" x14ac:dyDescent="0.45">
      <c r="B302" s="388"/>
      <c r="K302" s="370"/>
      <c r="L302" s="370"/>
      <c r="M302" s="434"/>
      <c r="N302" s="390"/>
      <c r="O302" s="434"/>
      <c r="P302" s="380"/>
      <c r="Q302" s="389"/>
      <c r="R302" s="416" t="str">
        <f>R300</f>
        <v>DELETE</v>
      </c>
    </row>
    <row r="303" spans="2:24" ht="31.5" customHeight="1" x14ac:dyDescent="0.45">
      <c r="B303" s="388"/>
      <c r="K303" s="370"/>
      <c r="L303" s="370"/>
      <c r="M303" s="434">
        <f>SUM(S291:S300)</f>
        <v>0</v>
      </c>
      <c r="N303" s="390"/>
      <c r="O303" s="434">
        <f>SUM(U291:U300)</f>
        <v>0</v>
      </c>
      <c r="P303" s="380"/>
      <c r="Q303" s="389"/>
      <c r="R303" s="416" t="str">
        <f>R300</f>
        <v>DELETE</v>
      </c>
    </row>
    <row r="304" spans="2:24" ht="31.5" customHeight="1" x14ac:dyDescent="0.45">
      <c r="B304" s="388"/>
      <c r="K304" s="370"/>
      <c r="L304" s="370"/>
      <c r="M304" s="434"/>
      <c r="N304" s="390"/>
      <c r="O304" s="434"/>
      <c r="P304" s="380"/>
      <c r="Q304" s="389"/>
      <c r="R304" s="416" t="str">
        <f>R303</f>
        <v>DELETE</v>
      </c>
    </row>
    <row r="305" spans="2:26" ht="31.5" customHeight="1" x14ac:dyDescent="0.45">
      <c r="B305" s="388"/>
      <c r="D305" s="384" t="str">
        <f>IF((Y305+Z305)=3,CONCATENATE("Net profit/(loss) - ",Criteria!H13),IF((Y305+Z305=4),CONCATENATE("Net profit - ",Criteria!H13),CONCATENATE("Net loss - ",Criteria!H13)))</f>
        <v>Net profit - Rental Properties</v>
      </c>
      <c r="K305" s="370"/>
      <c r="L305" s="370"/>
      <c r="M305" s="434">
        <f>-SUM(TrialBalance!L6:L30)-SUM(TrialBalance!L36:L141)</f>
        <v>0</v>
      </c>
      <c r="N305" s="390"/>
      <c r="O305" s="434">
        <f>-SUM(TrialBalance!N6:N30)-SUM(TrialBalance!N36:N141)</f>
        <v>0</v>
      </c>
      <c r="P305" s="380"/>
      <c r="Q305" s="389"/>
      <c r="R305" s="416" t="str">
        <f t="shared" ref="R305:R311" si="3">IF(M305=0,IF(O305=0,"DELETE"," ")," ")</f>
        <v>DELETE</v>
      </c>
      <c r="S305" s="421">
        <f>M305</f>
        <v>0</v>
      </c>
      <c r="U305" s="421">
        <f>O305</f>
        <v>0</v>
      </c>
      <c r="V305" s="417" t="b">
        <f>M305=M1663</f>
        <v>1</v>
      </c>
      <c r="X305" s="417" t="b">
        <f>O305=O1663</f>
        <v>1</v>
      </c>
      <c r="Y305" s="417">
        <f>IF(M305&lt;0,1,IF(M305=0,IF(O305&lt;0,1,2),2))</f>
        <v>2</v>
      </c>
      <c r="Z305" s="417">
        <f>IF(O305&lt;0,1,IF(O305=0,IF(M305&lt;0,1,2),2))</f>
        <v>2</v>
      </c>
    </row>
    <row r="306" spans="2:26" ht="31.5" customHeight="1" x14ac:dyDescent="0.45">
      <c r="B306" s="388"/>
      <c r="D306" s="384"/>
      <c r="K306" s="370"/>
      <c r="L306" s="370"/>
      <c r="M306" s="434"/>
      <c r="N306" s="390"/>
      <c r="O306" s="434"/>
      <c r="P306" s="380"/>
      <c r="Q306" s="389"/>
      <c r="R306" s="416" t="str">
        <f>R305</f>
        <v>DELETE</v>
      </c>
    </row>
    <row r="307" spans="2:26" ht="31.5" customHeight="1" x14ac:dyDescent="0.45">
      <c r="B307" s="388"/>
      <c r="D307" s="384" t="str">
        <f>IF((Y307+Z307)=3,CONCATENATE("Net profit/(loss) - ",Criteria!H14),IF((Y307+Z307=4),CONCATENATE("Net profit - ",Criteria!H14),CONCATENATE("Net loss - ",Criteria!H14)))</f>
        <v>Net profit - Seafront Restaurant</v>
      </c>
      <c r="K307" s="370"/>
      <c r="L307" s="370"/>
      <c r="M307" s="434">
        <f>-SUM(TrialBalanceA!I6:I141)</f>
        <v>0</v>
      </c>
      <c r="N307" s="390"/>
      <c r="O307" s="434">
        <f>-SUM(TrialBalanceA!K6:K141)</f>
        <v>0</v>
      </c>
      <c r="P307" s="380"/>
      <c r="Q307" s="389"/>
      <c r="R307" s="416" t="str">
        <f t="shared" si="3"/>
        <v>DELETE</v>
      </c>
      <c r="S307" s="421">
        <f>M307</f>
        <v>0</v>
      </c>
      <c r="U307" s="421">
        <f>O307</f>
        <v>0</v>
      </c>
      <c r="Y307" s="417">
        <f>IF(M307&lt;0,1,IF(M307=0,IF(O307&lt;0,1,2),2))</f>
        <v>2</v>
      </c>
      <c r="Z307" s="417">
        <f>IF(O307&lt;0,1,IF(O307=0,IF(M307&lt;0,1,2),2))</f>
        <v>2</v>
      </c>
    </row>
    <row r="308" spans="2:26" ht="31.5" customHeight="1" x14ac:dyDescent="0.45">
      <c r="B308" s="388"/>
      <c r="D308" s="384"/>
      <c r="K308" s="370"/>
      <c r="L308" s="370"/>
      <c r="M308" s="434"/>
      <c r="N308" s="390"/>
      <c r="O308" s="434"/>
      <c r="P308" s="380"/>
      <c r="Q308" s="389"/>
      <c r="R308" s="416" t="str">
        <f>R307</f>
        <v>DELETE</v>
      </c>
    </row>
    <row r="309" spans="2:26" ht="31.5" customHeight="1" x14ac:dyDescent="0.45">
      <c r="B309" s="388"/>
      <c r="D309" s="384" t="str">
        <f>IF((Y309+Z309)=3,CONCATENATE("Net profit/(loss) - ",Criteria!H15),IF((Y309+Z309=4),CONCATENATE("Net profit - ",Criteria!H15),CONCATENATE("Net loss - ",Criteria!H15)))</f>
        <v>Net profit - Surf Shop</v>
      </c>
      <c r="K309" s="370"/>
      <c r="L309" s="370"/>
      <c r="M309" s="434">
        <f>-SUM(TrialBalanceB!I6:I141)</f>
        <v>0</v>
      </c>
      <c r="N309" s="390"/>
      <c r="O309" s="434">
        <f>-SUM(TrialBalanceB!K6:K141)</f>
        <v>0</v>
      </c>
      <c r="P309" s="380"/>
      <c r="Q309" s="389"/>
      <c r="R309" s="416" t="str">
        <f t="shared" si="3"/>
        <v>DELETE</v>
      </c>
      <c r="S309" s="421">
        <f>M309</f>
        <v>0</v>
      </c>
      <c r="U309" s="421">
        <f>O309</f>
        <v>0</v>
      </c>
      <c r="Y309" s="417">
        <f>IF(M309&lt;0,1,IF(M309=0,IF(O309&lt;0,1,2),2))</f>
        <v>2</v>
      </c>
      <c r="Z309" s="417">
        <f>IF(O309&lt;0,1,IF(O309=0,IF(M309&lt;0,1,2),2))</f>
        <v>2</v>
      </c>
    </row>
    <row r="310" spans="2:26" ht="31.5" customHeight="1" x14ac:dyDescent="0.45">
      <c r="B310" s="388"/>
      <c r="D310" s="384"/>
      <c r="K310" s="370"/>
      <c r="L310" s="370"/>
      <c r="M310" s="434"/>
      <c r="N310" s="390"/>
      <c r="O310" s="434"/>
      <c r="P310" s="380"/>
      <c r="Q310" s="389"/>
      <c r="R310" s="416" t="str">
        <f>R309</f>
        <v>DELETE</v>
      </c>
    </row>
    <row r="311" spans="2:26" ht="31.5" customHeight="1" x14ac:dyDescent="0.45">
      <c r="B311" s="388"/>
      <c r="D311" s="384" t="str">
        <f>IF((Y311+Z311)=3,CONCATENATE("Net profit/(loss) - ",Criteria!H16),IF((Y311+Z311=4),CONCATENATE("Net profit - ",Criteria!H16),CONCATENATE("Net loss - ",Criteria!H16)))</f>
        <v xml:space="preserve">Net profit - </v>
      </c>
      <c r="K311" s="370"/>
      <c r="L311" s="370"/>
      <c r="M311" s="434">
        <f>-SUM(TrialBalanceC!I6:I141)</f>
        <v>0</v>
      </c>
      <c r="N311" s="390"/>
      <c r="O311" s="434">
        <f>-SUM(TrialBalanceC!K6:K141)</f>
        <v>0</v>
      </c>
      <c r="P311" s="380"/>
      <c r="Q311" s="389"/>
      <c r="R311" s="416" t="str">
        <f t="shared" si="3"/>
        <v>DELETE</v>
      </c>
      <c r="S311" s="421">
        <f>M311</f>
        <v>0</v>
      </c>
      <c r="U311" s="421">
        <f>O311</f>
        <v>0</v>
      </c>
      <c r="Y311" s="417">
        <f>IF(M311&lt;0,1,IF(M311=0,IF(O311&lt;0,1,2),2))</f>
        <v>2</v>
      </c>
      <c r="Z311" s="417">
        <f>IF(O311&lt;0,1,IF(O311=0,IF(M311&lt;0,1,2),2))</f>
        <v>2</v>
      </c>
    </row>
    <row r="312" spans="2:26" ht="31.5" customHeight="1" x14ac:dyDescent="0.45">
      <c r="B312" s="388"/>
      <c r="K312" s="370"/>
      <c r="L312" s="370"/>
      <c r="M312" s="434"/>
      <c r="N312" s="390"/>
      <c r="O312" s="434"/>
      <c r="P312" s="380"/>
      <c r="Q312" s="389"/>
      <c r="R312" s="416" t="str">
        <f>R311</f>
        <v>DELETE</v>
      </c>
    </row>
    <row r="313" spans="2:26" ht="9" customHeight="1" x14ac:dyDescent="0.45">
      <c r="B313" s="388"/>
      <c r="K313" s="370"/>
      <c r="L313" s="370"/>
      <c r="M313" s="438"/>
      <c r="N313" s="392"/>
      <c r="O313" s="438"/>
      <c r="P313" s="380"/>
      <c r="Q313" s="389"/>
    </row>
    <row r="314" spans="2:26" ht="9" customHeight="1" x14ac:dyDescent="0.45">
      <c r="B314" s="388"/>
      <c r="K314" s="370"/>
      <c r="L314" s="370"/>
      <c r="M314" s="434"/>
      <c r="N314" s="390"/>
      <c r="O314" s="434"/>
      <c r="P314" s="380"/>
      <c r="Q314" s="389"/>
    </row>
    <row r="315" spans="2:26" ht="31.5" customHeight="1" x14ac:dyDescent="0.45">
      <c r="B315" s="388"/>
      <c r="D315" s="384" t="str">
        <f>IF((Y315+Z315)=3,"NET PROFIT/(LOSS) BEFORE DISTRIBUTIONS",(IF((Y315+Z315=4),"NET PROFIT BEFORE DISTRIBUTIONS","NET LOSS BEFORE DISTRIBUTIONS")))</f>
        <v>NET PROFIT BEFORE DISTRIBUTIONS</v>
      </c>
      <c r="K315" s="370">
        <f>B685</f>
        <v>6</v>
      </c>
      <c r="L315" s="370"/>
      <c r="M315" s="434">
        <f>SUM(S291:S312)</f>
        <v>0</v>
      </c>
      <c r="N315" s="390"/>
      <c r="O315" s="434">
        <f>SUM(U291:U312)</f>
        <v>0</v>
      </c>
      <c r="P315" s="380"/>
      <c r="Q315" s="389"/>
      <c r="Y315" s="417">
        <f>IF(M315&lt;0,1,IF(M315=0,IF(O315&lt;0,1,2),2))</f>
        <v>2</v>
      </c>
      <c r="Z315" s="417">
        <f>IF(O315&lt;0,1,IF(O315=0,IF(M315&lt;0,1,2),2))</f>
        <v>2</v>
      </c>
    </row>
    <row r="316" spans="2:26" ht="31.5" customHeight="1" x14ac:dyDescent="0.45">
      <c r="B316" s="388"/>
      <c r="D316" s="384"/>
      <c r="K316" s="370"/>
      <c r="L316" s="370"/>
      <c r="M316" s="434"/>
      <c r="N316" s="390"/>
      <c r="O316" s="434"/>
      <c r="P316" s="380"/>
      <c r="Q316" s="389"/>
    </row>
    <row r="317" spans="2:26" ht="31.5" customHeight="1" x14ac:dyDescent="0.45">
      <c r="B317" s="388"/>
      <c r="D317" s="384" t="s">
        <v>903</v>
      </c>
      <c r="K317" s="370"/>
      <c r="L317" s="370"/>
      <c r="M317" s="434">
        <f>-TrialBalance!L175</f>
        <v>0</v>
      </c>
      <c r="N317" s="390"/>
      <c r="O317" s="434">
        <f>-TrialBalance!N175</f>
        <v>0</v>
      </c>
      <c r="P317" s="380"/>
      <c r="Q317" s="389"/>
    </row>
    <row r="318" spans="2:26" ht="31.5" customHeight="1" x14ac:dyDescent="0.45">
      <c r="B318" s="388"/>
      <c r="D318" s="384"/>
      <c r="K318" s="370"/>
      <c r="L318" s="370"/>
      <c r="M318" s="434"/>
      <c r="N318" s="390"/>
      <c r="O318" s="434"/>
      <c r="P318" s="380"/>
      <c r="Q318" s="389"/>
    </row>
    <row r="319" spans="2:26" ht="9" customHeight="1" x14ac:dyDescent="0.45">
      <c r="B319" s="388"/>
      <c r="D319" s="384"/>
      <c r="K319" s="370"/>
      <c r="L319" s="370"/>
      <c r="M319" s="438"/>
      <c r="N319" s="392"/>
      <c r="O319" s="438"/>
      <c r="P319" s="380"/>
      <c r="Q319" s="389"/>
    </row>
    <row r="320" spans="2:26" ht="9" customHeight="1" x14ac:dyDescent="0.45">
      <c r="B320" s="388"/>
      <c r="D320" s="384"/>
      <c r="K320" s="370"/>
      <c r="L320" s="370"/>
      <c r="M320" s="434"/>
      <c r="N320" s="390"/>
      <c r="O320" s="434"/>
      <c r="P320" s="380"/>
      <c r="Q320" s="389"/>
    </row>
    <row r="321" spans="2:26" ht="31.5" customHeight="1" x14ac:dyDescent="0.45">
      <c r="B321" s="388"/>
      <c r="D321" s="384" t="str">
        <f>IF((Y321+Z321)=3,"NET PROFIT/(LOSS) BEFORE TAXATION",(IF((Y321+Z321=4),"NET PROFIT BEFORE TAXATION","NET LOSS BEFORE TAXATION")))</f>
        <v>NET PROFIT BEFORE TAXATION</v>
      </c>
      <c r="K321" s="370"/>
      <c r="L321" s="370"/>
      <c r="M321" s="434">
        <f>SUM(M314:M319)</f>
        <v>0</v>
      </c>
      <c r="N321" s="390"/>
      <c r="O321" s="434">
        <f>SUM(O314:O319)</f>
        <v>0</v>
      </c>
      <c r="P321" s="380"/>
      <c r="Q321" s="389"/>
      <c r="Y321" s="417">
        <f>IF(M321&lt;0,1,IF(M321=0,IF(O321&lt;0,1,2),2))</f>
        <v>2</v>
      </c>
      <c r="Z321" s="417">
        <f>IF(O321&lt;0,1,IF(O321=0,IF(M321&lt;0,1,2),2))</f>
        <v>2</v>
      </c>
    </row>
    <row r="322" spans="2:26" ht="31.5" customHeight="1" x14ac:dyDescent="0.45">
      <c r="B322" s="388"/>
      <c r="K322" s="370"/>
      <c r="L322" s="370"/>
      <c r="M322" s="434"/>
      <c r="N322" s="390"/>
      <c r="O322" s="434"/>
      <c r="P322" s="380"/>
      <c r="Q322" s="389"/>
    </row>
    <row r="323" spans="2:26" ht="31.5" customHeight="1" x14ac:dyDescent="0.45">
      <c r="B323" s="388"/>
      <c r="D323" s="368" t="s">
        <v>124</v>
      </c>
      <c r="K323" s="370">
        <f>B772</f>
        <v>7</v>
      </c>
      <c r="L323" s="370"/>
      <c r="M323" s="443">
        <f>-SUM(TrialBalance!L172:L174)</f>
        <v>0</v>
      </c>
      <c r="N323" s="394"/>
      <c r="O323" s="443">
        <f>-SUM(TrialBalance!N172:N174)</f>
        <v>0</v>
      </c>
      <c r="P323" s="380"/>
      <c r="Q323" s="389"/>
      <c r="V323" s="417" t="b">
        <f>-M323=M782</f>
        <v>1</v>
      </c>
      <c r="X323" s="417" t="b">
        <f>-O323=O782</f>
        <v>1</v>
      </c>
    </row>
    <row r="324" spans="2:26" ht="9" customHeight="1" x14ac:dyDescent="0.45">
      <c r="B324" s="388"/>
      <c r="K324" s="370"/>
      <c r="L324" s="370"/>
      <c r="M324" s="438"/>
      <c r="N324" s="392"/>
      <c r="O324" s="438"/>
      <c r="P324" s="380"/>
      <c r="Q324" s="389"/>
      <c r="V324" s="425"/>
      <c r="W324" s="425"/>
      <c r="X324" s="425"/>
    </row>
    <row r="325" spans="2:26" ht="9" customHeight="1" x14ac:dyDescent="0.45">
      <c r="B325" s="388"/>
      <c r="K325" s="370"/>
      <c r="L325" s="370"/>
      <c r="M325" s="434"/>
      <c r="N325" s="390"/>
      <c r="O325" s="434"/>
      <c r="P325" s="380"/>
      <c r="Q325" s="389"/>
    </row>
    <row r="326" spans="2:26" ht="31.5" customHeight="1" x14ac:dyDescent="0.45">
      <c r="B326" s="388"/>
      <c r="D326" s="384" t="str">
        <f>IF((Y326+Z326)=3,"NET PROFIT/(LOSS) FOR THE YEAR AFTER TAXATION",(IF((Y326+Z326=4),"NET PROFIT FOR THE YEAR AFTER TAXATION","NET LOSS FOR THE YEAR AFTER TAXATION")))</f>
        <v>NET PROFIT FOR THE YEAR AFTER TAXATION</v>
      </c>
      <c r="K326" s="370"/>
      <c r="L326" s="370"/>
      <c r="M326" s="434">
        <f>SUM(M320:M324)</f>
        <v>0</v>
      </c>
      <c r="N326" s="390"/>
      <c r="O326" s="434">
        <f>SUM(O320:O324)</f>
        <v>0</v>
      </c>
      <c r="P326" s="380"/>
      <c r="Q326" s="389"/>
      <c r="V326" s="417" t="b">
        <f>M326=-TrialBalance!P3</f>
        <v>1</v>
      </c>
      <c r="X326" s="417" t="b">
        <f>O326=-TrialBalance!Q3</f>
        <v>1</v>
      </c>
      <c r="Y326" s="417">
        <f>IF(M326&lt;0,1,IF(M326=0,IF(O326&lt;0,1,2),2))</f>
        <v>2</v>
      </c>
      <c r="Z326" s="417">
        <f>IF(O326&lt;0,1,IF(O326=0,IF(M326&lt;0,1,2),2))</f>
        <v>2</v>
      </c>
    </row>
    <row r="327" spans="2:26" ht="31.5" customHeight="1" x14ac:dyDescent="0.45">
      <c r="B327" s="388"/>
      <c r="D327" s="384"/>
      <c r="K327" s="370"/>
      <c r="L327" s="370"/>
      <c r="M327" s="434"/>
      <c r="N327" s="390"/>
      <c r="O327" s="434"/>
      <c r="P327" s="380"/>
      <c r="Q327" s="389"/>
    </row>
    <row r="328" spans="2:26" ht="31.5" customHeight="1" x14ac:dyDescent="0.45">
      <c r="B328" s="388"/>
      <c r="D328" s="384" t="str">
        <f>IF((Y329+Z329)=3,"RETAINED INCOME/(ACCUMULATED LOSS)",(IF((Y329+Z329=4),"RETAINED INCOME","ACCUMULATED LOSS")))</f>
        <v>RETAINED INCOME</v>
      </c>
      <c r="K328" s="370"/>
      <c r="L328" s="370"/>
      <c r="M328" s="434"/>
      <c r="N328" s="390"/>
      <c r="O328" s="434"/>
      <c r="P328" s="380"/>
      <c r="Q328" s="389"/>
    </row>
    <row r="329" spans="2:26" ht="31.5" customHeight="1" x14ac:dyDescent="0.45">
      <c r="B329" s="388"/>
      <c r="D329" s="384" t="s">
        <v>180</v>
      </c>
      <c r="K329" s="370"/>
      <c r="L329" s="370"/>
      <c r="M329" s="434">
        <f>-TrialBalance!L190</f>
        <v>0</v>
      </c>
      <c r="N329" s="390"/>
      <c r="O329" s="434">
        <f>-TrialBalance!N190</f>
        <v>0</v>
      </c>
      <c r="P329" s="380"/>
      <c r="Q329" s="389"/>
      <c r="Y329" s="417">
        <f>IF(M329&lt;0,1,IF(M329=0,IF(O329&lt;0,1,2),2))</f>
        <v>2</v>
      </c>
      <c r="Z329" s="417">
        <f>IF(O329&lt;0,1,IF(O329=0,IF(M329&lt;0,1,2),2))</f>
        <v>2</v>
      </c>
    </row>
    <row r="330" spans="2:26" ht="9" customHeight="1" x14ac:dyDescent="0.45">
      <c r="B330" s="388"/>
      <c r="D330" s="384"/>
      <c r="K330" s="370"/>
      <c r="L330" s="370"/>
      <c r="M330" s="438"/>
      <c r="N330" s="392"/>
      <c r="O330" s="438"/>
      <c r="P330" s="380"/>
      <c r="Q330" s="389"/>
    </row>
    <row r="331" spans="2:26" ht="9" customHeight="1" x14ac:dyDescent="0.45">
      <c r="B331" s="388"/>
      <c r="D331" s="384"/>
      <c r="K331" s="370"/>
      <c r="L331" s="370"/>
      <c r="M331" s="434"/>
      <c r="N331" s="390"/>
      <c r="O331" s="434"/>
      <c r="P331" s="380"/>
      <c r="Q331" s="389"/>
    </row>
    <row r="332" spans="2:26" ht="31.5" customHeight="1" x14ac:dyDescent="0.45">
      <c r="B332" s="388"/>
      <c r="D332" s="384" t="str">
        <f>IF((Y333+Z333)=3,"RETAINED INCOME/(ACCUMULATED LOSS)",(IF((Y333+Z333=4),"RETAINED INCOME","ACCUMULATED LOSS")))</f>
        <v>RETAINED INCOME</v>
      </c>
      <c r="K332" s="370"/>
      <c r="L332" s="370"/>
      <c r="M332" s="434"/>
      <c r="N332" s="390"/>
      <c r="O332" s="434"/>
      <c r="P332" s="380"/>
      <c r="Q332" s="389"/>
    </row>
    <row r="333" spans="2:26" ht="31.5" customHeight="1" x14ac:dyDescent="0.45">
      <c r="B333" s="388"/>
      <c r="D333" s="384" t="s">
        <v>181</v>
      </c>
      <c r="K333" s="370"/>
      <c r="L333" s="370"/>
      <c r="M333" s="434">
        <f>SUM(M325:M330)</f>
        <v>0</v>
      </c>
      <c r="N333" s="390"/>
      <c r="O333" s="434">
        <f>SUM(O325:O330)</f>
        <v>0</v>
      </c>
      <c r="P333" s="380"/>
      <c r="Q333" s="389"/>
      <c r="Y333" s="417">
        <f>IF(M333&lt;0,1,IF(M333=0,IF(O333&lt;0,1,2),2))</f>
        <v>2</v>
      </c>
      <c r="Z333" s="417">
        <f>IF(O333&lt;0,1,IF(O333=0,IF(M333&lt;0,1,2),2))</f>
        <v>2</v>
      </c>
    </row>
    <row r="334" spans="2:26" ht="9" customHeight="1" thickBot="1" x14ac:dyDescent="0.5">
      <c r="B334" s="388"/>
      <c r="K334" s="370"/>
      <c r="L334" s="370"/>
      <c r="M334" s="439"/>
      <c r="N334" s="393"/>
      <c r="O334" s="439"/>
      <c r="P334" s="380"/>
      <c r="Q334" s="389"/>
    </row>
    <row r="335" spans="2:26" ht="9" customHeight="1" thickTop="1" x14ac:dyDescent="0.45">
      <c r="B335" s="388"/>
      <c r="K335" s="370"/>
      <c r="L335" s="370"/>
      <c r="M335" s="434"/>
      <c r="N335" s="390"/>
      <c r="O335" s="434"/>
      <c r="P335" s="380"/>
      <c r="Q335" s="389"/>
    </row>
    <row r="336" spans="2:26" ht="31.5" customHeight="1" x14ac:dyDescent="0.45">
      <c r="B336" s="388"/>
      <c r="K336" s="370"/>
      <c r="L336" s="370"/>
      <c r="M336" s="433"/>
      <c r="N336" s="380"/>
      <c r="O336" s="433"/>
      <c r="P336" s="380"/>
      <c r="Q336" s="389"/>
    </row>
    <row r="337" spans="2:24" ht="31.5" customHeight="1" x14ac:dyDescent="0.45">
      <c r="B337" s="388"/>
      <c r="K337" s="370"/>
      <c r="L337" s="370"/>
      <c r="M337" s="433"/>
      <c r="N337" s="380"/>
      <c r="O337" s="433"/>
      <c r="P337" s="380"/>
      <c r="Q337" s="389"/>
    </row>
    <row r="338" spans="2:24" ht="31.5" customHeight="1" x14ac:dyDescent="0.45">
      <c r="B338" s="388"/>
      <c r="K338" s="370"/>
      <c r="L338" s="370"/>
      <c r="M338" s="433"/>
      <c r="N338" s="380"/>
      <c r="O338" s="433"/>
      <c r="P338" s="380"/>
      <c r="Q338" s="389"/>
    </row>
    <row r="339" spans="2:24" ht="31.5" customHeight="1" x14ac:dyDescent="0.45">
      <c r="B339" s="388"/>
      <c r="K339" s="370"/>
      <c r="L339" s="370"/>
      <c r="M339" s="433"/>
      <c r="N339" s="380"/>
      <c r="O339" s="433"/>
      <c r="P339" s="380"/>
      <c r="Q339" s="389"/>
    </row>
    <row r="340" spans="2:24" ht="31.5" customHeight="1" x14ac:dyDescent="0.45">
      <c r="B340" s="388"/>
      <c r="K340" s="370"/>
      <c r="L340" s="370"/>
      <c r="M340" s="433"/>
      <c r="N340" s="380"/>
      <c r="O340" s="433"/>
      <c r="P340" s="380"/>
      <c r="Q340" s="389"/>
    </row>
    <row r="341" spans="2:24" ht="31.5" customHeight="1" x14ac:dyDescent="0.45">
      <c r="B341" s="388"/>
      <c r="K341" s="370"/>
      <c r="L341" s="370"/>
      <c r="M341" s="433"/>
      <c r="N341" s="380"/>
      <c r="O341" s="433"/>
      <c r="P341" s="380"/>
      <c r="Q341" s="389"/>
    </row>
    <row r="342" spans="2:24" ht="31.5" customHeight="1" x14ac:dyDescent="0.45">
      <c r="B342" s="388"/>
      <c r="K342" s="370"/>
      <c r="L342" s="370"/>
      <c r="M342" s="433"/>
      <c r="N342" s="380"/>
      <c r="O342" s="433"/>
      <c r="P342" s="380"/>
      <c r="Q342" s="389"/>
    </row>
    <row r="343" spans="2:24" ht="31.5" customHeight="1" x14ac:dyDescent="0.45">
      <c r="B343" s="388"/>
      <c r="K343" s="370"/>
      <c r="L343" s="370"/>
      <c r="M343" s="433"/>
      <c r="N343" s="380"/>
      <c r="O343" s="433"/>
      <c r="P343" s="380"/>
      <c r="Q343" s="389"/>
    </row>
    <row r="344" spans="2:24" ht="31.5" customHeight="1" x14ac:dyDescent="0.45">
      <c r="B344" s="388"/>
      <c r="K344" s="370"/>
      <c r="L344" s="370"/>
      <c r="M344" s="433"/>
      <c r="N344" s="380"/>
      <c r="O344" s="433"/>
      <c r="P344" s="380"/>
      <c r="Q344" s="389"/>
    </row>
    <row r="345" spans="2:24" ht="31.5" customHeight="1" x14ac:dyDescent="0.45">
      <c r="B345" s="388"/>
      <c r="K345" s="370"/>
      <c r="L345" s="370"/>
      <c r="M345" s="433"/>
      <c r="N345" s="380"/>
      <c r="O345" s="433"/>
      <c r="P345" s="380"/>
      <c r="Q345" s="389"/>
    </row>
    <row r="346" spans="2:24" ht="31.5" customHeight="1" x14ac:dyDescent="0.45">
      <c r="B346" s="396"/>
      <c r="C346" s="383"/>
      <c r="D346" s="383"/>
      <c r="E346" s="383"/>
      <c r="F346" s="383"/>
      <c r="G346" s="383"/>
      <c r="H346" s="383"/>
      <c r="I346" s="383"/>
      <c r="J346" s="383"/>
      <c r="K346" s="403"/>
      <c r="L346" s="403"/>
      <c r="M346" s="444"/>
      <c r="N346" s="404"/>
      <c r="O346" s="444"/>
      <c r="P346" s="404"/>
      <c r="Q346" s="398"/>
    </row>
    <row r="347" spans="2:24" ht="31.5" customHeight="1" x14ac:dyDescent="0.45"/>
    <row r="348" spans="2:24" ht="31.5" customHeight="1" x14ac:dyDescent="0.45"/>
    <row r="349" spans="2:24" ht="31.5" customHeight="1" x14ac:dyDescent="0.45">
      <c r="D349" s="369" t="str">
        <f>Criteria!E9</f>
        <v>ABC TRUST</v>
      </c>
      <c r="O349" s="433" t="s">
        <v>105</v>
      </c>
      <c r="Q349" s="370">
        <f>MAX($Q$114:Q348)+1</f>
        <v>5</v>
      </c>
      <c r="S349" s="420"/>
      <c r="T349" s="420"/>
      <c r="U349" s="420"/>
      <c r="V349" s="420"/>
      <c r="W349" s="420"/>
      <c r="X349" s="420"/>
    </row>
    <row r="350" spans="2:24" ht="31.5" customHeight="1" x14ac:dyDescent="0.45">
      <c r="D350" s="369" t="str">
        <f>Criteria!E10</f>
        <v>T/A RENTAL PROPERTIES, SEAFRONT RESTAURANT AND SURF SHOP</v>
      </c>
      <c r="R350" s="416" t="str">
        <f>IF(D350=0,"DELETE"," ")</f>
        <v xml:space="preserve"> </v>
      </c>
      <c r="S350" s="420"/>
      <c r="T350" s="420"/>
      <c r="U350" s="420"/>
      <c r="V350" s="420"/>
      <c r="W350" s="420"/>
      <c r="X350" s="420"/>
    </row>
    <row r="351" spans="2:24" ht="31.5" customHeight="1" x14ac:dyDescent="0.45">
      <c r="S351" s="420"/>
      <c r="T351" s="420"/>
      <c r="U351" s="420"/>
      <c r="V351" s="420"/>
      <c r="W351" s="420"/>
      <c r="X351" s="420"/>
    </row>
    <row r="352" spans="2:24" ht="31.5" customHeight="1" x14ac:dyDescent="0.45">
      <c r="D352" s="369" t="str">
        <f>CONCATENATE("STATEMENT OF FINANCIAL POSITION AS AT ",Criteria!E20)</f>
        <v>STATEMENT OF FINANCIAL POSITION AS AT 29 FEBRUARY 2024</v>
      </c>
      <c r="H352" s="369"/>
    </row>
    <row r="353" spans="2:27" ht="31.5" customHeight="1" x14ac:dyDescent="0.45"/>
    <row r="354" spans="2:27" ht="31.5" customHeight="1" x14ac:dyDescent="0.45">
      <c r="B354" s="385"/>
      <c r="C354" s="386"/>
      <c r="D354" s="386"/>
      <c r="E354" s="386"/>
      <c r="F354" s="386"/>
      <c r="G354" s="386"/>
      <c r="H354" s="386"/>
      <c r="I354" s="386"/>
      <c r="J354" s="386"/>
      <c r="K354" s="386"/>
      <c r="L354" s="386"/>
      <c r="M354" s="480"/>
      <c r="N354" s="481"/>
      <c r="O354" s="480"/>
      <c r="P354" s="481"/>
      <c r="Q354" s="387"/>
    </row>
    <row r="355" spans="2:27" ht="31.5" customHeight="1" x14ac:dyDescent="0.45">
      <c r="B355" s="388"/>
      <c r="K355" s="370" t="s">
        <v>113</v>
      </c>
      <c r="L355" s="370"/>
      <c r="M355" s="430">
        <f>Criteria!E22</f>
        <v>2024</v>
      </c>
      <c r="N355" s="379"/>
      <c r="O355" s="430">
        <f>Criteria!E27</f>
        <v>2023</v>
      </c>
      <c r="P355" s="379"/>
      <c r="Q355" s="389"/>
    </row>
    <row r="356" spans="2:27" ht="31.5" customHeight="1" x14ac:dyDescent="0.45">
      <c r="B356" s="388"/>
      <c r="K356" s="370"/>
      <c r="L356" s="370"/>
      <c r="M356" s="433"/>
      <c r="N356" s="380"/>
      <c r="O356" s="433"/>
      <c r="P356" s="380"/>
      <c r="Q356" s="389"/>
    </row>
    <row r="357" spans="2:27" ht="31.5" customHeight="1" x14ac:dyDescent="0.45">
      <c r="B357" s="388"/>
      <c r="C357" s="369" t="s">
        <v>114</v>
      </c>
      <c r="K357" s="370"/>
      <c r="L357" s="370"/>
      <c r="M357" s="433"/>
      <c r="N357" s="380"/>
      <c r="O357" s="433"/>
      <c r="P357" s="380"/>
      <c r="Q357" s="389"/>
    </row>
    <row r="358" spans="2:27" ht="31.5" customHeight="1" x14ac:dyDescent="0.45">
      <c r="B358" s="388"/>
      <c r="C358" s="369"/>
      <c r="K358" s="370"/>
      <c r="L358" s="370"/>
      <c r="M358" s="433"/>
      <c r="N358" s="380"/>
      <c r="O358" s="433"/>
      <c r="P358" s="380"/>
      <c r="Q358" s="389"/>
    </row>
    <row r="359" spans="2:27" ht="31.5" customHeight="1" x14ac:dyDescent="0.45">
      <c r="B359" s="388"/>
      <c r="D359" s="368" t="s">
        <v>13</v>
      </c>
      <c r="K359" s="370"/>
      <c r="L359" s="370"/>
      <c r="M359" s="434">
        <f>SUM(M361:M369)</f>
        <v>0</v>
      </c>
      <c r="N359" s="390"/>
      <c r="O359" s="434">
        <f>SUM(O362:P369)</f>
        <v>0</v>
      </c>
      <c r="P359" s="380"/>
      <c r="Q359" s="389"/>
      <c r="R359" s="416" t="str">
        <f>IF(M359=0,IF(O359=0,"DELETE"," ")," ")</f>
        <v>DELETE</v>
      </c>
      <c r="S359" s="421">
        <f>M359</f>
        <v>0</v>
      </c>
      <c r="T359" s="421"/>
      <c r="U359" s="421">
        <f>O359</f>
        <v>0</v>
      </c>
      <c r="V359" s="421"/>
      <c r="W359" s="421"/>
      <c r="X359" s="421"/>
    </row>
    <row r="360" spans="2:27" ht="9" customHeight="1" x14ac:dyDescent="0.45">
      <c r="B360" s="388"/>
      <c r="D360" s="369"/>
      <c r="K360" s="370"/>
      <c r="L360" s="370"/>
      <c r="M360" s="434"/>
      <c r="N360" s="390"/>
      <c r="O360" s="434"/>
      <c r="P360" s="380"/>
      <c r="Q360" s="389"/>
      <c r="R360" s="416" t="str">
        <f>R359</f>
        <v>DELETE</v>
      </c>
    </row>
    <row r="361" spans="2:27" ht="9" customHeight="1" x14ac:dyDescent="0.45">
      <c r="B361" s="388"/>
      <c r="D361" s="369"/>
      <c r="K361" s="370"/>
      <c r="L361" s="370"/>
      <c r="M361" s="435"/>
      <c r="N361" s="391"/>
      <c r="O361" s="450"/>
      <c r="P361" s="380"/>
      <c r="Q361" s="389"/>
      <c r="R361" s="416" t="str">
        <f>R359</f>
        <v>DELETE</v>
      </c>
    </row>
    <row r="362" spans="2:27" ht="31.5" customHeight="1" x14ac:dyDescent="0.45">
      <c r="B362" s="388"/>
      <c r="D362" s="368" t="s">
        <v>1052</v>
      </c>
      <c r="K362" s="370">
        <f>B802</f>
        <v>8</v>
      </c>
      <c r="L362" s="370"/>
      <c r="M362" s="436">
        <f>SUM(TrialBalance!L226:L238)</f>
        <v>0</v>
      </c>
      <c r="N362" s="390"/>
      <c r="O362" s="451">
        <f>SUM(TrialBalance!N226:N238)</f>
        <v>0</v>
      </c>
      <c r="P362" s="380"/>
      <c r="Q362" s="389"/>
      <c r="R362" s="416" t="str">
        <f t="shared" ref="R362:R368" si="4">IF(M362=0,IF(O362=0,"DELETE"," ")," ")</f>
        <v>DELETE</v>
      </c>
      <c r="V362" s="417" t="b">
        <f>M362=M828</f>
        <v>1</v>
      </c>
      <c r="X362" s="417" t="b">
        <f>O362=O828</f>
        <v>1</v>
      </c>
    </row>
    <row r="363" spans="2:27" ht="31.5" customHeight="1" x14ac:dyDescent="0.45">
      <c r="B363" s="388"/>
      <c r="D363" s="368" t="s">
        <v>739</v>
      </c>
      <c r="K363" s="370">
        <f>B909</f>
        <v>9</v>
      </c>
      <c r="L363" s="370"/>
      <c r="M363" s="436">
        <f>SUM(TrialBalance!L239:L270)</f>
        <v>0</v>
      </c>
      <c r="N363" s="390"/>
      <c r="O363" s="451">
        <f>SUM(TrialBalance!N239:N270)</f>
        <v>0</v>
      </c>
      <c r="P363" s="380"/>
      <c r="Q363" s="389"/>
      <c r="R363" s="416" t="str">
        <f t="shared" si="4"/>
        <v>DELETE</v>
      </c>
      <c r="V363" s="422" t="b">
        <f>M363=O956</f>
        <v>1</v>
      </c>
      <c r="W363" s="422"/>
      <c r="X363" s="422" t="b">
        <f>O363=O934</f>
        <v>1</v>
      </c>
      <c r="AA363" s="422"/>
    </row>
    <row r="364" spans="2:27" ht="31.5" customHeight="1" x14ac:dyDescent="0.45">
      <c r="B364" s="388"/>
      <c r="D364" s="368" t="s">
        <v>1117</v>
      </c>
      <c r="K364" s="370">
        <f>B976</f>
        <v>10</v>
      </c>
      <c r="L364" s="370"/>
      <c r="M364" s="436">
        <f>SUM(TrialBalance!L273:L289)</f>
        <v>0</v>
      </c>
      <c r="N364" s="390"/>
      <c r="O364" s="451">
        <f>SUM(TrialBalance!N273:N289)</f>
        <v>0</v>
      </c>
      <c r="P364" s="380"/>
      <c r="Q364" s="389"/>
      <c r="R364" s="416" t="str">
        <f>IF(M364=0,IF(O364=0,"DELETE"," ")," ")</f>
        <v>DELETE</v>
      </c>
      <c r="V364" s="422" t="b">
        <f>M364=M1041</f>
        <v>1</v>
      </c>
      <c r="W364" s="422"/>
      <c r="X364" s="422" t="b">
        <f>O364=O1041</f>
        <v>1</v>
      </c>
      <c r="AA364" s="422"/>
    </row>
    <row r="365" spans="2:27" ht="31.5" customHeight="1" x14ac:dyDescent="0.45">
      <c r="B365" s="388"/>
      <c r="D365" s="368" t="str">
        <f>IF(COUNTIF(TrialBalance!L292:L296,"&gt;0")&gt;1,"Listed investments",IF(COUNTIF(TrialBalance!N292:N296,"&gt;0")&gt;1,"Listed investments","Listed investment"))</f>
        <v>Listed investment</v>
      </c>
      <c r="K365" s="370">
        <f>B1058</f>
        <v>11</v>
      </c>
      <c r="L365" s="370"/>
      <c r="M365" s="436">
        <f>SUM(TrialBalance!L292:L296)</f>
        <v>0</v>
      </c>
      <c r="N365" s="390"/>
      <c r="O365" s="451">
        <f>SUM(TrialBalance!N292:N296)</f>
        <v>0</v>
      </c>
      <c r="P365" s="380"/>
      <c r="Q365" s="389"/>
      <c r="R365" s="416" t="str">
        <f t="shared" si="4"/>
        <v>DELETE</v>
      </c>
      <c r="V365" s="422" t="b">
        <f>M365=M1066</f>
        <v>1</v>
      </c>
      <c r="W365" s="422"/>
      <c r="X365" s="422" t="b">
        <f>O365=O1066</f>
        <v>1</v>
      </c>
      <c r="AA365" s="422"/>
    </row>
    <row r="366" spans="2:27" ht="31.5" customHeight="1" x14ac:dyDescent="0.45">
      <c r="B366" s="388"/>
      <c r="D366" s="368" t="str">
        <f>IF(COUNTIF(TrialBalance!L297:L324,"&gt;0")&gt;1,"Other investments",IF(COUNTIF(TrialBalance!N297:N324,"&gt;0")&gt;1,"Other investments","Other investment"))</f>
        <v>Other investment</v>
      </c>
      <c r="K366" s="370">
        <f>B1084</f>
        <v>12</v>
      </c>
      <c r="L366" s="370"/>
      <c r="M366" s="436">
        <f>SUM(TrialBalance!L297:L324)</f>
        <v>0</v>
      </c>
      <c r="N366" s="390"/>
      <c r="O366" s="451">
        <f>SUM(TrialBalance!N297:N324)</f>
        <v>0</v>
      </c>
      <c r="P366" s="380"/>
      <c r="Q366" s="389"/>
      <c r="R366" s="416" t="str">
        <f t="shared" si="4"/>
        <v>DELETE</v>
      </c>
      <c r="V366" s="422" t="b">
        <f>M366=M1126</f>
        <v>1</v>
      </c>
      <c r="W366" s="422"/>
      <c r="X366" s="422" t="b">
        <f>O366=O1126</f>
        <v>1</v>
      </c>
      <c r="AA366" s="422"/>
    </row>
    <row r="367" spans="2:27" ht="31.5" customHeight="1" x14ac:dyDescent="0.45">
      <c r="B367" s="388"/>
      <c r="D367" s="368" t="s">
        <v>1038</v>
      </c>
      <c r="K367" s="370">
        <f>B1144</f>
        <v>13</v>
      </c>
      <c r="L367" s="370"/>
      <c r="M367" s="436">
        <f>SUM(TrialBalance!L349:L351)</f>
        <v>0</v>
      </c>
      <c r="N367" s="390"/>
      <c r="O367" s="451">
        <f>SUM(TrialBalance!N349:N351)</f>
        <v>0</v>
      </c>
      <c r="P367" s="380"/>
      <c r="Q367" s="389"/>
      <c r="R367" s="416" t="str">
        <f t="shared" si="4"/>
        <v>DELETE</v>
      </c>
      <c r="V367" s="422" t="b">
        <f>M367=M1150</f>
        <v>1</v>
      </c>
      <c r="W367" s="422"/>
      <c r="X367" s="422" t="b">
        <f>O367=O1150</f>
        <v>1</v>
      </c>
      <c r="AA367" s="422"/>
    </row>
    <row r="368" spans="2:27" ht="31.5" customHeight="1" x14ac:dyDescent="0.45">
      <c r="B368" s="388"/>
      <c r="D368" s="368" t="str">
        <f>IF(COUNTIF(TrialBalance!L325:L347,"&gt;0")&gt;1,"Non - current receivables",IF(COUNTIF(TrialBalance!N325:N347,"&gt;0")&gt;1,"Non - current receivables","Non - current receivable"))</f>
        <v>Non - current receivable</v>
      </c>
      <c r="K368" s="370">
        <f>B1167</f>
        <v>14</v>
      </c>
      <c r="L368" s="370"/>
      <c r="M368" s="436">
        <f>SUM(TrialBalance!L325:L347)</f>
        <v>0</v>
      </c>
      <c r="N368" s="390"/>
      <c r="O368" s="451">
        <f>SUM(TrialBalance!N325:N347)</f>
        <v>0</v>
      </c>
      <c r="P368" s="380"/>
      <c r="Q368" s="389"/>
      <c r="R368" s="416" t="str">
        <f t="shared" si="4"/>
        <v>DELETE</v>
      </c>
      <c r="V368" s="422" t="b">
        <f>M368=M1196</f>
        <v>1</v>
      </c>
      <c r="W368" s="422"/>
      <c r="X368" s="422" t="b">
        <f>O368=O1196</f>
        <v>1</v>
      </c>
    </row>
    <row r="369" spans="2:27" ht="9" customHeight="1" x14ac:dyDescent="0.45">
      <c r="B369" s="388"/>
      <c r="K369" s="370"/>
      <c r="L369" s="370"/>
      <c r="M369" s="437"/>
      <c r="N369" s="392"/>
      <c r="O369" s="452"/>
      <c r="P369" s="380"/>
      <c r="Q369" s="389"/>
      <c r="R369" s="416" t="str">
        <f>R359</f>
        <v>DELETE</v>
      </c>
    </row>
    <row r="370" spans="2:27" ht="9" customHeight="1" x14ac:dyDescent="0.45">
      <c r="B370" s="388"/>
      <c r="K370" s="370"/>
      <c r="L370" s="370"/>
      <c r="M370" s="434"/>
      <c r="N370" s="390"/>
      <c r="O370" s="434"/>
      <c r="P370" s="380"/>
      <c r="Q370" s="389"/>
      <c r="R370" s="416" t="str">
        <f>R359</f>
        <v>DELETE</v>
      </c>
    </row>
    <row r="371" spans="2:27" ht="31.5" customHeight="1" x14ac:dyDescent="0.45">
      <c r="B371" s="388"/>
      <c r="K371" s="370"/>
      <c r="L371" s="370"/>
      <c r="M371" s="434"/>
      <c r="N371" s="390"/>
      <c r="O371" s="434"/>
      <c r="P371" s="380"/>
      <c r="Q371" s="389"/>
      <c r="R371" s="416" t="str">
        <f>R359</f>
        <v>DELETE</v>
      </c>
    </row>
    <row r="372" spans="2:27" ht="31.5" customHeight="1" x14ac:dyDescent="0.45">
      <c r="B372" s="388"/>
      <c r="D372" s="368" t="s">
        <v>14</v>
      </c>
      <c r="K372" s="370"/>
      <c r="L372" s="370"/>
      <c r="M372" s="434">
        <f>SUM(M375:M379)</f>
        <v>0</v>
      </c>
      <c r="N372" s="390"/>
      <c r="O372" s="434">
        <f>SUM(O375:O379)</f>
        <v>0</v>
      </c>
      <c r="P372" s="380"/>
      <c r="Q372" s="389"/>
      <c r="R372" s="416" t="str">
        <f>IF(M372=0,IF(O372=0,"DELETE"," ")," ")</f>
        <v>DELETE</v>
      </c>
      <c r="S372" s="421">
        <f>M372</f>
        <v>0</v>
      </c>
      <c r="T372" s="421"/>
      <c r="U372" s="421">
        <f>O372</f>
        <v>0</v>
      </c>
      <c r="V372" s="421"/>
      <c r="W372" s="421"/>
      <c r="X372" s="421"/>
    </row>
    <row r="373" spans="2:27" ht="9" customHeight="1" x14ac:dyDescent="0.45">
      <c r="B373" s="388"/>
      <c r="K373" s="370"/>
      <c r="L373" s="370"/>
      <c r="M373" s="434"/>
      <c r="N373" s="390"/>
      <c r="O373" s="434"/>
      <c r="P373" s="380"/>
      <c r="Q373" s="389"/>
      <c r="R373" s="416" t="str">
        <f>R372</f>
        <v>DELETE</v>
      </c>
    </row>
    <row r="374" spans="2:27" ht="9" customHeight="1" x14ac:dyDescent="0.45">
      <c r="B374" s="388"/>
      <c r="K374" s="370"/>
      <c r="L374" s="370"/>
      <c r="M374" s="435"/>
      <c r="N374" s="391"/>
      <c r="O374" s="450"/>
      <c r="P374" s="380"/>
      <c r="Q374" s="389"/>
      <c r="R374" s="416" t="str">
        <f>R372</f>
        <v>DELETE</v>
      </c>
    </row>
    <row r="375" spans="2:27" ht="31.5" customHeight="1" x14ac:dyDescent="0.45">
      <c r="B375" s="388"/>
      <c r="D375" s="368" t="s">
        <v>1046</v>
      </c>
      <c r="K375" s="370">
        <f>B1213</f>
        <v>15</v>
      </c>
      <c r="L375" s="370"/>
      <c r="M375" s="436">
        <f>SUM(TrialBalance!L353:L356)</f>
        <v>0</v>
      </c>
      <c r="N375" s="390"/>
      <c r="O375" s="451">
        <f>SUM(TrialBalance!N353:N356)</f>
        <v>0</v>
      </c>
      <c r="P375" s="380"/>
      <c r="Q375" s="389"/>
      <c r="R375" s="416" t="str">
        <f>IF(M375=0,IF(O375=0,"DELETE"," ")," ")</f>
        <v>DELETE</v>
      </c>
      <c r="V375" s="422" t="b">
        <f>M375=M1221</f>
        <v>1</v>
      </c>
      <c r="W375" s="422"/>
      <c r="X375" s="422" t="b">
        <f>O375=O1221</f>
        <v>1</v>
      </c>
      <c r="AA375" s="422"/>
    </row>
    <row r="376" spans="2:27" ht="31.5" customHeight="1" x14ac:dyDescent="0.45">
      <c r="B376" s="388"/>
      <c r="D376" s="368" t="s">
        <v>731</v>
      </c>
      <c r="K376" s="370">
        <f>B1238</f>
        <v>16</v>
      </c>
      <c r="L376" s="370"/>
      <c r="M376" s="436">
        <f>SUM(TrialBalance!L358:L363)+IF(TrialBalance!L395&gt;0,TrialBalance!L395,0)</f>
        <v>0</v>
      </c>
      <c r="N376" s="390"/>
      <c r="O376" s="451">
        <f>SUM(TrialBalance!N358:N363)+IF(TrialBalance!N395&gt;0,TrialBalance!N395,0)</f>
        <v>0</v>
      </c>
      <c r="P376" s="380"/>
      <c r="Q376" s="389"/>
      <c r="R376" s="416" t="str">
        <f>IF(M376=0,IF(O376=0,"DELETE"," ")," ")</f>
        <v>DELETE</v>
      </c>
      <c r="V376" s="422" t="b">
        <f>M376=M1251</f>
        <v>1</v>
      </c>
      <c r="W376" s="422"/>
      <c r="X376" s="422" t="b">
        <f>O376=O1251</f>
        <v>1</v>
      </c>
    </row>
    <row r="377" spans="2:27" ht="31.5" customHeight="1" x14ac:dyDescent="0.45">
      <c r="B377" s="388"/>
      <c r="D377" s="368" t="s">
        <v>657</v>
      </c>
      <c r="K377" s="370">
        <f>B1269</f>
        <v>17</v>
      </c>
      <c r="L377" s="370"/>
      <c r="M377" s="436">
        <f>TrialBalance!L371+IF(TrialBalance!L365&gt;0,TrialBalance!L365,0)+IF(TrialBalance!L366&gt;0,TrialBalance!L366,0)+IF(TrialBalance!L367&gt;0,TrialBalance!L367,0)+IF(TrialBalance!L368&gt;0,TrialBalance!L368,0)+IF(TrialBalance!L369&gt;0,TrialBalance!L369,0)+IF(TrialBalance!L370&gt;0,TrialBalance!L370,0)</f>
        <v>0</v>
      </c>
      <c r="N377" s="390"/>
      <c r="O377" s="451">
        <f>TrialBalance!N371+IF(TrialBalance!N365&gt;0,TrialBalance!N365,0)+IF(TrialBalance!N366&gt;0,TrialBalance!N366,0)+IF(TrialBalance!N367&gt;0,TrialBalance!N367,0)+IF(TrialBalance!N368&gt;0,TrialBalance!N368,0)+IF(TrialBalance!N369&gt;0,TrialBalance!N369,0)+IF(TrialBalance!N370&gt;0,TrialBalance!N370,0)</f>
        <v>0</v>
      </c>
      <c r="P377" s="380"/>
      <c r="Q377" s="389"/>
      <c r="R377" s="416" t="str">
        <f>IF(M377=0,IF(O377=0,"DELETE"," ")," ")</f>
        <v>DELETE</v>
      </c>
      <c r="V377" s="422" t="b">
        <f>M377=M1279</f>
        <v>1</v>
      </c>
      <c r="W377" s="422"/>
      <c r="X377" s="422" t="b">
        <f>O377=O1279</f>
        <v>1</v>
      </c>
    </row>
    <row r="378" spans="2:27" ht="31.5" customHeight="1" x14ac:dyDescent="0.45">
      <c r="B378" s="388"/>
      <c r="D378" s="368" t="s">
        <v>625</v>
      </c>
      <c r="K378" s="370">
        <f>B1494</f>
        <v>25</v>
      </c>
      <c r="L378" s="370"/>
      <c r="M378" s="436">
        <f>IF(SUM(TrialBalance!L384:L390)&gt;0,SUM(TrialBalance!L384:L390),0)</f>
        <v>0</v>
      </c>
      <c r="N378" s="390"/>
      <c r="O378" s="451">
        <f>IF(SUM(TrialBalance!N384:N390)&gt;0,SUM(TrialBalance!N384:N390),0)</f>
        <v>0</v>
      </c>
      <c r="P378" s="380"/>
      <c r="Q378" s="389"/>
      <c r="R378" s="416" t="str">
        <f>IF(M378=0,IF(O378=0,"DELETE"," ")," ")</f>
        <v>DELETE</v>
      </c>
      <c r="V378" s="422" t="str">
        <f>IF(M378=0,"TRUE",M378=-M1504)</f>
        <v>TRUE</v>
      </c>
      <c r="W378" s="422"/>
      <c r="X378" s="422" t="str">
        <f>IF(O378=0,"TRUE",O378=-O1504)</f>
        <v>TRUE</v>
      </c>
    </row>
    <row r="379" spans="2:27" ht="9" customHeight="1" x14ac:dyDescent="0.45">
      <c r="B379" s="388"/>
      <c r="K379" s="370"/>
      <c r="L379" s="370"/>
      <c r="M379" s="437"/>
      <c r="N379" s="392"/>
      <c r="O379" s="452"/>
      <c r="P379" s="380"/>
      <c r="Q379" s="389"/>
      <c r="R379" s="416" t="str">
        <f>R372</f>
        <v>DELETE</v>
      </c>
    </row>
    <row r="380" spans="2:27" ht="9" customHeight="1" x14ac:dyDescent="0.45">
      <c r="B380" s="388"/>
      <c r="K380" s="370"/>
      <c r="L380" s="370"/>
      <c r="M380" s="434"/>
      <c r="N380" s="390"/>
      <c r="O380" s="434"/>
      <c r="P380" s="380"/>
      <c r="Q380" s="389"/>
      <c r="R380" s="416" t="str">
        <f>R372</f>
        <v>DELETE</v>
      </c>
    </row>
    <row r="381" spans="2:27" ht="31.5" customHeight="1" x14ac:dyDescent="0.45">
      <c r="B381" s="388"/>
      <c r="K381" s="370"/>
      <c r="L381" s="370"/>
      <c r="M381" s="434"/>
      <c r="N381" s="390"/>
      <c r="O381" s="434"/>
      <c r="P381" s="380"/>
      <c r="Q381" s="389"/>
      <c r="R381" s="416" t="str">
        <f>R372</f>
        <v>DELETE</v>
      </c>
    </row>
    <row r="382" spans="2:27" ht="9" customHeight="1" x14ac:dyDescent="0.45">
      <c r="B382" s="388"/>
      <c r="K382" s="370"/>
      <c r="L382" s="370"/>
      <c r="M382" s="438"/>
      <c r="N382" s="392"/>
      <c r="O382" s="438"/>
      <c r="P382" s="380"/>
      <c r="Q382" s="389"/>
    </row>
    <row r="383" spans="2:27" ht="9" customHeight="1" x14ac:dyDescent="0.45">
      <c r="B383" s="388"/>
      <c r="K383" s="370"/>
      <c r="L383" s="370"/>
      <c r="M383" s="434"/>
      <c r="N383" s="390"/>
      <c r="O383" s="434"/>
      <c r="P383" s="380"/>
      <c r="Q383" s="389"/>
    </row>
    <row r="384" spans="2:27" ht="31.5" customHeight="1" x14ac:dyDescent="0.45">
      <c r="B384" s="388"/>
      <c r="D384" s="368" t="s">
        <v>115</v>
      </c>
      <c r="K384" s="370"/>
      <c r="L384" s="370"/>
      <c r="M384" s="434">
        <f>SUM(S359:S382)</f>
        <v>0</v>
      </c>
      <c r="N384" s="390"/>
      <c r="O384" s="434">
        <f>SUM(U359:U382)</f>
        <v>0</v>
      </c>
      <c r="P384" s="380"/>
      <c r="Q384" s="389"/>
      <c r="V384" s="423" t="b">
        <f>M384=M422</f>
        <v>1</v>
      </c>
      <c r="W384" s="423"/>
      <c r="X384" s="423" t="b">
        <f>O384=O422</f>
        <v>1</v>
      </c>
    </row>
    <row r="385" spans="2:26" ht="9" customHeight="1" thickBot="1" x14ac:dyDescent="0.5">
      <c r="B385" s="388"/>
      <c r="K385" s="370"/>
      <c r="L385" s="370"/>
      <c r="M385" s="439"/>
      <c r="N385" s="393"/>
      <c r="O385" s="439"/>
      <c r="P385" s="380"/>
      <c r="Q385" s="389"/>
    </row>
    <row r="386" spans="2:26" ht="9" customHeight="1" thickTop="1" x14ac:dyDescent="0.45">
      <c r="B386" s="388"/>
      <c r="K386" s="370"/>
      <c r="L386" s="370"/>
      <c r="M386" s="434"/>
      <c r="N386" s="390"/>
      <c r="O386" s="434"/>
      <c r="P386" s="380"/>
      <c r="Q386" s="389"/>
    </row>
    <row r="387" spans="2:26" ht="31.5" customHeight="1" x14ac:dyDescent="0.45">
      <c r="B387" s="388"/>
      <c r="K387" s="370"/>
      <c r="L387" s="370"/>
      <c r="M387" s="434"/>
      <c r="N387" s="390"/>
      <c r="O387" s="434"/>
      <c r="P387" s="380"/>
      <c r="Q387" s="389"/>
    </row>
    <row r="388" spans="2:26" ht="31.5" customHeight="1" x14ac:dyDescent="0.45">
      <c r="B388" s="388"/>
      <c r="C388" s="369" t="s">
        <v>116</v>
      </c>
      <c r="K388" s="370"/>
      <c r="L388" s="370"/>
      <c r="M388" s="434"/>
      <c r="N388" s="390"/>
      <c r="O388" s="434"/>
      <c r="P388" s="380"/>
      <c r="Q388" s="389"/>
    </row>
    <row r="389" spans="2:26" ht="31.5" customHeight="1" x14ac:dyDescent="0.45">
      <c r="B389" s="388"/>
      <c r="C389" s="369"/>
      <c r="K389" s="370"/>
      <c r="L389" s="370"/>
      <c r="M389" s="434"/>
      <c r="N389" s="390"/>
      <c r="O389" s="434"/>
      <c r="P389" s="380"/>
      <c r="Q389" s="389"/>
    </row>
    <row r="390" spans="2:26" ht="31.5" customHeight="1" x14ac:dyDescent="0.45">
      <c r="B390" s="388"/>
      <c r="D390" s="368" t="s">
        <v>117</v>
      </c>
      <c r="K390" s="370"/>
      <c r="L390" s="370"/>
      <c r="M390" s="434">
        <f>SUM(M393:M396)</f>
        <v>0</v>
      </c>
      <c r="N390" s="390"/>
      <c r="O390" s="434">
        <f>SUM(O393:O396)</f>
        <v>0</v>
      </c>
      <c r="P390" s="380"/>
      <c r="Q390" s="389"/>
      <c r="S390" s="421">
        <f>M390</f>
        <v>0</v>
      </c>
      <c r="T390" s="421"/>
      <c r="U390" s="421">
        <f>O390</f>
        <v>0</v>
      </c>
      <c r="V390" s="421"/>
      <c r="W390" s="421"/>
      <c r="X390" s="421"/>
    </row>
    <row r="391" spans="2:26" ht="9" customHeight="1" x14ac:dyDescent="0.45">
      <c r="B391" s="388"/>
      <c r="K391" s="370"/>
      <c r="L391" s="370"/>
      <c r="M391" s="434"/>
      <c r="N391" s="390"/>
      <c r="O391" s="434"/>
      <c r="P391" s="380"/>
      <c r="Q391" s="389"/>
    </row>
    <row r="392" spans="2:26" ht="9" customHeight="1" x14ac:dyDescent="0.45">
      <c r="B392" s="388"/>
      <c r="K392" s="370"/>
      <c r="L392" s="370"/>
      <c r="M392" s="435"/>
      <c r="N392" s="391"/>
      <c r="O392" s="450"/>
      <c r="P392" s="380"/>
      <c r="Q392" s="389"/>
    </row>
    <row r="393" spans="2:26" ht="31.5" customHeight="1" x14ac:dyDescent="0.45">
      <c r="B393" s="388"/>
      <c r="D393" s="368" t="s">
        <v>901</v>
      </c>
      <c r="K393" s="370"/>
      <c r="L393" s="370"/>
      <c r="M393" s="436">
        <f>-SUM(TrialBalance!L180:L184)</f>
        <v>0</v>
      </c>
      <c r="N393" s="390"/>
      <c r="O393" s="451">
        <f>-SUM(TrialBalance!N180:N184)</f>
        <v>0</v>
      </c>
      <c r="P393" s="380"/>
      <c r="Q393" s="389"/>
      <c r="V393" s="422"/>
      <c r="W393" s="422"/>
      <c r="X393" s="422"/>
    </row>
    <row r="394" spans="2:26" ht="31.5" customHeight="1" x14ac:dyDescent="0.45">
      <c r="B394" s="388"/>
      <c r="D394" s="368" t="s">
        <v>902</v>
      </c>
      <c r="K394" s="370"/>
      <c r="L394" s="370"/>
      <c r="M394" s="436">
        <f>-TrialBalance!L185</f>
        <v>0</v>
      </c>
      <c r="N394" s="390"/>
      <c r="O394" s="451">
        <f>-TrialBalance!N185</f>
        <v>0</v>
      </c>
      <c r="P394" s="380"/>
      <c r="Q394" s="389"/>
      <c r="R394" s="416" t="str">
        <f>IF(M394=0,IF(O394=0,"DELETE"," ")," ")</f>
        <v>DELETE</v>
      </c>
      <c r="V394" s="422"/>
      <c r="W394" s="422"/>
      <c r="X394" s="422"/>
    </row>
    <row r="395" spans="2:26" ht="31.5" customHeight="1" x14ac:dyDescent="0.45">
      <c r="B395" s="388"/>
      <c r="D395" s="368" t="s">
        <v>1068</v>
      </c>
      <c r="K395" s="370">
        <f>B1296</f>
        <v>18</v>
      </c>
      <c r="L395" s="370"/>
      <c r="M395" s="436">
        <f>-SUM(TrialBalance!L187:L189)</f>
        <v>0</v>
      </c>
      <c r="N395" s="390"/>
      <c r="O395" s="451">
        <f>-SUM(TrialBalance!N187:N189)</f>
        <v>0</v>
      </c>
      <c r="P395" s="380"/>
      <c r="Q395" s="389"/>
      <c r="R395" s="416" t="str">
        <f>IF(M395=0,IF(O395=0,"DELETE"," ")," ")</f>
        <v>DELETE</v>
      </c>
      <c r="V395" s="422" t="b">
        <f>M395=M1302</f>
        <v>1</v>
      </c>
      <c r="W395" s="422"/>
      <c r="X395" s="422" t="b">
        <f>O395=O1302</f>
        <v>1</v>
      </c>
    </row>
    <row r="396" spans="2:26" ht="31.5" customHeight="1" x14ac:dyDescent="0.45">
      <c r="B396" s="388"/>
      <c r="D396" s="384" t="str">
        <f>IF((Y396+Z396)=3,"Retained income/(Accumulated loss)",(IF((Y396+Z396=4),"Retained income","Accumulated loss")))</f>
        <v>Retained income</v>
      </c>
      <c r="K396" s="370"/>
      <c r="L396" s="370"/>
      <c r="M396" s="440">
        <f>-TrialBalance!L190-SUM(TrialBalance!L6:L176)</f>
        <v>0</v>
      </c>
      <c r="N396" s="394"/>
      <c r="O396" s="453">
        <f>-TrialBalance!N190-SUM(TrialBalance!N6:N176)</f>
        <v>0</v>
      </c>
      <c r="P396" s="380"/>
      <c r="Q396" s="389"/>
      <c r="V396" s="422" t="b">
        <f>M396=M333</f>
        <v>1</v>
      </c>
      <c r="W396" s="422"/>
      <c r="X396" s="422" t="b">
        <f>O396=O333</f>
        <v>1</v>
      </c>
      <c r="Y396" s="417">
        <f>IF(M396&lt;0,1,IF(M396=0,IF(O396&lt;0,1,2),2))</f>
        <v>2</v>
      </c>
      <c r="Z396" s="417">
        <f>IF(O396&lt;0,1,IF(O396=0,IF(M396&lt;0,1,2),2))</f>
        <v>2</v>
      </c>
    </row>
    <row r="397" spans="2:26" ht="9" customHeight="1" x14ac:dyDescent="0.45">
      <c r="B397" s="388"/>
      <c r="K397" s="370"/>
      <c r="L397" s="370"/>
      <c r="M397" s="437"/>
      <c r="N397" s="392"/>
      <c r="O397" s="452"/>
      <c r="P397" s="380"/>
      <c r="Q397" s="389"/>
      <c r="X397" s="422"/>
    </row>
    <row r="398" spans="2:26" ht="9" customHeight="1" x14ac:dyDescent="0.45">
      <c r="B398" s="388"/>
      <c r="K398" s="370"/>
      <c r="L398" s="370"/>
      <c r="M398" s="434"/>
      <c r="N398" s="390"/>
      <c r="O398" s="434"/>
      <c r="P398" s="380"/>
      <c r="Q398" s="389"/>
    </row>
    <row r="399" spans="2:26" ht="31.5" customHeight="1" x14ac:dyDescent="0.45">
      <c r="B399" s="388"/>
      <c r="K399" s="370"/>
      <c r="L399" s="370"/>
      <c r="M399" s="434"/>
      <c r="N399" s="390"/>
      <c r="O399" s="434"/>
      <c r="P399" s="380"/>
      <c r="Q399" s="389"/>
      <c r="V399" s="422"/>
      <c r="X399" s="422"/>
    </row>
    <row r="400" spans="2:26" ht="31.5" customHeight="1" x14ac:dyDescent="0.45">
      <c r="B400" s="388"/>
      <c r="D400" s="368" t="s">
        <v>118</v>
      </c>
      <c r="K400" s="370"/>
      <c r="L400" s="370"/>
      <c r="M400" s="434">
        <f>SUM(M403:M405)</f>
        <v>0</v>
      </c>
      <c r="N400" s="390"/>
      <c r="O400" s="434">
        <f>SUM(O403:O405)</f>
        <v>0</v>
      </c>
      <c r="P400" s="380"/>
      <c r="Q400" s="389"/>
      <c r="R400" s="416" t="str">
        <f>IF(M400=0,IF(O400=0,"DELETE"," ")," ")</f>
        <v>DELETE</v>
      </c>
      <c r="S400" s="421">
        <f>M400</f>
        <v>0</v>
      </c>
      <c r="T400" s="421"/>
      <c r="U400" s="421">
        <f>O400</f>
        <v>0</v>
      </c>
      <c r="V400" s="421"/>
      <c r="W400" s="421"/>
      <c r="X400" s="421"/>
    </row>
    <row r="401" spans="2:24" ht="9" customHeight="1" x14ac:dyDescent="0.45">
      <c r="B401" s="388"/>
      <c r="K401" s="370"/>
      <c r="L401" s="370"/>
      <c r="M401" s="434"/>
      <c r="N401" s="390"/>
      <c r="O401" s="434"/>
      <c r="P401" s="380"/>
      <c r="Q401" s="389"/>
      <c r="R401" s="416" t="str">
        <f>R400</f>
        <v>DELETE</v>
      </c>
    </row>
    <row r="402" spans="2:24" ht="9" customHeight="1" x14ac:dyDescent="0.45">
      <c r="B402" s="388"/>
      <c r="K402" s="370"/>
      <c r="L402" s="370"/>
      <c r="M402" s="435"/>
      <c r="N402" s="391"/>
      <c r="O402" s="450"/>
      <c r="P402" s="380"/>
      <c r="Q402" s="389"/>
      <c r="R402" s="416" t="str">
        <f>R400</f>
        <v>DELETE</v>
      </c>
    </row>
    <row r="403" spans="2:24" ht="31.5" customHeight="1" x14ac:dyDescent="0.45">
      <c r="B403" s="388"/>
      <c r="D403" s="368" t="str">
        <f>IF(COUNTIF(TrialBalance!L192:L206,"&lt;0")&gt;1,"Interest bearing borrowings",IF(COUNTIF(TrialBalance!N192:N206,"&lt;0")&gt;1,"Interest bearing borrowings","Interest bearing borrowing"))</f>
        <v>Interest bearing borrowing</v>
      </c>
      <c r="K403" s="370">
        <f>B1319</f>
        <v>19</v>
      </c>
      <c r="L403" s="370"/>
      <c r="M403" s="436">
        <f>-SUM(TrialBalance!L192:L207)</f>
        <v>0</v>
      </c>
      <c r="N403" s="390"/>
      <c r="O403" s="451">
        <f>-SUM(TrialBalance!N192:N207)</f>
        <v>0</v>
      </c>
      <c r="P403" s="380"/>
      <c r="Q403" s="389"/>
      <c r="R403" s="416" t="str">
        <f>IF(M403=0,IF(O403=0,"DELETE"," ")," ")</f>
        <v>DELETE</v>
      </c>
      <c r="V403" s="417" t="b">
        <f>M403=M1341</f>
        <v>1</v>
      </c>
      <c r="X403" s="417" t="b">
        <f>O403=O1341</f>
        <v>1</v>
      </c>
    </row>
    <row r="404" spans="2:24" ht="31.5" customHeight="1" x14ac:dyDescent="0.45">
      <c r="B404" s="388"/>
      <c r="D404" s="368" t="str">
        <f>IF(COUNTIF(TrialBalance!L209:L225,"&lt;0")&gt;1,"Interest free borrowings",IF(COUNTIF(TrialBalance!N209:N225,"&lt;0")&gt;1,"Interest free borrowings","Interest free borrowing"))</f>
        <v>Interest free borrowing</v>
      </c>
      <c r="K404" s="370">
        <f>B1358</f>
        <v>20</v>
      </c>
      <c r="L404" s="370"/>
      <c r="M404" s="436">
        <f>-SUM(TrialBalance!L209:L225)</f>
        <v>0</v>
      </c>
      <c r="N404" s="390"/>
      <c r="O404" s="451">
        <f>-SUM(TrialBalance!N209:N225)</f>
        <v>0</v>
      </c>
      <c r="P404" s="380"/>
      <c r="Q404" s="389"/>
      <c r="R404" s="416" t="str">
        <f>IF(M404=0,IF(O404=0,"DELETE"," ")," ")</f>
        <v>DELETE</v>
      </c>
      <c r="V404" s="417" t="b">
        <f>M404=M1378</f>
        <v>1</v>
      </c>
      <c r="X404" s="417" t="b">
        <f>O404=O1378</f>
        <v>1</v>
      </c>
    </row>
    <row r="405" spans="2:24" ht="9" customHeight="1" x14ac:dyDescent="0.45">
      <c r="B405" s="388"/>
      <c r="K405" s="370"/>
      <c r="L405" s="370"/>
      <c r="M405" s="437"/>
      <c r="N405" s="392"/>
      <c r="O405" s="452"/>
      <c r="P405" s="380"/>
      <c r="Q405" s="389"/>
      <c r="R405" s="416" t="str">
        <f>R400</f>
        <v>DELETE</v>
      </c>
    </row>
    <row r="406" spans="2:24" ht="9" customHeight="1" x14ac:dyDescent="0.45">
      <c r="B406" s="388"/>
      <c r="K406" s="370"/>
      <c r="L406" s="370"/>
      <c r="M406" s="434"/>
      <c r="N406" s="390"/>
      <c r="O406" s="434"/>
      <c r="P406" s="380"/>
      <c r="Q406" s="389"/>
      <c r="R406" s="416" t="str">
        <f>R400</f>
        <v>DELETE</v>
      </c>
    </row>
    <row r="407" spans="2:24" ht="31.5" customHeight="1" x14ac:dyDescent="0.45">
      <c r="B407" s="388"/>
      <c r="K407" s="370"/>
      <c r="L407" s="370"/>
      <c r="M407" s="434"/>
      <c r="N407" s="390"/>
      <c r="O407" s="434"/>
      <c r="P407" s="380"/>
      <c r="Q407" s="389"/>
      <c r="R407" s="416" t="str">
        <f>R400</f>
        <v>DELETE</v>
      </c>
    </row>
    <row r="408" spans="2:24" ht="31.5" customHeight="1" x14ac:dyDescent="0.45">
      <c r="B408" s="388"/>
      <c r="D408" s="368" t="s">
        <v>119</v>
      </c>
      <c r="K408" s="370"/>
      <c r="L408" s="370"/>
      <c r="M408" s="434">
        <f>SUM(M411:M416)</f>
        <v>0</v>
      </c>
      <c r="N408" s="390"/>
      <c r="O408" s="434">
        <f>SUM(O411:O416)</f>
        <v>0</v>
      </c>
      <c r="P408" s="380"/>
      <c r="Q408" s="389"/>
      <c r="R408" s="416" t="str">
        <f>IF(M408=0,IF(O408=0,"DELETE"," ")," ")</f>
        <v>DELETE</v>
      </c>
      <c r="S408" s="421">
        <f>M408</f>
        <v>0</v>
      </c>
      <c r="T408" s="421"/>
      <c r="U408" s="421">
        <f>O408</f>
        <v>0</v>
      </c>
      <c r="V408" s="421"/>
      <c r="W408" s="421"/>
      <c r="X408" s="421"/>
    </row>
    <row r="409" spans="2:24" ht="9" customHeight="1" x14ac:dyDescent="0.45">
      <c r="B409" s="388"/>
      <c r="K409" s="370"/>
      <c r="L409" s="370"/>
      <c r="M409" s="434"/>
      <c r="N409" s="390"/>
      <c r="O409" s="434"/>
      <c r="P409" s="380"/>
      <c r="Q409" s="389"/>
      <c r="R409" s="416" t="str">
        <f>R408</f>
        <v>DELETE</v>
      </c>
    </row>
    <row r="410" spans="2:24" ht="9" customHeight="1" x14ac:dyDescent="0.45">
      <c r="B410" s="388"/>
      <c r="K410" s="370"/>
      <c r="L410" s="370"/>
      <c r="M410" s="435"/>
      <c r="N410" s="391"/>
      <c r="O410" s="450"/>
      <c r="P410" s="380"/>
      <c r="Q410" s="389"/>
      <c r="R410" s="416" t="str">
        <f>R408</f>
        <v>DELETE</v>
      </c>
    </row>
    <row r="411" spans="2:24" ht="31.5" customHeight="1" x14ac:dyDescent="0.45">
      <c r="B411" s="388"/>
      <c r="D411" s="368" t="s">
        <v>740</v>
      </c>
      <c r="K411" s="370">
        <f>B1396</f>
        <v>21</v>
      </c>
      <c r="L411" s="370"/>
      <c r="M411" s="436">
        <f>-SUM(TrialBalance!L377:L382)-IF(TrialBalance!L395&lt;0,TrialBalance!L395,0)</f>
        <v>0</v>
      </c>
      <c r="N411" s="390"/>
      <c r="O411" s="451">
        <f>-SUM(TrialBalance!N377:N382)-IF(TrialBalance!N395&lt;0,TrialBalance!N395,0)</f>
        <v>0</v>
      </c>
      <c r="P411" s="380"/>
      <c r="Q411" s="389"/>
      <c r="R411" s="416" t="str">
        <f t="shared" ref="R411:R416" si="5">IF(M411=0,IF(O411=0,"DELETE"," ")," ")</f>
        <v>DELETE</v>
      </c>
      <c r="V411" s="417" t="b">
        <f>M411=M1405</f>
        <v>1</v>
      </c>
      <c r="X411" s="417" t="b">
        <f>O411=O1405</f>
        <v>1</v>
      </c>
    </row>
    <row r="412" spans="2:24" ht="31.5" customHeight="1" x14ac:dyDescent="0.45">
      <c r="B412" s="388"/>
      <c r="D412" s="368" t="str">
        <f>IF(COUNTIF(TrialBalance!L365:L370,"&lt;0")&gt;1,"Bank overdrafts",IF(COUNTIF(TrialBalance!N365:N370,"&lt;0")&gt;1,"Bank overdrafts","Bank overdraft"))</f>
        <v>Bank overdraft</v>
      </c>
      <c r="K412" s="370">
        <f>B1422</f>
        <v>22</v>
      </c>
      <c r="L412" s="370"/>
      <c r="M412" s="436">
        <f>IF(TrialBalance!L365&lt;0,-TrialBalance!L365,0)+IF(TrialBalance!L366&lt;0,-TrialBalance!L366,0)+IF(TrialBalance!L367&lt;0,-TrialBalance!L367,0)+IF(TrialBalance!L368&lt;0,-TrialBalance!L368,0)+IF(TrialBalance!L369&lt;0,-TrialBalance!L369,0)+IF(TrialBalance!L370&lt;0,-TrialBalance!L370,0)</f>
        <v>0</v>
      </c>
      <c r="N412" s="390"/>
      <c r="O412" s="451">
        <f>IF(TrialBalance!N365&lt;0,-TrialBalance!N365,0)+IF(TrialBalance!N366&lt;0,-TrialBalance!N366,0)+IF(TrialBalance!N367&lt;0,-TrialBalance!N367,0)+IF(TrialBalance!N368&lt;0,-TrialBalance!N368,0)+IF(TrialBalance!N369&lt;0,-TrialBalance!N369,0)+IF(TrialBalance!N370&lt;0,-TrialBalance!N370,0)</f>
        <v>0</v>
      </c>
      <c r="P412" s="380"/>
      <c r="Q412" s="389"/>
      <c r="R412" s="416" t="str">
        <f t="shared" si="5"/>
        <v>DELETE</v>
      </c>
      <c r="V412" s="417" t="b">
        <f>M412=M1431</f>
        <v>1</v>
      </c>
      <c r="X412" s="417" t="b">
        <f>O412=O1431</f>
        <v>1</v>
      </c>
    </row>
    <row r="413" spans="2:24" ht="31.5" customHeight="1" x14ac:dyDescent="0.45">
      <c r="B413" s="388"/>
      <c r="D413" s="368" t="str">
        <f>IF(COUNTIF(TrialBalance!L373:L375,"&lt;0")&gt;1,"Short term loans",IF(COUNTIF(TrialBalance!N373:N375,"&lt;0")&gt;1,"Short term loans","Short term loan"))</f>
        <v>Short term loan</v>
      </c>
      <c r="K413" s="370">
        <f>B1448</f>
        <v>23</v>
      </c>
      <c r="L413" s="370"/>
      <c r="M413" s="436">
        <f>-SUM(TrialBalance!L373:L375)</f>
        <v>0</v>
      </c>
      <c r="N413" s="390"/>
      <c r="O413" s="451">
        <f>-SUM(TrialBalance!N373:N375)</f>
        <v>0</v>
      </c>
      <c r="P413" s="380"/>
      <c r="Q413" s="389"/>
      <c r="R413" s="416" t="str">
        <f t="shared" si="5"/>
        <v>DELETE</v>
      </c>
      <c r="V413" s="417" t="b">
        <f>M413=M1454</f>
        <v>1</v>
      </c>
      <c r="X413" s="417" t="b">
        <f>O413=O1454</f>
        <v>1</v>
      </c>
    </row>
    <row r="414" spans="2:24" ht="31.5" customHeight="1" x14ac:dyDescent="0.45">
      <c r="B414" s="388"/>
      <c r="D414" s="368" t="str">
        <f>IF(COUNTIF(TrialBalance!L192:L206,"&lt;0")&gt;1,"Current portion of interest bearing borrowings",IF(COUNTIF(TrialBalance!N192:N206,"&lt;0")&gt;1,"Current portion of interest bearing borrowings","Current portion of interest bearing borrowing"))</f>
        <v>Current portion of interest bearing borrowing</v>
      </c>
      <c r="K414" s="370">
        <f>B1319</f>
        <v>19</v>
      </c>
      <c r="L414" s="370"/>
      <c r="M414" s="436">
        <f>-TrialBalance!L376</f>
        <v>0</v>
      </c>
      <c r="N414" s="390"/>
      <c r="O414" s="451">
        <f>-TrialBalance!N376</f>
        <v>0</v>
      </c>
      <c r="P414" s="380"/>
      <c r="Q414" s="389"/>
      <c r="R414" s="416" t="str">
        <f t="shared" si="5"/>
        <v>DELETE</v>
      </c>
      <c r="V414" s="417" t="b">
        <f>M414=M1338</f>
        <v>1</v>
      </c>
      <c r="X414" s="417" t="b">
        <f>O414=O1338</f>
        <v>1</v>
      </c>
    </row>
    <row r="415" spans="2:24" ht="31.5" customHeight="1" x14ac:dyDescent="0.45">
      <c r="B415" s="388"/>
      <c r="D415" s="368" t="str">
        <f>IF(COUNTIF(TrialBalance!L391:L393,"&lt;0")&gt;1,"Provisions",IF(COUNTIF(TrialBalance!N391:N393,"&lt;0")&gt;1,"Provisions","Provision"))</f>
        <v>Provision</v>
      </c>
      <c r="K415" s="370">
        <f>B1471</f>
        <v>24</v>
      </c>
      <c r="L415" s="370"/>
      <c r="M415" s="436">
        <f>-SUM(TrialBalance!L391:L393)</f>
        <v>0</v>
      </c>
      <c r="N415" s="390"/>
      <c r="O415" s="451">
        <f>-SUM(TrialBalance!N391:N393)</f>
        <v>0</v>
      </c>
      <c r="P415" s="380"/>
      <c r="Q415" s="389"/>
      <c r="R415" s="416" t="str">
        <f t="shared" si="5"/>
        <v>DELETE</v>
      </c>
      <c r="V415" s="417" t="b">
        <f>M415=M1477</f>
        <v>1</v>
      </c>
      <c r="X415" s="417" t="b">
        <f>O415=O1477</f>
        <v>1</v>
      </c>
    </row>
    <row r="416" spans="2:24" ht="31.5" customHeight="1" x14ac:dyDescent="0.45">
      <c r="B416" s="388"/>
      <c r="D416" s="368" t="s">
        <v>523</v>
      </c>
      <c r="K416" s="370">
        <f>B1494</f>
        <v>25</v>
      </c>
      <c r="L416" s="370"/>
      <c r="M416" s="436">
        <f>IF(-SUM(TrialBalance!L384:L390)&gt;0,-SUM(TrialBalance!L384:L390),0)</f>
        <v>0</v>
      </c>
      <c r="N416" s="390"/>
      <c r="O416" s="451">
        <f>IF(-SUM(TrialBalance!N384:N390)&gt;0,-SUM(TrialBalance!N384:N390),0)</f>
        <v>0</v>
      </c>
      <c r="P416" s="380"/>
      <c r="Q416" s="389"/>
      <c r="R416" s="416" t="str">
        <f t="shared" si="5"/>
        <v>DELETE</v>
      </c>
      <c r="V416" s="422" t="str">
        <f>IF(M416=0,"TRUE",M416=M1504)</f>
        <v>TRUE</v>
      </c>
      <c r="X416" s="422" t="str">
        <f>IF(O416=0,"TRUE",O416=O1504)</f>
        <v>TRUE</v>
      </c>
    </row>
    <row r="417" spans="2:18" ht="9" customHeight="1" x14ac:dyDescent="0.45">
      <c r="B417" s="388"/>
      <c r="K417" s="370"/>
      <c r="L417" s="370"/>
      <c r="M417" s="437"/>
      <c r="N417" s="392"/>
      <c r="O417" s="452"/>
      <c r="P417" s="380"/>
      <c r="Q417" s="389"/>
      <c r="R417" s="416" t="str">
        <f>R408</f>
        <v>DELETE</v>
      </c>
    </row>
    <row r="418" spans="2:18" ht="9" customHeight="1" x14ac:dyDescent="0.45">
      <c r="B418" s="388"/>
      <c r="K418" s="370"/>
      <c r="L418" s="370"/>
      <c r="M418" s="434"/>
      <c r="N418" s="390"/>
      <c r="O418" s="434"/>
      <c r="P418" s="380"/>
      <c r="Q418" s="389"/>
      <c r="R418" s="416" t="str">
        <f>R408</f>
        <v>DELETE</v>
      </c>
    </row>
    <row r="419" spans="2:18" ht="31.5" customHeight="1" x14ac:dyDescent="0.45">
      <c r="B419" s="388"/>
      <c r="K419" s="370"/>
      <c r="L419" s="370"/>
      <c r="M419" s="434"/>
      <c r="N419" s="390"/>
      <c r="O419" s="434"/>
      <c r="P419" s="380"/>
      <c r="Q419" s="389"/>
      <c r="R419" s="416" t="str">
        <f>R408</f>
        <v>DELETE</v>
      </c>
    </row>
    <row r="420" spans="2:18" ht="9" customHeight="1" x14ac:dyDescent="0.45">
      <c r="B420" s="388"/>
      <c r="K420" s="370"/>
      <c r="L420" s="370"/>
      <c r="M420" s="438"/>
      <c r="N420" s="392"/>
      <c r="O420" s="438"/>
      <c r="P420" s="380"/>
      <c r="Q420" s="389"/>
    </row>
    <row r="421" spans="2:18" ht="9" customHeight="1" x14ac:dyDescent="0.45">
      <c r="B421" s="388"/>
      <c r="K421" s="370"/>
      <c r="L421" s="370"/>
      <c r="M421" s="434"/>
      <c r="N421" s="390"/>
      <c r="O421" s="434"/>
      <c r="P421" s="380"/>
      <c r="Q421" s="389"/>
    </row>
    <row r="422" spans="2:18" ht="31.5" customHeight="1" x14ac:dyDescent="0.45">
      <c r="B422" s="388"/>
      <c r="D422" s="368" t="s">
        <v>120</v>
      </c>
      <c r="J422" s="395"/>
      <c r="K422" s="370"/>
      <c r="L422" s="370"/>
      <c r="M422" s="434">
        <f>SUM(S390:S419)</f>
        <v>0</v>
      </c>
      <c r="N422" s="390"/>
      <c r="O422" s="434">
        <f>SUM(U390:U419)</f>
        <v>0</v>
      </c>
      <c r="P422" s="380"/>
      <c r="Q422" s="389"/>
      <c r="R422" s="424"/>
    </row>
    <row r="423" spans="2:18" ht="9" customHeight="1" thickBot="1" x14ac:dyDescent="0.5">
      <c r="B423" s="388"/>
      <c r="J423" s="395"/>
      <c r="K423" s="370"/>
      <c r="L423" s="370"/>
      <c r="M423" s="439"/>
      <c r="N423" s="393"/>
      <c r="O423" s="439"/>
      <c r="P423" s="380"/>
      <c r="Q423" s="389"/>
    </row>
    <row r="424" spans="2:18" ht="9" customHeight="1" thickTop="1" x14ac:dyDescent="0.45">
      <c r="B424" s="388"/>
      <c r="J424" s="395"/>
      <c r="K424" s="370"/>
      <c r="L424" s="370"/>
      <c r="M424" s="434"/>
      <c r="N424" s="390"/>
      <c r="O424" s="434"/>
      <c r="P424" s="380"/>
      <c r="Q424" s="389"/>
    </row>
    <row r="425" spans="2:18" ht="31.5" customHeight="1" x14ac:dyDescent="0.45">
      <c r="B425" s="388"/>
      <c r="J425" s="395"/>
      <c r="K425" s="370"/>
      <c r="L425" s="370"/>
      <c r="M425" s="434"/>
      <c r="N425" s="390"/>
      <c r="O425" s="434"/>
      <c r="P425" s="380"/>
      <c r="Q425" s="389"/>
    </row>
    <row r="426" spans="2:18" ht="31.5" customHeight="1" x14ac:dyDescent="0.45">
      <c r="B426" s="388"/>
      <c r="J426" s="395"/>
      <c r="K426" s="370"/>
      <c r="L426" s="370"/>
      <c r="M426" s="434"/>
      <c r="N426" s="390"/>
      <c r="O426" s="434"/>
      <c r="P426" s="380"/>
      <c r="Q426" s="389"/>
    </row>
    <row r="427" spans="2:18" ht="31.5" customHeight="1" x14ac:dyDescent="0.45">
      <c r="B427" s="388"/>
      <c r="J427" s="395"/>
      <c r="K427" s="370"/>
      <c r="L427" s="370"/>
      <c r="M427" s="434"/>
      <c r="N427" s="390"/>
      <c r="O427" s="434"/>
      <c r="P427" s="380"/>
      <c r="Q427" s="389"/>
    </row>
    <row r="428" spans="2:18" ht="31.5" customHeight="1" x14ac:dyDescent="0.45">
      <c r="B428" s="388"/>
      <c r="J428" s="395"/>
      <c r="K428" s="370"/>
      <c r="L428" s="370"/>
      <c r="M428" s="434"/>
      <c r="N428" s="390"/>
      <c r="O428" s="434"/>
      <c r="P428" s="380"/>
      <c r="Q428" s="389"/>
    </row>
    <row r="429" spans="2:18" ht="31.5" customHeight="1" x14ac:dyDescent="0.45">
      <c r="B429" s="396"/>
      <c r="C429" s="383"/>
      <c r="D429" s="383"/>
      <c r="E429" s="383"/>
      <c r="F429" s="383"/>
      <c r="G429" s="383"/>
      <c r="H429" s="383"/>
      <c r="I429" s="383"/>
      <c r="J429" s="397"/>
      <c r="K429" s="383"/>
      <c r="L429" s="383"/>
      <c r="M429" s="474"/>
      <c r="N429" s="475"/>
      <c r="O429" s="474"/>
      <c r="P429" s="475"/>
      <c r="Q429" s="398"/>
    </row>
    <row r="430" spans="2:18" ht="31.5" customHeight="1" x14ac:dyDescent="0.45"/>
    <row r="431" spans="2:18" ht="31.5" customHeight="1" x14ac:dyDescent="0.45"/>
    <row r="432" spans="2:18" ht="31.5" customHeight="1" x14ac:dyDescent="0.45">
      <c r="D432" s="369" t="str">
        <f>Criteria!E9</f>
        <v>ABC TRUST</v>
      </c>
      <c r="O432" s="433" t="s">
        <v>105</v>
      </c>
      <c r="Q432" s="370">
        <f>MAX($Q$114:Q431)+1</f>
        <v>6</v>
      </c>
    </row>
    <row r="433" spans="2:18" ht="31.5" customHeight="1" x14ac:dyDescent="0.45">
      <c r="D433" s="369" t="str">
        <f>Criteria!E10</f>
        <v>T/A RENTAL PROPERTIES, SEAFRONT RESTAURANT AND SURF SHOP</v>
      </c>
      <c r="R433" s="416" t="str">
        <f>IF(D433=0,"DELETE"," ")</f>
        <v xml:space="preserve"> </v>
      </c>
    </row>
    <row r="434" spans="2:18" ht="31.5" customHeight="1" x14ac:dyDescent="0.45"/>
    <row r="435" spans="2:18" ht="31.5" customHeight="1" x14ac:dyDescent="0.45">
      <c r="D435" s="369" t="s">
        <v>383</v>
      </c>
    </row>
    <row r="436" spans="2:18" ht="31.5" customHeight="1" x14ac:dyDescent="0.45">
      <c r="D436" s="369" t="str">
        <f>Criteria!E20</f>
        <v>29 FEBRUARY 2024</v>
      </c>
    </row>
    <row r="437" spans="2:18" ht="31.5" customHeight="1" x14ac:dyDescent="0.45">
      <c r="B437" s="445"/>
      <c r="C437" s="369"/>
      <c r="M437" s="434"/>
      <c r="N437" s="390"/>
      <c r="O437" s="434"/>
    </row>
    <row r="438" spans="2:18" ht="31.5" customHeight="1" x14ac:dyDescent="0.45">
      <c r="B438" s="465"/>
      <c r="C438" s="410"/>
      <c r="D438" s="386"/>
      <c r="E438" s="386"/>
      <c r="F438" s="386"/>
      <c r="G438" s="386"/>
      <c r="H438" s="386"/>
      <c r="I438" s="386"/>
      <c r="J438" s="386"/>
      <c r="K438" s="386"/>
      <c r="L438" s="386"/>
      <c r="M438" s="446"/>
      <c r="N438" s="391"/>
      <c r="O438" s="446"/>
      <c r="P438" s="481"/>
      <c r="Q438" s="387"/>
    </row>
    <row r="439" spans="2:18" ht="31.5" customHeight="1" x14ac:dyDescent="0.45">
      <c r="B439" s="461"/>
      <c r="C439" s="369"/>
      <c r="M439" s="430">
        <f>Criteria!E22</f>
        <v>2024</v>
      </c>
      <c r="N439" s="379"/>
      <c r="O439" s="430">
        <f>Criteria!E27</f>
        <v>2023</v>
      </c>
      <c r="P439" s="478"/>
      <c r="Q439" s="389"/>
    </row>
    <row r="440" spans="2:18" ht="31.5" customHeight="1" x14ac:dyDescent="0.45">
      <c r="B440" s="461"/>
      <c r="C440" s="369"/>
      <c r="M440" s="441"/>
      <c r="N440" s="400"/>
      <c r="O440" s="441"/>
      <c r="P440" s="478"/>
      <c r="Q440" s="389"/>
    </row>
    <row r="441" spans="2:18" ht="31.5" customHeight="1" x14ac:dyDescent="0.45">
      <c r="B441" s="461">
        <f>MAX($B$431:B440)+1</f>
        <v>1</v>
      </c>
      <c r="C441" s="369" t="s">
        <v>270</v>
      </c>
      <c r="M441" s="441"/>
      <c r="N441" s="400"/>
      <c r="O441" s="441"/>
      <c r="P441" s="478"/>
      <c r="Q441" s="389"/>
      <c r="R441" s="416" t="str">
        <f>R$476</f>
        <v>DELETE</v>
      </c>
    </row>
    <row r="442" spans="2:18" ht="31.5" customHeight="1" x14ac:dyDescent="0.45">
      <c r="B442" s="461"/>
      <c r="C442" s="369"/>
      <c r="D442" s="368">
        <f>TrialBalance!C144</f>
        <v>0</v>
      </c>
      <c r="M442" s="441">
        <f>-TrialBalance!L144</f>
        <v>0</v>
      </c>
      <c r="N442" s="400"/>
      <c r="O442" s="441">
        <f>-TrialBalance!N144</f>
        <v>0</v>
      </c>
      <c r="P442" s="478"/>
      <c r="Q442" s="389"/>
      <c r="R442" s="416" t="str">
        <f>IF(M442+O442=0,"DELETE"," ")</f>
        <v>DELETE</v>
      </c>
    </row>
    <row r="443" spans="2:18" ht="31.5" customHeight="1" x14ac:dyDescent="0.45">
      <c r="B443" s="461"/>
      <c r="C443" s="369"/>
      <c r="D443" s="368">
        <f>TrialBalance!C145</f>
        <v>0</v>
      </c>
      <c r="M443" s="441">
        <f>-TrialBalance!L145</f>
        <v>0</v>
      </c>
      <c r="N443" s="400"/>
      <c r="O443" s="441">
        <f>-TrialBalance!N145</f>
        <v>0</v>
      </c>
      <c r="P443" s="478"/>
      <c r="Q443" s="389"/>
      <c r="R443" s="416" t="str">
        <f t="shared" ref="R443:R472" si="6">IF(M443+O443=0,"DELETE"," ")</f>
        <v>DELETE</v>
      </c>
    </row>
    <row r="444" spans="2:18" ht="31.5" customHeight="1" x14ac:dyDescent="0.45">
      <c r="B444" s="461"/>
      <c r="C444" s="369"/>
      <c r="D444" s="368">
        <f>TrialBalance!C146</f>
        <v>0</v>
      </c>
      <c r="M444" s="441">
        <f>-TrialBalance!L146</f>
        <v>0</v>
      </c>
      <c r="N444" s="400"/>
      <c r="O444" s="441">
        <f>-TrialBalance!N146</f>
        <v>0</v>
      </c>
      <c r="P444" s="478"/>
      <c r="Q444" s="389"/>
      <c r="R444" s="416" t="str">
        <f t="shared" si="6"/>
        <v>DELETE</v>
      </c>
    </row>
    <row r="445" spans="2:18" ht="31.5" customHeight="1" x14ac:dyDescent="0.45">
      <c r="B445" s="461"/>
      <c r="C445" s="369"/>
      <c r="D445" s="368">
        <f>TrialBalance!C147</f>
        <v>0</v>
      </c>
      <c r="M445" s="441">
        <f>-TrialBalance!L147</f>
        <v>0</v>
      </c>
      <c r="N445" s="400"/>
      <c r="O445" s="441">
        <f>-TrialBalance!N147</f>
        <v>0</v>
      </c>
      <c r="P445" s="478"/>
      <c r="Q445" s="389"/>
      <c r="R445" s="416" t="str">
        <f t="shared" si="6"/>
        <v>DELETE</v>
      </c>
    </row>
    <row r="446" spans="2:18" ht="31.5" customHeight="1" x14ac:dyDescent="0.45">
      <c r="B446" s="461"/>
      <c r="C446" s="369"/>
      <c r="D446" s="368">
        <f>TrialBalance!C148</f>
        <v>0</v>
      </c>
      <c r="M446" s="441">
        <f>-TrialBalance!L148</f>
        <v>0</v>
      </c>
      <c r="N446" s="400"/>
      <c r="O446" s="441">
        <f>-TrialBalance!N148</f>
        <v>0</v>
      </c>
      <c r="P446" s="478"/>
      <c r="Q446" s="389"/>
      <c r="R446" s="416" t="str">
        <f t="shared" si="6"/>
        <v>DELETE</v>
      </c>
    </row>
    <row r="447" spans="2:18" ht="31.5" customHeight="1" x14ac:dyDescent="0.45">
      <c r="B447" s="461"/>
      <c r="C447" s="369"/>
      <c r="D447" s="368">
        <f>TrialBalance!C149</f>
        <v>0</v>
      </c>
      <c r="M447" s="441">
        <f>-TrialBalance!L149</f>
        <v>0</v>
      </c>
      <c r="N447" s="400"/>
      <c r="O447" s="441">
        <f>-TrialBalance!N149</f>
        <v>0</v>
      </c>
      <c r="P447" s="478"/>
      <c r="Q447" s="389"/>
      <c r="R447" s="416" t="str">
        <f t="shared" si="6"/>
        <v>DELETE</v>
      </c>
    </row>
    <row r="448" spans="2:18" ht="31.5" customHeight="1" x14ac:dyDescent="0.45">
      <c r="B448" s="461"/>
      <c r="C448" s="369"/>
      <c r="D448" s="368">
        <f>TrialBalance!C150</f>
        <v>0</v>
      </c>
      <c r="M448" s="441">
        <f>-TrialBalance!L150</f>
        <v>0</v>
      </c>
      <c r="N448" s="400"/>
      <c r="O448" s="441">
        <f>-TrialBalance!N150</f>
        <v>0</v>
      </c>
      <c r="P448" s="478"/>
      <c r="Q448" s="389"/>
      <c r="R448" s="416" t="str">
        <f t="shared" si="6"/>
        <v>DELETE</v>
      </c>
    </row>
    <row r="449" spans="2:18" ht="31.5" customHeight="1" x14ac:dyDescent="0.45">
      <c r="B449" s="461"/>
      <c r="C449" s="369"/>
      <c r="D449" s="368">
        <f>TrialBalance!C151</f>
        <v>0</v>
      </c>
      <c r="M449" s="441">
        <f>-TrialBalance!L151</f>
        <v>0</v>
      </c>
      <c r="N449" s="400"/>
      <c r="O449" s="441">
        <f>-TrialBalance!N151</f>
        <v>0</v>
      </c>
      <c r="P449" s="478"/>
      <c r="Q449" s="389"/>
      <c r="R449" s="416" t="str">
        <f t="shared" si="6"/>
        <v>DELETE</v>
      </c>
    </row>
    <row r="450" spans="2:18" ht="31.5" customHeight="1" x14ac:dyDescent="0.45">
      <c r="B450" s="461"/>
      <c r="C450" s="369"/>
      <c r="D450" s="368">
        <f>TrialBalanceA!C144</f>
        <v>0</v>
      </c>
      <c r="M450" s="441">
        <f>-TrialBalanceA!I144</f>
        <v>0</v>
      </c>
      <c r="N450" s="400"/>
      <c r="O450" s="441">
        <f>-TrialBalanceA!K144</f>
        <v>0</v>
      </c>
      <c r="P450" s="478"/>
      <c r="Q450" s="389"/>
      <c r="R450" s="416" t="str">
        <f t="shared" si="6"/>
        <v>DELETE</v>
      </c>
    </row>
    <row r="451" spans="2:18" ht="31.5" customHeight="1" x14ac:dyDescent="0.45">
      <c r="B451" s="461"/>
      <c r="C451" s="369"/>
      <c r="D451" s="368">
        <f>TrialBalanceA!C145</f>
        <v>0</v>
      </c>
      <c r="M451" s="441">
        <f>-TrialBalanceA!I145</f>
        <v>0</v>
      </c>
      <c r="N451" s="400"/>
      <c r="O451" s="441">
        <f>-TrialBalanceA!K145</f>
        <v>0</v>
      </c>
      <c r="P451" s="478"/>
      <c r="Q451" s="389"/>
      <c r="R451" s="416" t="str">
        <f t="shared" si="6"/>
        <v>DELETE</v>
      </c>
    </row>
    <row r="452" spans="2:18" ht="31.5" customHeight="1" x14ac:dyDescent="0.45">
      <c r="B452" s="461"/>
      <c r="C452" s="369"/>
      <c r="D452" s="368">
        <f>TrialBalanceA!C146</f>
        <v>0</v>
      </c>
      <c r="M452" s="441">
        <f>-TrialBalanceA!I146</f>
        <v>0</v>
      </c>
      <c r="N452" s="400"/>
      <c r="O452" s="441">
        <f>-TrialBalanceA!K146</f>
        <v>0</v>
      </c>
      <c r="P452" s="478"/>
      <c r="Q452" s="389"/>
      <c r="R452" s="416" t="str">
        <f t="shared" si="6"/>
        <v>DELETE</v>
      </c>
    </row>
    <row r="453" spans="2:18" ht="31.5" customHeight="1" x14ac:dyDescent="0.45">
      <c r="B453" s="461"/>
      <c r="C453" s="369"/>
      <c r="D453" s="368">
        <f>TrialBalanceA!C147</f>
        <v>0</v>
      </c>
      <c r="M453" s="441">
        <f>-TrialBalanceA!I147</f>
        <v>0</v>
      </c>
      <c r="N453" s="400"/>
      <c r="O453" s="441">
        <f>-TrialBalanceA!K147</f>
        <v>0</v>
      </c>
      <c r="P453" s="478"/>
      <c r="Q453" s="389"/>
      <c r="R453" s="416" t="str">
        <f t="shared" si="6"/>
        <v>DELETE</v>
      </c>
    </row>
    <row r="454" spans="2:18" ht="31.5" customHeight="1" x14ac:dyDescent="0.45">
      <c r="B454" s="461"/>
      <c r="C454" s="369"/>
      <c r="D454" s="368">
        <f>TrialBalanceA!C148</f>
        <v>0</v>
      </c>
      <c r="M454" s="441">
        <f>-TrialBalanceA!I148</f>
        <v>0</v>
      </c>
      <c r="N454" s="400"/>
      <c r="O454" s="441">
        <f>-TrialBalanceA!K148</f>
        <v>0</v>
      </c>
      <c r="P454" s="478"/>
      <c r="Q454" s="389"/>
      <c r="R454" s="416" t="str">
        <f t="shared" si="6"/>
        <v>DELETE</v>
      </c>
    </row>
    <row r="455" spans="2:18" ht="31.5" customHeight="1" x14ac:dyDescent="0.45">
      <c r="B455" s="461"/>
      <c r="C455" s="369"/>
      <c r="D455" s="368">
        <f>TrialBalanceA!C149</f>
        <v>0</v>
      </c>
      <c r="M455" s="441">
        <f>-TrialBalanceA!I149</f>
        <v>0</v>
      </c>
      <c r="N455" s="400"/>
      <c r="O455" s="441">
        <f>-TrialBalanceA!K149</f>
        <v>0</v>
      </c>
      <c r="P455" s="478"/>
      <c r="Q455" s="389"/>
      <c r="R455" s="416" t="str">
        <f t="shared" si="6"/>
        <v>DELETE</v>
      </c>
    </row>
    <row r="456" spans="2:18" ht="31.5" customHeight="1" x14ac:dyDescent="0.45">
      <c r="B456" s="461"/>
      <c r="C456" s="369"/>
      <c r="D456" s="368">
        <f>TrialBalanceA!C150</f>
        <v>0</v>
      </c>
      <c r="M456" s="441">
        <f>-TrialBalanceA!I150</f>
        <v>0</v>
      </c>
      <c r="N456" s="400"/>
      <c r="O456" s="441">
        <f>-TrialBalanceA!K150</f>
        <v>0</v>
      </c>
      <c r="P456" s="478"/>
      <c r="Q456" s="389"/>
      <c r="R456" s="416" t="str">
        <f t="shared" si="6"/>
        <v>DELETE</v>
      </c>
    </row>
    <row r="457" spans="2:18" ht="31.5" customHeight="1" x14ac:dyDescent="0.45">
      <c r="B457" s="461"/>
      <c r="C457" s="369"/>
      <c r="D457" s="368">
        <f>TrialBalanceA!C151</f>
        <v>0</v>
      </c>
      <c r="M457" s="441">
        <f>-TrialBalanceA!I151</f>
        <v>0</v>
      </c>
      <c r="N457" s="400"/>
      <c r="O457" s="441">
        <f>-TrialBalanceA!K151</f>
        <v>0</v>
      </c>
      <c r="P457" s="478"/>
      <c r="Q457" s="389"/>
      <c r="R457" s="416" t="str">
        <f t="shared" si="6"/>
        <v>DELETE</v>
      </c>
    </row>
    <row r="458" spans="2:18" ht="31.5" customHeight="1" x14ac:dyDescent="0.45">
      <c r="B458" s="461"/>
      <c r="C458" s="369"/>
      <c r="D458" s="368">
        <f>TrialBalanceB!C144</f>
        <v>0</v>
      </c>
      <c r="M458" s="441">
        <f>-TrialBalanceB!I144</f>
        <v>0</v>
      </c>
      <c r="N458" s="400"/>
      <c r="O458" s="441">
        <f>-TrialBalanceB!K144</f>
        <v>0</v>
      </c>
      <c r="P458" s="478"/>
      <c r="Q458" s="389"/>
      <c r="R458" s="416" t="str">
        <f t="shared" si="6"/>
        <v>DELETE</v>
      </c>
    </row>
    <row r="459" spans="2:18" ht="31.5" customHeight="1" x14ac:dyDescent="0.45">
      <c r="B459" s="461"/>
      <c r="C459" s="369"/>
      <c r="D459" s="368">
        <f>TrialBalanceB!C145</f>
        <v>0</v>
      </c>
      <c r="M459" s="441">
        <f>-TrialBalanceB!I145</f>
        <v>0</v>
      </c>
      <c r="N459" s="400"/>
      <c r="O459" s="441">
        <f>-TrialBalanceB!K145</f>
        <v>0</v>
      </c>
      <c r="P459" s="478"/>
      <c r="Q459" s="389"/>
      <c r="R459" s="416" t="str">
        <f t="shared" si="6"/>
        <v>DELETE</v>
      </c>
    </row>
    <row r="460" spans="2:18" ht="31.5" customHeight="1" x14ac:dyDescent="0.45">
      <c r="B460" s="461"/>
      <c r="C460" s="369"/>
      <c r="D460" s="368">
        <f>TrialBalanceB!C146</f>
        <v>0</v>
      </c>
      <c r="M460" s="441">
        <f>-TrialBalanceB!I146</f>
        <v>0</v>
      </c>
      <c r="N460" s="400"/>
      <c r="O460" s="441">
        <f>-TrialBalanceB!K146</f>
        <v>0</v>
      </c>
      <c r="P460" s="478"/>
      <c r="Q460" s="389"/>
      <c r="R460" s="416" t="str">
        <f t="shared" si="6"/>
        <v>DELETE</v>
      </c>
    </row>
    <row r="461" spans="2:18" ht="31.5" customHeight="1" x14ac:dyDescent="0.45">
      <c r="B461" s="461"/>
      <c r="C461" s="369"/>
      <c r="D461" s="368">
        <f>TrialBalanceB!C147</f>
        <v>0</v>
      </c>
      <c r="M461" s="441">
        <f>-TrialBalanceB!I147</f>
        <v>0</v>
      </c>
      <c r="N461" s="400"/>
      <c r="O461" s="441">
        <f>-TrialBalanceB!K147</f>
        <v>0</v>
      </c>
      <c r="P461" s="478"/>
      <c r="Q461" s="389"/>
      <c r="R461" s="416" t="str">
        <f t="shared" si="6"/>
        <v>DELETE</v>
      </c>
    </row>
    <row r="462" spans="2:18" ht="31.5" customHeight="1" x14ac:dyDescent="0.45">
      <c r="B462" s="461"/>
      <c r="C462" s="369"/>
      <c r="D462" s="368">
        <f>TrialBalanceB!C148</f>
        <v>0</v>
      </c>
      <c r="M462" s="441">
        <f>-TrialBalanceB!I148</f>
        <v>0</v>
      </c>
      <c r="N462" s="400"/>
      <c r="O462" s="441">
        <f>-TrialBalanceB!K148</f>
        <v>0</v>
      </c>
      <c r="P462" s="478"/>
      <c r="Q462" s="389"/>
      <c r="R462" s="416" t="str">
        <f t="shared" si="6"/>
        <v>DELETE</v>
      </c>
    </row>
    <row r="463" spans="2:18" ht="31.5" customHeight="1" x14ac:dyDescent="0.45">
      <c r="B463" s="461"/>
      <c r="C463" s="369"/>
      <c r="D463" s="368">
        <f>TrialBalanceB!C149</f>
        <v>0</v>
      </c>
      <c r="M463" s="441">
        <f>-TrialBalanceB!I149</f>
        <v>0</v>
      </c>
      <c r="N463" s="400"/>
      <c r="O463" s="441">
        <f>-TrialBalanceB!K149</f>
        <v>0</v>
      </c>
      <c r="P463" s="478"/>
      <c r="Q463" s="389"/>
      <c r="R463" s="416" t="str">
        <f t="shared" si="6"/>
        <v>DELETE</v>
      </c>
    </row>
    <row r="464" spans="2:18" ht="31.5" customHeight="1" x14ac:dyDescent="0.45">
      <c r="B464" s="461"/>
      <c r="C464" s="369"/>
      <c r="D464" s="368">
        <f>TrialBalanceB!C150</f>
        <v>0</v>
      </c>
      <c r="M464" s="441">
        <f>-TrialBalanceB!I150</f>
        <v>0</v>
      </c>
      <c r="N464" s="400"/>
      <c r="O464" s="441">
        <f>-TrialBalanceB!K150</f>
        <v>0</v>
      </c>
      <c r="P464" s="478"/>
      <c r="Q464" s="389"/>
      <c r="R464" s="416" t="str">
        <f t="shared" si="6"/>
        <v>DELETE</v>
      </c>
    </row>
    <row r="465" spans="2:18" ht="31.5" customHeight="1" x14ac:dyDescent="0.45">
      <c r="B465" s="461"/>
      <c r="C465" s="369"/>
      <c r="D465" s="368">
        <f>TrialBalanceB!C151</f>
        <v>0</v>
      </c>
      <c r="M465" s="441">
        <f>-TrialBalanceB!I151</f>
        <v>0</v>
      </c>
      <c r="N465" s="400"/>
      <c r="O465" s="441">
        <f>-TrialBalanceB!K151</f>
        <v>0</v>
      </c>
      <c r="P465" s="478"/>
      <c r="Q465" s="389"/>
      <c r="R465" s="416" t="str">
        <f t="shared" si="6"/>
        <v>DELETE</v>
      </c>
    </row>
    <row r="466" spans="2:18" ht="31.5" customHeight="1" x14ac:dyDescent="0.45">
      <c r="B466" s="461"/>
      <c r="C466" s="369"/>
      <c r="D466" s="368">
        <f>TrialBalanceC!C144</f>
        <v>0</v>
      </c>
      <c r="M466" s="441">
        <f>-TrialBalanceC!I144</f>
        <v>0</v>
      </c>
      <c r="N466" s="400"/>
      <c r="O466" s="441">
        <f>-TrialBalanceC!K144</f>
        <v>0</v>
      </c>
      <c r="P466" s="478"/>
      <c r="Q466" s="389"/>
      <c r="R466" s="416" t="str">
        <f t="shared" si="6"/>
        <v>DELETE</v>
      </c>
    </row>
    <row r="467" spans="2:18" ht="31.5" customHeight="1" x14ac:dyDescent="0.45">
      <c r="B467" s="461"/>
      <c r="C467" s="369"/>
      <c r="D467" s="368">
        <f>TrialBalanceC!C145</f>
        <v>0</v>
      </c>
      <c r="M467" s="441">
        <f>-TrialBalanceC!I145</f>
        <v>0</v>
      </c>
      <c r="N467" s="400"/>
      <c r="O467" s="441">
        <f>-TrialBalanceC!K145</f>
        <v>0</v>
      </c>
      <c r="P467" s="478"/>
      <c r="Q467" s="389"/>
      <c r="R467" s="416" t="str">
        <f t="shared" si="6"/>
        <v>DELETE</v>
      </c>
    </row>
    <row r="468" spans="2:18" ht="31.5" customHeight="1" x14ac:dyDescent="0.45">
      <c r="B468" s="461"/>
      <c r="C468" s="369"/>
      <c r="D468" s="368">
        <f>TrialBalanceC!C146</f>
        <v>0</v>
      </c>
      <c r="M468" s="441">
        <f>-TrialBalanceC!I146</f>
        <v>0</v>
      </c>
      <c r="N468" s="400"/>
      <c r="O468" s="441">
        <f>-TrialBalanceC!K146</f>
        <v>0</v>
      </c>
      <c r="P468" s="478"/>
      <c r="Q468" s="389"/>
      <c r="R468" s="416" t="str">
        <f t="shared" si="6"/>
        <v>DELETE</v>
      </c>
    </row>
    <row r="469" spans="2:18" ht="31.5" customHeight="1" x14ac:dyDescent="0.45">
      <c r="B469" s="461"/>
      <c r="C469" s="369"/>
      <c r="D469" s="368">
        <f>TrialBalanceC!C147</f>
        <v>0</v>
      </c>
      <c r="M469" s="441">
        <f>-TrialBalanceC!I147</f>
        <v>0</v>
      </c>
      <c r="N469" s="400"/>
      <c r="O469" s="441">
        <f>-TrialBalanceC!K147</f>
        <v>0</v>
      </c>
      <c r="P469" s="478"/>
      <c r="Q469" s="389"/>
      <c r="R469" s="416" t="str">
        <f t="shared" si="6"/>
        <v>DELETE</v>
      </c>
    </row>
    <row r="470" spans="2:18" ht="31.5" customHeight="1" x14ac:dyDescent="0.45">
      <c r="B470" s="461"/>
      <c r="C470" s="369"/>
      <c r="D470" s="368">
        <f>TrialBalanceC!C148</f>
        <v>0</v>
      </c>
      <c r="M470" s="441">
        <f>-TrialBalanceC!I148</f>
        <v>0</v>
      </c>
      <c r="N470" s="400"/>
      <c r="O470" s="441">
        <f>-TrialBalanceC!K148</f>
        <v>0</v>
      </c>
      <c r="P470" s="478"/>
      <c r="Q470" s="389"/>
      <c r="R470" s="416" t="str">
        <f t="shared" si="6"/>
        <v>DELETE</v>
      </c>
    </row>
    <row r="471" spans="2:18" ht="31.5" customHeight="1" x14ac:dyDescent="0.45">
      <c r="B471" s="461"/>
      <c r="C471" s="369"/>
      <c r="D471" s="368">
        <f>TrialBalanceC!C149</f>
        <v>0</v>
      </c>
      <c r="M471" s="441">
        <f>-TrialBalanceC!I149</f>
        <v>0</v>
      </c>
      <c r="N471" s="400"/>
      <c r="O471" s="441">
        <f>-TrialBalanceC!K149</f>
        <v>0</v>
      </c>
      <c r="P471" s="478"/>
      <c r="Q471" s="389"/>
      <c r="R471" s="416" t="str">
        <f t="shared" si="6"/>
        <v>DELETE</v>
      </c>
    </row>
    <row r="472" spans="2:18" ht="31.5" customHeight="1" x14ac:dyDescent="0.45">
      <c r="B472" s="461"/>
      <c r="C472" s="369"/>
      <c r="D472" s="368">
        <f>TrialBalanceC!C150</f>
        <v>0</v>
      </c>
      <c r="M472" s="441">
        <f>-TrialBalanceC!I150</f>
        <v>0</v>
      </c>
      <c r="N472" s="400"/>
      <c r="O472" s="441">
        <f>-TrialBalanceC!K150</f>
        <v>0</v>
      </c>
      <c r="P472" s="478"/>
      <c r="Q472" s="389"/>
      <c r="R472" s="416" t="str">
        <f t="shared" si="6"/>
        <v>DELETE</v>
      </c>
    </row>
    <row r="473" spans="2:18" ht="31.5" customHeight="1" x14ac:dyDescent="0.45">
      <c r="B473" s="461"/>
      <c r="C473" s="369"/>
      <c r="D473" s="368">
        <f>TrialBalanceC!C151</f>
        <v>0</v>
      </c>
      <c r="M473" s="441">
        <f>-TrialBalanceC!I151</f>
        <v>0</v>
      </c>
      <c r="N473" s="400"/>
      <c r="O473" s="441">
        <f>-TrialBalanceC!K151</f>
        <v>0</v>
      </c>
      <c r="P473" s="478"/>
      <c r="Q473" s="389"/>
      <c r="R473" s="416" t="str">
        <f>IF(M473+O473=0,"DELETE"," ")</f>
        <v>DELETE</v>
      </c>
    </row>
    <row r="474" spans="2:18" ht="9" customHeight="1" x14ac:dyDescent="0.45">
      <c r="B474" s="461"/>
      <c r="C474" s="369"/>
      <c r="M474" s="438"/>
      <c r="N474" s="392"/>
      <c r="O474" s="438"/>
      <c r="P474" s="478"/>
      <c r="Q474" s="389"/>
      <c r="R474" s="416" t="str">
        <f>R476</f>
        <v>DELETE</v>
      </c>
    </row>
    <row r="475" spans="2:18" ht="9" customHeight="1" x14ac:dyDescent="0.45">
      <c r="B475" s="461"/>
      <c r="C475" s="369"/>
      <c r="M475" s="441"/>
      <c r="N475" s="400"/>
      <c r="O475" s="441"/>
      <c r="P475" s="478"/>
      <c r="Q475" s="389"/>
      <c r="R475" s="416" t="str">
        <f>R476</f>
        <v>DELETE</v>
      </c>
    </row>
    <row r="476" spans="2:18" ht="31.5" customHeight="1" x14ac:dyDescent="0.45">
      <c r="B476" s="461"/>
      <c r="C476" s="369"/>
      <c r="M476" s="441">
        <f>SUM(M442:M474)</f>
        <v>0</v>
      </c>
      <c r="N476" s="400"/>
      <c r="O476" s="441">
        <f>SUM(O442:O474)</f>
        <v>0</v>
      </c>
      <c r="P476" s="478"/>
      <c r="Q476" s="389"/>
      <c r="R476" s="416" t="str">
        <f>IF(M476+O476=0,"DELETE"," ")</f>
        <v>DELETE</v>
      </c>
    </row>
    <row r="477" spans="2:18" ht="9" customHeight="1" thickBot="1" x14ac:dyDescent="0.5">
      <c r="B477" s="461"/>
      <c r="C477" s="369"/>
      <c r="M477" s="439"/>
      <c r="N477" s="393"/>
      <c r="O477" s="439"/>
      <c r="P477" s="478"/>
      <c r="Q477" s="389"/>
      <c r="R477" s="416" t="str">
        <f>R476</f>
        <v>DELETE</v>
      </c>
    </row>
    <row r="478" spans="2:18" ht="9" customHeight="1" thickTop="1" x14ac:dyDescent="0.45">
      <c r="B478" s="461"/>
      <c r="C478" s="369"/>
      <c r="M478" s="441"/>
      <c r="N478" s="400"/>
      <c r="O478" s="441"/>
      <c r="P478" s="478"/>
      <c r="Q478" s="389"/>
      <c r="R478" s="416" t="str">
        <f>R476</f>
        <v>DELETE</v>
      </c>
    </row>
    <row r="479" spans="2:18" ht="31.5" customHeight="1" x14ac:dyDescent="0.45">
      <c r="B479" s="461"/>
      <c r="C479" s="369"/>
      <c r="M479" s="441"/>
      <c r="N479" s="400"/>
      <c r="O479" s="441"/>
      <c r="P479" s="478"/>
      <c r="Q479" s="389"/>
      <c r="R479" s="416" t="str">
        <f>R$476</f>
        <v>DELETE</v>
      </c>
    </row>
    <row r="480" spans="2:18" ht="31.5" customHeight="1" x14ac:dyDescent="0.45">
      <c r="B480" s="461">
        <f>MAX($B$431:B479)+1</f>
        <v>2</v>
      </c>
      <c r="C480" s="369" t="s">
        <v>268</v>
      </c>
      <c r="M480" s="441"/>
      <c r="N480" s="400"/>
      <c r="O480" s="441"/>
      <c r="P480" s="478"/>
      <c r="Q480" s="389"/>
      <c r="R480" s="416" t="str">
        <f>R$485</f>
        <v>DELETE</v>
      </c>
    </row>
    <row r="481" spans="2:18" ht="31.5" customHeight="1" x14ac:dyDescent="0.45">
      <c r="B481" s="461"/>
      <c r="C481" s="369"/>
      <c r="D481" s="368" t="s">
        <v>269</v>
      </c>
      <c r="M481" s="441">
        <f>-TrialBalance!L153-TrialBalanceA!I153-TrialBalanceB!I153-TrialBalanceC!I153</f>
        <v>0</v>
      </c>
      <c r="N481" s="400"/>
      <c r="O481" s="441">
        <f>-TrialBalance!N153-TrialBalanceA!K153-TrialBalanceB!K153-TrialBalanceC!K153</f>
        <v>0</v>
      </c>
      <c r="P481" s="478"/>
      <c r="Q481" s="389"/>
      <c r="R481" s="416" t="str">
        <f t="shared" ref="R481:R482" si="7">IF(M481+O481=0,"DELETE"," ")</f>
        <v>DELETE</v>
      </c>
    </row>
    <row r="482" spans="2:18" ht="31.5" customHeight="1" x14ac:dyDescent="0.45">
      <c r="B482" s="461"/>
      <c r="C482" s="369"/>
      <c r="D482" s="368" t="s">
        <v>543</v>
      </c>
      <c r="M482" s="441">
        <f>-TrialBalance!L154-TrialBalanceA!I154-TrialBalanceB!I154-TrialBalanceC!I154</f>
        <v>0</v>
      </c>
      <c r="N482" s="400"/>
      <c r="O482" s="441">
        <f>-TrialBalance!N154-TrialBalanceA!K154-TrialBalanceB!K154-TrialBalanceC!K154</f>
        <v>0</v>
      </c>
      <c r="P482" s="478"/>
      <c r="Q482" s="389"/>
      <c r="R482" s="416" t="str">
        <f t="shared" si="7"/>
        <v>DELETE</v>
      </c>
    </row>
    <row r="483" spans="2:18" ht="9" customHeight="1" x14ac:dyDescent="0.45">
      <c r="B483" s="461"/>
      <c r="C483" s="369"/>
      <c r="M483" s="438"/>
      <c r="N483" s="392"/>
      <c r="O483" s="438"/>
      <c r="P483" s="478"/>
      <c r="Q483" s="389"/>
      <c r="R483" s="416" t="str">
        <f>R485</f>
        <v>DELETE</v>
      </c>
    </row>
    <row r="484" spans="2:18" ht="9" customHeight="1" x14ac:dyDescent="0.45">
      <c r="B484" s="461"/>
      <c r="C484" s="369"/>
      <c r="M484" s="441"/>
      <c r="N484" s="400"/>
      <c r="O484" s="441"/>
      <c r="P484" s="478"/>
      <c r="Q484" s="389"/>
      <c r="R484" s="416" t="str">
        <f>R485</f>
        <v>DELETE</v>
      </c>
    </row>
    <row r="485" spans="2:18" ht="31.5" customHeight="1" x14ac:dyDescent="0.45">
      <c r="B485" s="461"/>
      <c r="C485" s="369"/>
      <c r="M485" s="441">
        <f>SUM(M481:M483)</f>
        <v>0</v>
      </c>
      <c r="N485" s="400"/>
      <c r="O485" s="441">
        <f>SUM(O481:O483)</f>
        <v>0</v>
      </c>
      <c r="P485" s="478"/>
      <c r="Q485" s="389"/>
      <c r="R485" s="416" t="str">
        <f t="shared" ref="R485" si="8">IF(M485+O485=0,"DELETE"," ")</f>
        <v>DELETE</v>
      </c>
    </row>
    <row r="486" spans="2:18" ht="9" customHeight="1" thickBot="1" x14ac:dyDescent="0.5">
      <c r="B486" s="461"/>
      <c r="C486" s="369"/>
      <c r="M486" s="439"/>
      <c r="N486" s="393"/>
      <c r="O486" s="439"/>
      <c r="P486" s="478"/>
      <c r="Q486" s="389"/>
      <c r="R486" s="416" t="str">
        <f>R485</f>
        <v>DELETE</v>
      </c>
    </row>
    <row r="487" spans="2:18" ht="9" customHeight="1" thickTop="1" x14ac:dyDescent="0.45">
      <c r="B487" s="461"/>
      <c r="C487" s="369"/>
      <c r="M487" s="441"/>
      <c r="N487" s="400"/>
      <c r="O487" s="441"/>
      <c r="P487" s="478"/>
      <c r="Q487" s="389"/>
      <c r="R487" s="416" t="str">
        <f>R485</f>
        <v>DELETE</v>
      </c>
    </row>
    <row r="488" spans="2:18" ht="31.5" customHeight="1" x14ac:dyDescent="0.45">
      <c r="B488" s="461"/>
      <c r="C488" s="369"/>
      <c r="M488" s="441"/>
      <c r="N488" s="400"/>
      <c r="O488" s="441"/>
      <c r="P488" s="478"/>
      <c r="Q488" s="389"/>
      <c r="R488" s="416" t="str">
        <f>R$485</f>
        <v>DELETE</v>
      </c>
    </row>
    <row r="489" spans="2:18" ht="31.5" customHeight="1" x14ac:dyDescent="0.45">
      <c r="B489" s="461"/>
      <c r="C489" s="369"/>
      <c r="M489" s="441"/>
      <c r="N489" s="400"/>
      <c r="O489" s="441"/>
      <c r="P489" s="478"/>
      <c r="Q489" s="389"/>
    </row>
    <row r="490" spans="2:18" ht="31.5" customHeight="1" x14ac:dyDescent="0.45">
      <c r="B490" s="462"/>
      <c r="C490" s="407"/>
      <c r="D490" s="383"/>
      <c r="E490" s="383"/>
      <c r="F490" s="383"/>
      <c r="G490" s="383"/>
      <c r="H490" s="383"/>
      <c r="I490" s="383"/>
      <c r="J490" s="383"/>
      <c r="K490" s="383"/>
      <c r="L490" s="383"/>
      <c r="M490" s="438"/>
      <c r="N490" s="392"/>
      <c r="O490" s="438"/>
      <c r="P490" s="475"/>
      <c r="Q490" s="398"/>
    </row>
    <row r="491" spans="2:18" ht="31.5" customHeight="1" x14ac:dyDescent="0.45">
      <c r="B491" s="445"/>
      <c r="C491" s="369"/>
      <c r="M491" s="434"/>
      <c r="N491" s="390"/>
      <c r="O491" s="434"/>
    </row>
    <row r="492" spans="2:18" ht="31.5" customHeight="1" x14ac:dyDescent="0.45">
      <c r="B492" s="445"/>
      <c r="C492" s="369"/>
      <c r="M492" s="434"/>
      <c r="N492" s="390"/>
      <c r="O492" s="434"/>
      <c r="R492" s="416" t="str">
        <f>R$545</f>
        <v>DELETE</v>
      </c>
    </row>
    <row r="493" spans="2:18" ht="31.5" customHeight="1" x14ac:dyDescent="0.45">
      <c r="B493" s="445"/>
      <c r="C493" s="369"/>
      <c r="D493" s="369" t="str">
        <f>Criteria!E9</f>
        <v>ABC TRUST</v>
      </c>
      <c r="M493" s="479"/>
      <c r="N493" s="469"/>
      <c r="O493" s="434" t="s">
        <v>105</v>
      </c>
      <c r="Q493" s="370">
        <f>MAX($Q$114:Q492)+1</f>
        <v>7</v>
      </c>
      <c r="R493" s="416" t="str">
        <f>R$545</f>
        <v>DELETE</v>
      </c>
    </row>
    <row r="494" spans="2:18" ht="31.5" customHeight="1" x14ac:dyDescent="0.45">
      <c r="B494" s="445"/>
      <c r="C494" s="369"/>
      <c r="D494" s="369" t="str">
        <f>Criteria!E10</f>
        <v>T/A RENTAL PROPERTIES, SEAFRONT RESTAURANT AND SURF SHOP</v>
      </c>
      <c r="M494" s="479"/>
      <c r="N494" s="469"/>
      <c r="O494" s="479"/>
      <c r="R494" s="416" t="str">
        <f>IF(R$545="DELETE","DELETE",IF(D494=0,"DELETE"," "))</f>
        <v>DELETE</v>
      </c>
    </row>
    <row r="495" spans="2:18" ht="31.5" customHeight="1" x14ac:dyDescent="0.45">
      <c r="B495" s="445"/>
      <c r="C495" s="369"/>
      <c r="M495" s="479"/>
      <c r="N495" s="469"/>
      <c r="O495" s="479"/>
      <c r="R495" s="416" t="str">
        <f t="shared" ref="R495:R502" si="9">R$545</f>
        <v>DELETE</v>
      </c>
    </row>
    <row r="496" spans="2:18" ht="31.5" customHeight="1" x14ac:dyDescent="0.45">
      <c r="B496" s="445"/>
      <c r="C496" s="369"/>
      <c r="D496" s="369" t="s">
        <v>383</v>
      </c>
      <c r="M496" s="479"/>
      <c r="N496" s="469"/>
      <c r="O496" s="479"/>
      <c r="R496" s="416" t="str">
        <f t="shared" si="9"/>
        <v>DELETE</v>
      </c>
    </row>
    <row r="497" spans="2:18" ht="31.5" customHeight="1" x14ac:dyDescent="0.45">
      <c r="B497" s="445"/>
      <c r="C497" s="369"/>
      <c r="D497" s="369" t="str">
        <f>Criteria!E20</f>
        <v>29 FEBRUARY 2024</v>
      </c>
      <c r="J497" s="368" t="s">
        <v>253</v>
      </c>
      <c r="M497" s="479"/>
      <c r="N497" s="469"/>
      <c r="O497" s="479"/>
      <c r="R497" s="416" t="str">
        <f t="shared" si="9"/>
        <v>DELETE</v>
      </c>
    </row>
    <row r="498" spans="2:18" ht="31.5" customHeight="1" x14ac:dyDescent="0.45">
      <c r="B498" s="445"/>
      <c r="C498" s="369"/>
      <c r="M498" s="434"/>
      <c r="N498" s="390"/>
      <c r="O498" s="434"/>
      <c r="R498" s="416" t="str">
        <f t="shared" si="9"/>
        <v>DELETE</v>
      </c>
    </row>
    <row r="499" spans="2:18" ht="31.5" customHeight="1" x14ac:dyDescent="0.45">
      <c r="B499" s="465"/>
      <c r="C499" s="410"/>
      <c r="D499" s="386"/>
      <c r="E499" s="386"/>
      <c r="F499" s="386"/>
      <c r="G499" s="386"/>
      <c r="H499" s="386"/>
      <c r="I499" s="386"/>
      <c r="J499" s="386"/>
      <c r="K499" s="386"/>
      <c r="L499" s="386"/>
      <c r="M499" s="446"/>
      <c r="N499" s="391"/>
      <c r="O499" s="446"/>
      <c r="P499" s="481"/>
      <c r="Q499" s="387"/>
      <c r="R499" s="416" t="str">
        <f t="shared" si="9"/>
        <v>DELETE</v>
      </c>
    </row>
    <row r="500" spans="2:18" ht="31.5" customHeight="1" x14ac:dyDescent="0.45">
      <c r="B500" s="461"/>
      <c r="C500" s="369"/>
      <c r="M500" s="430">
        <f>Criteria!E22</f>
        <v>2024</v>
      </c>
      <c r="N500" s="379"/>
      <c r="O500" s="430">
        <f>Criteria!E27</f>
        <v>2023</v>
      </c>
      <c r="P500" s="478"/>
      <c r="Q500" s="389"/>
      <c r="R500" s="416" t="str">
        <f t="shared" si="9"/>
        <v>DELETE</v>
      </c>
    </row>
    <row r="501" spans="2:18" ht="31.5" customHeight="1" x14ac:dyDescent="0.45">
      <c r="B501" s="461"/>
      <c r="C501" s="369"/>
      <c r="M501" s="441"/>
      <c r="N501" s="400"/>
      <c r="O501" s="441"/>
      <c r="P501" s="478"/>
      <c r="Q501" s="389"/>
      <c r="R501" s="416" t="str">
        <f t="shared" si="9"/>
        <v>DELETE</v>
      </c>
    </row>
    <row r="502" spans="2:18" ht="31.5" customHeight="1" x14ac:dyDescent="0.45">
      <c r="B502" s="461">
        <f>MAX($B$431:B501)+1</f>
        <v>3</v>
      </c>
      <c r="C502" s="369" t="s">
        <v>122</v>
      </c>
      <c r="M502" s="441"/>
      <c r="N502" s="400"/>
      <c r="O502" s="441"/>
      <c r="P502" s="478"/>
      <c r="Q502" s="389"/>
      <c r="R502" s="416" t="str">
        <f t="shared" si="9"/>
        <v>DELETE</v>
      </c>
    </row>
    <row r="503" spans="2:18" ht="31.5" customHeight="1" x14ac:dyDescent="0.45">
      <c r="B503" s="461"/>
      <c r="C503" s="369"/>
      <c r="D503" s="368">
        <f>TrialBalance!C156</f>
        <v>0</v>
      </c>
      <c r="M503" s="441">
        <f>-TrialBalance!L156</f>
        <v>0</v>
      </c>
      <c r="N503" s="400"/>
      <c r="O503" s="441">
        <f>-TrialBalance!N156</f>
        <v>0</v>
      </c>
      <c r="P503" s="478"/>
      <c r="Q503" s="389"/>
      <c r="R503" s="416" t="str">
        <f t="shared" ref="R503:R542" si="10">IF(M503+O503=0,"DELETE"," ")</f>
        <v>DELETE</v>
      </c>
    </row>
    <row r="504" spans="2:18" ht="31.5" customHeight="1" x14ac:dyDescent="0.45">
      <c r="B504" s="461"/>
      <c r="C504" s="369"/>
      <c r="D504" s="368">
        <f>TrialBalance!C157</f>
        <v>0</v>
      </c>
      <c r="M504" s="441">
        <f>-TrialBalance!L157</f>
        <v>0</v>
      </c>
      <c r="N504" s="400"/>
      <c r="O504" s="441">
        <f>-TrialBalance!N157</f>
        <v>0</v>
      </c>
      <c r="P504" s="478"/>
      <c r="Q504" s="389"/>
      <c r="R504" s="416" t="str">
        <f t="shared" si="10"/>
        <v>DELETE</v>
      </c>
    </row>
    <row r="505" spans="2:18" ht="31.5" customHeight="1" x14ac:dyDescent="0.45">
      <c r="B505" s="461"/>
      <c r="C505" s="369"/>
      <c r="D505" s="368">
        <f>TrialBalance!C158</f>
        <v>0</v>
      </c>
      <c r="M505" s="441">
        <f>-TrialBalance!L158</f>
        <v>0</v>
      </c>
      <c r="N505" s="400"/>
      <c r="O505" s="441">
        <f>-TrialBalance!N158</f>
        <v>0</v>
      </c>
      <c r="P505" s="478"/>
      <c r="Q505" s="389"/>
      <c r="R505" s="416" t="str">
        <f t="shared" si="10"/>
        <v>DELETE</v>
      </c>
    </row>
    <row r="506" spans="2:18" ht="31.5" customHeight="1" x14ac:dyDescent="0.45">
      <c r="B506" s="461"/>
      <c r="C506" s="369"/>
      <c r="D506" s="368">
        <f>TrialBalance!C159</f>
        <v>0</v>
      </c>
      <c r="M506" s="441">
        <f>-TrialBalance!L159</f>
        <v>0</v>
      </c>
      <c r="N506" s="400"/>
      <c r="O506" s="441">
        <f>-TrialBalance!N159</f>
        <v>0</v>
      </c>
      <c r="P506" s="478"/>
      <c r="Q506" s="389"/>
      <c r="R506" s="416" t="str">
        <f t="shared" si="10"/>
        <v>DELETE</v>
      </c>
    </row>
    <row r="507" spans="2:18" ht="31.5" customHeight="1" x14ac:dyDescent="0.45">
      <c r="B507" s="461"/>
      <c r="C507" s="369"/>
      <c r="D507" s="368">
        <f>TrialBalance!C160</f>
        <v>0</v>
      </c>
      <c r="M507" s="441">
        <f>-TrialBalance!L160</f>
        <v>0</v>
      </c>
      <c r="N507" s="400"/>
      <c r="O507" s="441">
        <f>-TrialBalance!N160</f>
        <v>0</v>
      </c>
      <c r="P507" s="478"/>
      <c r="Q507" s="389"/>
      <c r="R507" s="416" t="str">
        <f t="shared" si="10"/>
        <v>DELETE</v>
      </c>
    </row>
    <row r="508" spans="2:18" ht="31.5" customHeight="1" x14ac:dyDescent="0.45">
      <c r="B508" s="461"/>
      <c r="C508" s="369"/>
      <c r="D508" s="368">
        <f>TrialBalance!C161</f>
        <v>0</v>
      </c>
      <c r="M508" s="441">
        <f>-TrialBalance!L161</f>
        <v>0</v>
      </c>
      <c r="N508" s="400"/>
      <c r="O508" s="441">
        <f>-TrialBalance!N161</f>
        <v>0</v>
      </c>
      <c r="P508" s="478"/>
      <c r="Q508" s="389"/>
      <c r="R508" s="416" t="str">
        <f t="shared" si="10"/>
        <v>DELETE</v>
      </c>
    </row>
    <row r="509" spans="2:18" ht="31.5" customHeight="1" x14ac:dyDescent="0.45">
      <c r="B509" s="461"/>
      <c r="C509" s="369"/>
      <c r="D509" s="368">
        <f>TrialBalance!C162</f>
        <v>0</v>
      </c>
      <c r="M509" s="441">
        <f>-TrialBalance!L162</f>
        <v>0</v>
      </c>
      <c r="N509" s="400"/>
      <c r="O509" s="441">
        <f>-TrialBalance!N162</f>
        <v>0</v>
      </c>
      <c r="P509" s="478"/>
      <c r="Q509" s="389"/>
      <c r="R509" s="416" t="str">
        <f t="shared" si="10"/>
        <v>DELETE</v>
      </c>
    </row>
    <row r="510" spans="2:18" ht="31.5" customHeight="1" x14ac:dyDescent="0.45">
      <c r="B510" s="461"/>
      <c r="C510" s="369"/>
      <c r="D510" s="368">
        <f>TrialBalance!C163</f>
        <v>0</v>
      </c>
      <c r="M510" s="441">
        <f>-TrialBalance!L163</f>
        <v>0</v>
      </c>
      <c r="N510" s="400"/>
      <c r="O510" s="441">
        <f>-TrialBalance!N163</f>
        <v>0</v>
      </c>
      <c r="P510" s="478"/>
      <c r="Q510" s="389"/>
      <c r="R510" s="416" t="str">
        <f t="shared" si="10"/>
        <v>DELETE</v>
      </c>
    </row>
    <row r="511" spans="2:18" ht="31.5" customHeight="1" x14ac:dyDescent="0.45">
      <c r="B511" s="461"/>
      <c r="C511" s="369"/>
      <c r="D511" s="368">
        <f>TrialBalance!C164</f>
        <v>0</v>
      </c>
      <c r="M511" s="441">
        <f>-TrialBalance!L164</f>
        <v>0</v>
      </c>
      <c r="N511" s="400"/>
      <c r="O511" s="441">
        <f>-TrialBalance!N164</f>
        <v>0</v>
      </c>
      <c r="P511" s="478"/>
      <c r="Q511" s="389"/>
      <c r="R511" s="416" t="str">
        <f t="shared" si="10"/>
        <v>DELETE</v>
      </c>
    </row>
    <row r="512" spans="2:18" ht="31.5" customHeight="1" x14ac:dyDescent="0.45">
      <c r="B512" s="461"/>
      <c r="C512" s="369"/>
      <c r="D512" s="368">
        <f>TrialBalance!C165</f>
        <v>0</v>
      </c>
      <c r="M512" s="441">
        <f>-TrialBalance!L165</f>
        <v>0</v>
      </c>
      <c r="N512" s="400"/>
      <c r="O512" s="441">
        <f>-TrialBalance!N165</f>
        <v>0</v>
      </c>
      <c r="P512" s="478"/>
      <c r="Q512" s="389"/>
      <c r="R512" s="416" t="str">
        <f t="shared" si="10"/>
        <v>DELETE</v>
      </c>
    </row>
    <row r="513" spans="2:18" ht="31.5" customHeight="1" x14ac:dyDescent="0.45">
      <c r="B513" s="461"/>
      <c r="C513" s="369"/>
      <c r="D513" s="368">
        <f>TrialBalanceA!C156</f>
        <v>0</v>
      </c>
      <c r="M513" s="441">
        <f>-TrialBalanceA!I156</f>
        <v>0</v>
      </c>
      <c r="N513" s="400"/>
      <c r="O513" s="441">
        <f>-TrialBalanceA!K156</f>
        <v>0</v>
      </c>
      <c r="P513" s="478"/>
      <c r="Q513" s="389"/>
      <c r="R513" s="416" t="str">
        <f t="shared" si="10"/>
        <v>DELETE</v>
      </c>
    </row>
    <row r="514" spans="2:18" ht="31.5" customHeight="1" x14ac:dyDescent="0.45">
      <c r="B514" s="461"/>
      <c r="C514" s="369"/>
      <c r="D514" s="368">
        <f>TrialBalanceA!C157</f>
        <v>0</v>
      </c>
      <c r="M514" s="441">
        <f>-TrialBalanceA!I157</f>
        <v>0</v>
      </c>
      <c r="N514" s="400"/>
      <c r="O514" s="441">
        <f>-TrialBalanceA!K157</f>
        <v>0</v>
      </c>
      <c r="P514" s="478"/>
      <c r="Q514" s="389"/>
      <c r="R514" s="416" t="str">
        <f t="shared" si="10"/>
        <v>DELETE</v>
      </c>
    </row>
    <row r="515" spans="2:18" ht="31.5" customHeight="1" x14ac:dyDescent="0.45">
      <c r="B515" s="461"/>
      <c r="C515" s="369"/>
      <c r="D515" s="368">
        <f>TrialBalanceA!C158</f>
        <v>0</v>
      </c>
      <c r="M515" s="441">
        <f>-TrialBalanceA!I158</f>
        <v>0</v>
      </c>
      <c r="N515" s="400"/>
      <c r="O515" s="441">
        <f>-TrialBalanceA!K158</f>
        <v>0</v>
      </c>
      <c r="P515" s="478"/>
      <c r="Q515" s="389"/>
      <c r="R515" s="416" t="str">
        <f t="shared" si="10"/>
        <v>DELETE</v>
      </c>
    </row>
    <row r="516" spans="2:18" ht="31.5" customHeight="1" x14ac:dyDescent="0.45">
      <c r="B516" s="461"/>
      <c r="C516" s="369"/>
      <c r="D516" s="368">
        <f>TrialBalanceA!C159</f>
        <v>0</v>
      </c>
      <c r="M516" s="441">
        <f>-TrialBalanceA!I159</f>
        <v>0</v>
      </c>
      <c r="N516" s="400"/>
      <c r="O516" s="441">
        <f>-TrialBalanceA!K159</f>
        <v>0</v>
      </c>
      <c r="P516" s="478"/>
      <c r="Q516" s="389"/>
      <c r="R516" s="416" t="str">
        <f t="shared" si="10"/>
        <v>DELETE</v>
      </c>
    </row>
    <row r="517" spans="2:18" ht="31.5" customHeight="1" x14ac:dyDescent="0.45">
      <c r="B517" s="461"/>
      <c r="C517" s="369"/>
      <c r="D517" s="368">
        <f>TrialBalanceA!C160</f>
        <v>0</v>
      </c>
      <c r="M517" s="441">
        <f>-TrialBalanceA!I160</f>
        <v>0</v>
      </c>
      <c r="N517" s="400"/>
      <c r="O517" s="441">
        <f>-TrialBalanceA!K160</f>
        <v>0</v>
      </c>
      <c r="P517" s="478"/>
      <c r="Q517" s="389"/>
      <c r="R517" s="416" t="str">
        <f t="shared" si="10"/>
        <v>DELETE</v>
      </c>
    </row>
    <row r="518" spans="2:18" ht="31.5" customHeight="1" x14ac:dyDescent="0.45">
      <c r="B518" s="461"/>
      <c r="C518" s="369"/>
      <c r="D518" s="368">
        <f>TrialBalanceA!C161</f>
        <v>0</v>
      </c>
      <c r="M518" s="441">
        <f>-TrialBalanceA!I161</f>
        <v>0</v>
      </c>
      <c r="N518" s="400"/>
      <c r="O518" s="441">
        <f>-TrialBalanceA!K161</f>
        <v>0</v>
      </c>
      <c r="P518" s="478"/>
      <c r="Q518" s="389"/>
      <c r="R518" s="416" t="str">
        <f t="shared" si="10"/>
        <v>DELETE</v>
      </c>
    </row>
    <row r="519" spans="2:18" ht="31.5" customHeight="1" x14ac:dyDescent="0.45">
      <c r="B519" s="461"/>
      <c r="C519" s="369"/>
      <c r="D519" s="368">
        <f>TrialBalanceA!C162</f>
        <v>0</v>
      </c>
      <c r="M519" s="441">
        <f>-TrialBalanceA!I162</f>
        <v>0</v>
      </c>
      <c r="N519" s="400"/>
      <c r="O519" s="441">
        <f>-TrialBalanceA!K162</f>
        <v>0</v>
      </c>
      <c r="P519" s="478"/>
      <c r="Q519" s="389"/>
      <c r="R519" s="416" t="str">
        <f t="shared" si="10"/>
        <v>DELETE</v>
      </c>
    </row>
    <row r="520" spans="2:18" ht="31.5" customHeight="1" x14ac:dyDescent="0.45">
      <c r="B520" s="461"/>
      <c r="C520" s="369"/>
      <c r="D520" s="368">
        <f>TrialBalanceA!C163</f>
        <v>0</v>
      </c>
      <c r="M520" s="441">
        <f>-TrialBalanceA!I163</f>
        <v>0</v>
      </c>
      <c r="N520" s="400"/>
      <c r="O520" s="441">
        <f>-TrialBalanceA!K163</f>
        <v>0</v>
      </c>
      <c r="P520" s="478"/>
      <c r="Q520" s="389"/>
      <c r="R520" s="416" t="str">
        <f t="shared" si="10"/>
        <v>DELETE</v>
      </c>
    </row>
    <row r="521" spans="2:18" ht="31.5" customHeight="1" x14ac:dyDescent="0.45">
      <c r="B521" s="461"/>
      <c r="C521" s="369"/>
      <c r="D521" s="368">
        <f>TrialBalanceA!C164</f>
        <v>0</v>
      </c>
      <c r="M521" s="441">
        <f>-TrialBalanceA!I164</f>
        <v>0</v>
      </c>
      <c r="N521" s="400"/>
      <c r="O521" s="441">
        <f>-TrialBalanceA!K164</f>
        <v>0</v>
      </c>
      <c r="P521" s="478"/>
      <c r="Q521" s="389"/>
      <c r="R521" s="416" t="str">
        <f t="shared" si="10"/>
        <v>DELETE</v>
      </c>
    </row>
    <row r="522" spans="2:18" ht="31.5" customHeight="1" x14ac:dyDescent="0.45">
      <c r="B522" s="461"/>
      <c r="C522" s="369"/>
      <c r="D522" s="368">
        <f>TrialBalanceA!C165</f>
        <v>0</v>
      </c>
      <c r="M522" s="441">
        <f>-TrialBalanceA!I165</f>
        <v>0</v>
      </c>
      <c r="N522" s="400"/>
      <c r="O522" s="441">
        <f>-TrialBalanceA!K165</f>
        <v>0</v>
      </c>
      <c r="P522" s="478"/>
      <c r="Q522" s="389"/>
      <c r="R522" s="416" t="str">
        <f t="shared" si="10"/>
        <v>DELETE</v>
      </c>
    </row>
    <row r="523" spans="2:18" ht="31.5" customHeight="1" x14ac:dyDescent="0.45">
      <c r="B523" s="461"/>
      <c r="C523" s="369"/>
      <c r="D523" s="368">
        <f>TrialBalanceB!C156</f>
        <v>0</v>
      </c>
      <c r="M523" s="441">
        <f>-TrialBalanceB!I156</f>
        <v>0</v>
      </c>
      <c r="N523" s="400"/>
      <c r="O523" s="441">
        <f>-TrialBalanceB!K156</f>
        <v>0</v>
      </c>
      <c r="P523" s="478"/>
      <c r="Q523" s="389"/>
      <c r="R523" s="416" t="str">
        <f t="shared" si="10"/>
        <v>DELETE</v>
      </c>
    </row>
    <row r="524" spans="2:18" ht="31.5" customHeight="1" x14ac:dyDescent="0.45">
      <c r="B524" s="461"/>
      <c r="C524" s="369"/>
      <c r="D524" s="368">
        <f>TrialBalanceB!C157</f>
        <v>0</v>
      </c>
      <c r="M524" s="441">
        <f>-TrialBalanceB!I157</f>
        <v>0</v>
      </c>
      <c r="N524" s="400"/>
      <c r="O524" s="441">
        <f>-TrialBalanceB!K157</f>
        <v>0</v>
      </c>
      <c r="P524" s="478"/>
      <c r="Q524" s="389"/>
      <c r="R524" s="416" t="str">
        <f t="shared" si="10"/>
        <v>DELETE</v>
      </c>
    </row>
    <row r="525" spans="2:18" ht="31.5" customHeight="1" x14ac:dyDescent="0.45">
      <c r="B525" s="461"/>
      <c r="C525" s="369"/>
      <c r="D525" s="368">
        <f>TrialBalanceB!C158</f>
        <v>0</v>
      </c>
      <c r="M525" s="441">
        <f>-TrialBalanceB!I158</f>
        <v>0</v>
      </c>
      <c r="N525" s="400"/>
      <c r="O525" s="441">
        <f>-TrialBalanceB!K158</f>
        <v>0</v>
      </c>
      <c r="P525" s="478"/>
      <c r="Q525" s="389"/>
      <c r="R525" s="416" t="str">
        <f t="shared" si="10"/>
        <v>DELETE</v>
      </c>
    </row>
    <row r="526" spans="2:18" ht="31.5" customHeight="1" x14ac:dyDescent="0.45">
      <c r="B526" s="461"/>
      <c r="C526" s="369"/>
      <c r="D526" s="368">
        <f>TrialBalanceB!C159</f>
        <v>0</v>
      </c>
      <c r="M526" s="441">
        <f>-TrialBalanceB!I159</f>
        <v>0</v>
      </c>
      <c r="N526" s="400"/>
      <c r="O526" s="441">
        <f>-TrialBalanceB!K159</f>
        <v>0</v>
      </c>
      <c r="P526" s="478"/>
      <c r="Q526" s="389"/>
      <c r="R526" s="416" t="str">
        <f t="shared" si="10"/>
        <v>DELETE</v>
      </c>
    </row>
    <row r="527" spans="2:18" ht="31.5" customHeight="1" x14ac:dyDescent="0.45">
      <c r="B527" s="461"/>
      <c r="C527" s="369"/>
      <c r="D527" s="368">
        <f>TrialBalanceB!C160</f>
        <v>0</v>
      </c>
      <c r="M527" s="441">
        <f>-TrialBalanceB!I160</f>
        <v>0</v>
      </c>
      <c r="N527" s="400"/>
      <c r="O527" s="441">
        <f>-TrialBalanceB!K160</f>
        <v>0</v>
      </c>
      <c r="P527" s="478"/>
      <c r="Q527" s="389"/>
      <c r="R527" s="416" t="str">
        <f t="shared" si="10"/>
        <v>DELETE</v>
      </c>
    </row>
    <row r="528" spans="2:18" ht="31.5" customHeight="1" x14ac:dyDescent="0.45">
      <c r="B528" s="461"/>
      <c r="C528" s="369"/>
      <c r="D528" s="368">
        <f>TrialBalanceB!C161</f>
        <v>0</v>
      </c>
      <c r="M528" s="441">
        <f>-TrialBalanceB!I161</f>
        <v>0</v>
      </c>
      <c r="N528" s="400"/>
      <c r="O528" s="441">
        <f>-TrialBalanceB!K161</f>
        <v>0</v>
      </c>
      <c r="P528" s="478"/>
      <c r="Q528" s="389"/>
      <c r="R528" s="416" t="str">
        <f t="shared" si="10"/>
        <v>DELETE</v>
      </c>
    </row>
    <row r="529" spans="2:18" ht="31.5" customHeight="1" x14ac:dyDescent="0.45">
      <c r="B529" s="461"/>
      <c r="C529" s="369"/>
      <c r="D529" s="368">
        <f>TrialBalanceB!C162</f>
        <v>0</v>
      </c>
      <c r="M529" s="441">
        <f>-TrialBalanceB!I162</f>
        <v>0</v>
      </c>
      <c r="N529" s="400"/>
      <c r="O529" s="441">
        <f>-TrialBalanceB!K162</f>
        <v>0</v>
      </c>
      <c r="P529" s="478"/>
      <c r="Q529" s="389"/>
      <c r="R529" s="416" t="str">
        <f t="shared" si="10"/>
        <v>DELETE</v>
      </c>
    </row>
    <row r="530" spans="2:18" ht="31.5" customHeight="1" x14ac:dyDescent="0.45">
      <c r="B530" s="461"/>
      <c r="C530" s="369"/>
      <c r="D530" s="368">
        <f>TrialBalanceB!C163</f>
        <v>0</v>
      </c>
      <c r="M530" s="441">
        <f>-TrialBalanceB!I163</f>
        <v>0</v>
      </c>
      <c r="N530" s="400"/>
      <c r="O530" s="441">
        <f>-TrialBalanceB!K163</f>
        <v>0</v>
      </c>
      <c r="P530" s="478"/>
      <c r="Q530" s="389"/>
      <c r="R530" s="416" t="str">
        <f t="shared" si="10"/>
        <v>DELETE</v>
      </c>
    </row>
    <row r="531" spans="2:18" ht="31.5" customHeight="1" x14ac:dyDescent="0.45">
      <c r="B531" s="461"/>
      <c r="C531" s="369"/>
      <c r="D531" s="368">
        <f>TrialBalanceB!C164</f>
        <v>0</v>
      </c>
      <c r="M531" s="441">
        <f>-TrialBalanceB!I164</f>
        <v>0</v>
      </c>
      <c r="N531" s="400"/>
      <c r="O531" s="441">
        <f>-TrialBalanceB!K164</f>
        <v>0</v>
      </c>
      <c r="P531" s="478"/>
      <c r="Q531" s="389"/>
      <c r="R531" s="416" t="str">
        <f t="shared" si="10"/>
        <v>DELETE</v>
      </c>
    </row>
    <row r="532" spans="2:18" ht="31.5" customHeight="1" x14ac:dyDescent="0.45">
      <c r="B532" s="461"/>
      <c r="C532" s="369"/>
      <c r="D532" s="368">
        <f>TrialBalanceB!C165</f>
        <v>0</v>
      </c>
      <c r="M532" s="441">
        <f>-TrialBalanceB!I165</f>
        <v>0</v>
      </c>
      <c r="N532" s="400"/>
      <c r="O532" s="441">
        <f>-TrialBalanceB!K165</f>
        <v>0</v>
      </c>
      <c r="P532" s="478"/>
      <c r="Q532" s="389"/>
      <c r="R532" s="416" t="str">
        <f t="shared" si="10"/>
        <v>DELETE</v>
      </c>
    </row>
    <row r="533" spans="2:18" ht="31.5" customHeight="1" x14ac:dyDescent="0.45">
      <c r="B533" s="461"/>
      <c r="C533" s="369"/>
      <c r="D533" s="368">
        <f>TrialBalanceC!C156</f>
        <v>0</v>
      </c>
      <c r="M533" s="441">
        <f>-TrialBalanceC!I156</f>
        <v>0</v>
      </c>
      <c r="N533" s="400"/>
      <c r="O533" s="441">
        <f>-TrialBalanceC!K156</f>
        <v>0</v>
      </c>
      <c r="P533" s="478"/>
      <c r="Q533" s="389"/>
      <c r="R533" s="416" t="str">
        <f t="shared" si="10"/>
        <v>DELETE</v>
      </c>
    </row>
    <row r="534" spans="2:18" ht="31.5" customHeight="1" x14ac:dyDescent="0.45">
      <c r="B534" s="461"/>
      <c r="C534" s="369"/>
      <c r="D534" s="368">
        <f>TrialBalanceC!C157</f>
        <v>0</v>
      </c>
      <c r="M534" s="441">
        <f>-TrialBalanceC!I157</f>
        <v>0</v>
      </c>
      <c r="N534" s="400"/>
      <c r="O534" s="441">
        <f>-TrialBalanceC!K157</f>
        <v>0</v>
      </c>
      <c r="P534" s="478"/>
      <c r="Q534" s="389"/>
      <c r="R534" s="416" t="str">
        <f t="shared" si="10"/>
        <v>DELETE</v>
      </c>
    </row>
    <row r="535" spans="2:18" ht="31.5" customHeight="1" x14ac:dyDescent="0.45">
      <c r="B535" s="461"/>
      <c r="C535" s="369"/>
      <c r="D535" s="368">
        <f>TrialBalanceC!C158</f>
        <v>0</v>
      </c>
      <c r="M535" s="441">
        <f>-TrialBalanceC!I158</f>
        <v>0</v>
      </c>
      <c r="N535" s="400"/>
      <c r="O535" s="441">
        <f>-TrialBalanceC!K158</f>
        <v>0</v>
      </c>
      <c r="P535" s="478"/>
      <c r="Q535" s="389"/>
      <c r="R535" s="416" t="str">
        <f t="shared" si="10"/>
        <v>DELETE</v>
      </c>
    </row>
    <row r="536" spans="2:18" ht="31.5" customHeight="1" x14ac:dyDescent="0.45">
      <c r="B536" s="461"/>
      <c r="C536" s="369"/>
      <c r="D536" s="368">
        <f>TrialBalanceC!C159</f>
        <v>0</v>
      </c>
      <c r="M536" s="441">
        <f>-TrialBalanceC!I159</f>
        <v>0</v>
      </c>
      <c r="N536" s="400"/>
      <c r="O536" s="441">
        <f>-TrialBalanceC!K159</f>
        <v>0</v>
      </c>
      <c r="P536" s="478"/>
      <c r="Q536" s="389"/>
      <c r="R536" s="416" t="str">
        <f t="shared" si="10"/>
        <v>DELETE</v>
      </c>
    </row>
    <row r="537" spans="2:18" ht="31.5" customHeight="1" x14ac:dyDescent="0.45">
      <c r="B537" s="461"/>
      <c r="C537" s="369"/>
      <c r="D537" s="368">
        <f>TrialBalanceC!C160</f>
        <v>0</v>
      </c>
      <c r="M537" s="441">
        <f>-TrialBalanceC!I160</f>
        <v>0</v>
      </c>
      <c r="N537" s="400"/>
      <c r="O537" s="441">
        <f>-TrialBalanceC!K160</f>
        <v>0</v>
      </c>
      <c r="P537" s="478"/>
      <c r="Q537" s="389"/>
      <c r="R537" s="416" t="str">
        <f t="shared" si="10"/>
        <v>DELETE</v>
      </c>
    </row>
    <row r="538" spans="2:18" ht="31.5" customHeight="1" x14ac:dyDescent="0.45">
      <c r="B538" s="461"/>
      <c r="C538" s="369"/>
      <c r="D538" s="368">
        <f>TrialBalanceC!C161</f>
        <v>0</v>
      </c>
      <c r="M538" s="441">
        <f>-TrialBalanceC!I161</f>
        <v>0</v>
      </c>
      <c r="N538" s="400"/>
      <c r="O538" s="441">
        <f>-TrialBalanceC!K161</f>
        <v>0</v>
      </c>
      <c r="P538" s="478"/>
      <c r="Q538" s="389"/>
      <c r="R538" s="416" t="str">
        <f t="shared" si="10"/>
        <v>DELETE</v>
      </c>
    </row>
    <row r="539" spans="2:18" ht="31.5" customHeight="1" x14ac:dyDescent="0.45">
      <c r="B539" s="461"/>
      <c r="C539" s="369"/>
      <c r="D539" s="368">
        <f>TrialBalanceC!C162</f>
        <v>0</v>
      </c>
      <c r="M539" s="441">
        <f>-TrialBalanceC!I162</f>
        <v>0</v>
      </c>
      <c r="N539" s="400"/>
      <c r="O539" s="441">
        <f>-TrialBalanceC!K162</f>
        <v>0</v>
      </c>
      <c r="P539" s="478"/>
      <c r="Q539" s="389"/>
      <c r="R539" s="416" t="str">
        <f t="shared" si="10"/>
        <v>DELETE</v>
      </c>
    </row>
    <row r="540" spans="2:18" ht="31.5" customHeight="1" x14ac:dyDescent="0.45">
      <c r="B540" s="461"/>
      <c r="C540" s="369"/>
      <c r="D540" s="368">
        <f>TrialBalanceC!C163</f>
        <v>0</v>
      </c>
      <c r="M540" s="441">
        <f>-TrialBalanceC!I163</f>
        <v>0</v>
      </c>
      <c r="N540" s="400"/>
      <c r="O540" s="441">
        <f>-TrialBalanceC!K163</f>
        <v>0</v>
      </c>
      <c r="P540" s="478"/>
      <c r="Q540" s="389"/>
      <c r="R540" s="416" t="str">
        <f t="shared" si="10"/>
        <v>DELETE</v>
      </c>
    </row>
    <row r="541" spans="2:18" ht="31.5" customHeight="1" x14ac:dyDescent="0.45">
      <c r="B541" s="461"/>
      <c r="C541" s="369"/>
      <c r="D541" s="368">
        <f>TrialBalanceC!C164</f>
        <v>0</v>
      </c>
      <c r="M541" s="441">
        <f>-TrialBalanceC!I164</f>
        <v>0</v>
      </c>
      <c r="N541" s="400"/>
      <c r="O541" s="441">
        <f>-TrialBalanceC!K164</f>
        <v>0</v>
      </c>
      <c r="P541" s="478"/>
      <c r="Q541" s="389"/>
      <c r="R541" s="416" t="str">
        <f t="shared" si="10"/>
        <v>DELETE</v>
      </c>
    </row>
    <row r="542" spans="2:18" ht="31.5" customHeight="1" x14ac:dyDescent="0.45">
      <c r="B542" s="461"/>
      <c r="C542" s="369"/>
      <c r="D542" s="368">
        <f>TrialBalanceC!C165</f>
        <v>0</v>
      </c>
      <c r="M542" s="441">
        <f>-TrialBalanceC!I165</f>
        <v>0</v>
      </c>
      <c r="N542" s="400"/>
      <c r="O542" s="441">
        <f>-TrialBalanceC!K165</f>
        <v>0</v>
      </c>
      <c r="P542" s="478"/>
      <c r="Q542" s="389"/>
      <c r="R542" s="416" t="str">
        <f t="shared" si="10"/>
        <v>DELETE</v>
      </c>
    </row>
    <row r="543" spans="2:18" ht="9" customHeight="1" x14ac:dyDescent="0.45">
      <c r="B543" s="461"/>
      <c r="C543" s="369"/>
      <c r="M543" s="438"/>
      <c r="N543" s="392"/>
      <c r="O543" s="438"/>
      <c r="P543" s="478"/>
      <c r="Q543" s="389"/>
      <c r="R543" s="416" t="str">
        <f>R545</f>
        <v>DELETE</v>
      </c>
    </row>
    <row r="544" spans="2:18" ht="9" customHeight="1" x14ac:dyDescent="0.45">
      <c r="B544" s="461"/>
      <c r="C544" s="369"/>
      <c r="M544" s="441"/>
      <c r="N544" s="400"/>
      <c r="O544" s="441"/>
      <c r="P544" s="478"/>
      <c r="Q544" s="389"/>
      <c r="R544" s="416" t="str">
        <f>R545</f>
        <v>DELETE</v>
      </c>
    </row>
    <row r="545" spans="2:18" ht="31.5" customHeight="1" x14ac:dyDescent="0.45">
      <c r="B545" s="461"/>
      <c r="C545" s="369"/>
      <c r="M545" s="441">
        <f>SUM(M503:M543)</f>
        <v>0</v>
      </c>
      <c r="N545" s="400"/>
      <c r="O545" s="441">
        <f>SUM(O503:O543)</f>
        <v>0</v>
      </c>
      <c r="P545" s="478"/>
      <c r="Q545" s="389"/>
      <c r="R545" s="416" t="str">
        <f t="shared" ref="R545" si="11">IF(M545+O545=0,"DELETE"," ")</f>
        <v>DELETE</v>
      </c>
    </row>
    <row r="546" spans="2:18" ht="9" customHeight="1" thickBot="1" x14ac:dyDescent="0.5">
      <c r="B546" s="461"/>
      <c r="C546" s="369"/>
      <c r="M546" s="439"/>
      <c r="N546" s="393"/>
      <c r="O546" s="439"/>
      <c r="P546" s="478"/>
      <c r="Q546" s="389"/>
      <c r="R546" s="416" t="str">
        <f>R545</f>
        <v>DELETE</v>
      </c>
    </row>
    <row r="547" spans="2:18" ht="9" customHeight="1" thickTop="1" x14ac:dyDescent="0.45">
      <c r="B547" s="461"/>
      <c r="C547" s="369"/>
      <c r="M547" s="441"/>
      <c r="N547" s="400"/>
      <c r="O547" s="441"/>
      <c r="P547" s="478"/>
      <c r="Q547" s="389"/>
      <c r="R547" s="416" t="str">
        <f>R545</f>
        <v>DELETE</v>
      </c>
    </row>
    <row r="548" spans="2:18" ht="31.5" customHeight="1" x14ac:dyDescent="0.45">
      <c r="B548" s="461"/>
      <c r="C548" s="369"/>
      <c r="M548" s="441"/>
      <c r="N548" s="400"/>
      <c r="O548" s="441"/>
      <c r="P548" s="478"/>
      <c r="Q548" s="389"/>
      <c r="R548" s="416" t="str">
        <f>R$545</f>
        <v>DELETE</v>
      </c>
    </row>
    <row r="549" spans="2:18" ht="31.5" customHeight="1" x14ac:dyDescent="0.45">
      <c r="B549" s="461"/>
      <c r="C549" s="369"/>
      <c r="M549" s="441"/>
      <c r="N549" s="400"/>
      <c r="O549" s="441"/>
      <c r="P549" s="478"/>
      <c r="Q549" s="389"/>
      <c r="R549" s="416" t="str">
        <f>R$545</f>
        <v>DELETE</v>
      </c>
    </row>
    <row r="550" spans="2:18" ht="31.5" customHeight="1" x14ac:dyDescent="0.45">
      <c r="B550" s="462"/>
      <c r="C550" s="407"/>
      <c r="D550" s="383"/>
      <c r="E550" s="383"/>
      <c r="F550" s="383"/>
      <c r="G550" s="383"/>
      <c r="H550" s="383"/>
      <c r="I550" s="383"/>
      <c r="J550" s="383"/>
      <c r="K550" s="383"/>
      <c r="L550" s="383"/>
      <c r="M550" s="438"/>
      <c r="N550" s="392"/>
      <c r="O550" s="438"/>
      <c r="P550" s="475"/>
      <c r="Q550" s="398"/>
      <c r="R550" s="416" t="str">
        <f>R$545</f>
        <v>DELETE</v>
      </c>
    </row>
    <row r="551" spans="2:18" ht="31.5" customHeight="1" x14ac:dyDescent="0.45">
      <c r="B551" s="445"/>
      <c r="C551" s="369"/>
      <c r="M551" s="434"/>
      <c r="N551" s="390"/>
      <c r="O551" s="434"/>
      <c r="R551" s="416" t="str">
        <f>R$545</f>
        <v>DELETE</v>
      </c>
    </row>
    <row r="552" spans="2:18" ht="31.5" customHeight="1" x14ac:dyDescent="0.45">
      <c r="B552" s="445"/>
      <c r="C552" s="369"/>
      <c r="M552" s="434"/>
      <c r="N552" s="390"/>
      <c r="O552" s="434"/>
      <c r="R552" s="416" t="str">
        <f>R$585</f>
        <v>DELETE</v>
      </c>
    </row>
    <row r="553" spans="2:18" ht="31.5" customHeight="1" x14ac:dyDescent="0.45">
      <c r="B553" s="445"/>
      <c r="C553" s="369"/>
      <c r="D553" s="369" t="str">
        <f>Criteria!E9</f>
        <v>ABC TRUST</v>
      </c>
      <c r="M553" s="479"/>
      <c r="N553" s="469"/>
      <c r="O553" s="434" t="s">
        <v>105</v>
      </c>
      <c r="Q553" s="370">
        <f>MAX($Q$114:Q552)+1</f>
        <v>8</v>
      </c>
      <c r="R553" s="416" t="str">
        <f>R$585</f>
        <v>DELETE</v>
      </c>
    </row>
    <row r="554" spans="2:18" ht="31.5" customHeight="1" x14ac:dyDescent="0.45">
      <c r="B554" s="445"/>
      <c r="C554" s="369"/>
      <c r="D554" s="369" t="str">
        <f>Criteria!E10</f>
        <v>T/A RENTAL PROPERTIES, SEAFRONT RESTAURANT AND SURF SHOP</v>
      </c>
      <c r="M554" s="479"/>
      <c r="N554" s="469"/>
      <c r="O554" s="479"/>
      <c r="R554" s="416" t="str">
        <f>IF(R$585="DELETE","DELETE",IF(D554=0,"DELETE"," "))</f>
        <v>DELETE</v>
      </c>
    </row>
    <row r="555" spans="2:18" ht="31.5" customHeight="1" x14ac:dyDescent="0.45">
      <c r="B555" s="445"/>
      <c r="C555" s="369"/>
      <c r="M555" s="479"/>
      <c r="N555" s="469"/>
      <c r="O555" s="479"/>
      <c r="R555" s="416" t="str">
        <f t="shared" ref="R555:R562" si="12">R$585</f>
        <v>DELETE</v>
      </c>
    </row>
    <row r="556" spans="2:18" ht="31.5" customHeight="1" x14ac:dyDescent="0.45">
      <c r="B556" s="445"/>
      <c r="C556" s="369"/>
      <c r="D556" s="369" t="s">
        <v>383</v>
      </c>
      <c r="M556" s="479"/>
      <c r="N556" s="469"/>
      <c r="O556" s="479"/>
      <c r="R556" s="416" t="str">
        <f t="shared" si="12"/>
        <v>DELETE</v>
      </c>
    </row>
    <row r="557" spans="2:18" ht="31.5" customHeight="1" x14ac:dyDescent="0.45">
      <c r="B557" s="445"/>
      <c r="C557" s="369"/>
      <c r="D557" s="369" t="str">
        <f>Criteria!E20</f>
        <v>29 FEBRUARY 2024</v>
      </c>
      <c r="J557" s="368" t="s">
        <v>253</v>
      </c>
      <c r="M557" s="479"/>
      <c r="N557" s="469"/>
      <c r="O557" s="479"/>
      <c r="R557" s="416" t="str">
        <f t="shared" si="12"/>
        <v>DELETE</v>
      </c>
    </row>
    <row r="558" spans="2:18" ht="31.5" customHeight="1" x14ac:dyDescent="0.45">
      <c r="B558" s="445"/>
      <c r="C558" s="369"/>
      <c r="M558" s="434"/>
      <c r="N558" s="390"/>
      <c r="O558" s="434"/>
      <c r="R558" s="416" t="str">
        <f t="shared" si="12"/>
        <v>DELETE</v>
      </c>
    </row>
    <row r="559" spans="2:18" ht="31.5" customHeight="1" x14ac:dyDescent="0.45">
      <c r="B559" s="465"/>
      <c r="C559" s="410"/>
      <c r="D559" s="386"/>
      <c r="E559" s="386"/>
      <c r="F559" s="386"/>
      <c r="G559" s="386"/>
      <c r="H559" s="386"/>
      <c r="I559" s="386"/>
      <c r="J559" s="386"/>
      <c r="K559" s="386"/>
      <c r="L559" s="386"/>
      <c r="M559" s="446"/>
      <c r="N559" s="391"/>
      <c r="O559" s="446"/>
      <c r="P559" s="481"/>
      <c r="Q559" s="387"/>
      <c r="R559" s="416" t="str">
        <f t="shared" si="12"/>
        <v>DELETE</v>
      </c>
    </row>
    <row r="560" spans="2:18" ht="31.5" customHeight="1" x14ac:dyDescent="0.45">
      <c r="B560" s="461"/>
      <c r="C560" s="369"/>
      <c r="M560" s="430">
        <f>Criteria!E22</f>
        <v>2024</v>
      </c>
      <c r="N560" s="379"/>
      <c r="O560" s="430">
        <f>Criteria!E27</f>
        <v>2023</v>
      </c>
      <c r="P560" s="478"/>
      <c r="Q560" s="389"/>
      <c r="R560" s="416" t="str">
        <f t="shared" si="12"/>
        <v>DELETE</v>
      </c>
    </row>
    <row r="561" spans="2:18" ht="31.5" customHeight="1" x14ac:dyDescent="0.45">
      <c r="B561" s="461"/>
      <c r="C561" s="369"/>
      <c r="M561" s="441"/>
      <c r="N561" s="400"/>
      <c r="O561" s="441"/>
      <c r="P561" s="478"/>
      <c r="Q561" s="389"/>
      <c r="R561" s="416" t="str">
        <f t="shared" si="12"/>
        <v>DELETE</v>
      </c>
    </row>
    <row r="562" spans="2:18" ht="31.5" customHeight="1" x14ac:dyDescent="0.45">
      <c r="B562" s="461">
        <f>MAX($B$431:B561)+1</f>
        <v>4</v>
      </c>
      <c r="C562" s="369" t="s">
        <v>1004</v>
      </c>
      <c r="M562" s="441"/>
      <c r="N562" s="400"/>
      <c r="O562" s="441"/>
      <c r="P562" s="478"/>
      <c r="Q562" s="389"/>
      <c r="R562" s="416" t="str">
        <f t="shared" si="12"/>
        <v>DELETE</v>
      </c>
    </row>
    <row r="563" spans="2:18" ht="31.5" customHeight="1" x14ac:dyDescent="0.45">
      <c r="B563" s="461"/>
      <c r="C563" s="369"/>
      <c r="D563" s="368">
        <f>TrialBalance!C167</f>
        <v>0</v>
      </c>
      <c r="M563" s="441">
        <f>TrialBalance!L167</f>
        <v>0</v>
      </c>
      <c r="N563" s="400"/>
      <c r="O563" s="441">
        <f>TrialBalance!N167</f>
        <v>0</v>
      </c>
      <c r="P563" s="478"/>
      <c r="Q563" s="389"/>
      <c r="R563" s="416" t="str">
        <f>IF(M563+O563=0,"DELETE"," ")</f>
        <v>DELETE</v>
      </c>
    </row>
    <row r="564" spans="2:18" ht="31.5" customHeight="1" x14ac:dyDescent="0.45">
      <c r="B564" s="461"/>
      <c r="C564" s="369"/>
      <c r="D564" s="368">
        <f>TrialBalance!C168</f>
        <v>0</v>
      </c>
      <c r="M564" s="441">
        <f>TrialBalance!L168</f>
        <v>0</v>
      </c>
      <c r="N564" s="400"/>
      <c r="O564" s="441">
        <f>TrialBalance!N168</f>
        <v>0</v>
      </c>
      <c r="P564" s="478"/>
      <c r="Q564" s="389"/>
      <c r="R564" s="416" t="str">
        <f t="shared" ref="R564:R582" si="13">IF(M564+O564=0,"DELETE"," ")</f>
        <v>DELETE</v>
      </c>
    </row>
    <row r="565" spans="2:18" ht="31.5" customHeight="1" x14ac:dyDescent="0.45">
      <c r="B565" s="461"/>
      <c r="C565" s="369"/>
      <c r="D565" s="368">
        <f>TrialBalance!C169</f>
        <v>0</v>
      </c>
      <c r="M565" s="441">
        <f>TrialBalance!L169</f>
        <v>0</v>
      </c>
      <c r="N565" s="400"/>
      <c r="O565" s="441">
        <f>TrialBalance!N169</f>
        <v>0</v>
      </c>
      <c r="P565" s="478"/>
      <c r="Q565" s="389"/>
      <c r="R565" s="416" t="str">
        <f t="shared" si="13"/>
        <v>DELETE</v>
      </c>
    </row>
    <row r="566" spans="2:18" ht="31.5" customHeight="1" x14ac:dyDescent="0.45">
      <c r="B566" s="461"/>
      <c r="C566" s="369"/>
      <c r="D566" s="368">
        <f>TrialBalance!C170</f>
        <v>0</v>
      </c>
      <c r="M566" s="441">
        <f>TrialBalance!L170</f>
        <v>0</v>
      </c>
      <c r="N566" s="400"/>
      <c r="O566" s="441">
        <f>TrialBalance!N170</f>
        <v>0</v>
      </c>
      <c r="P566" s="478"/>
      <c r="Q566" s="389"/>
      <c r="R566" s="416" t="str">
        <f t="shared" si="13"/>
        <v>DELETE</v>
      </c>
    </row>
    <row r="567" spans="2:18" ht="31.5" customHeight="1" x14ac:dyDescent="0.45">
      <c r="B567" s="461"/>
      <c r="C567" s="369"/>
      <c r="D567" s="368">
        <f>TrialBalance!C171</f>
        <v>0</v>
      </c>
      <c r="M567" s="441">
        <f>TrialBalance!L171</f>
        <v>0</v>
      </c>
      <c r="N567" s="400"/>
      <c r="O567" s="441">
        <f>TrialBalance!N171</f>
        <v>0</v>
      </c>
      <c r="P567" s="478"/>
      <c r="Q567" s="389"/>
      <c r="R567" s="416" t="str">
        <f t="shared" si="13"/>
        <v>DELETE</v>
      </c>
    </row>
    <row r="568" spans="2:18" ht="31.5" customHeight="1" x14ac:dyDescent="0.45">
      <c r="B568" s="461"/>
      <c r="C568" s="369"/>
      <c r="D568" s="368">
        <f>TrialBalanceA!C167</f>
        <v>0</v>
      </c>
      <c r="M568" s="441">
        <f>TrialBalanceA!I167</f>
        <v>0</v>
      </c>
      <c r="N568" s="400"/>
      <c r="O568" s="441">
        <f>TrialBalanceA!K167</f>
        <v>0</v>
      </c>
      <c r="P568" s="478"/>
      <c r="Q568" s="389"/>
      <c r="R568" s="416" t="str">
        <f t="shared" si="13"/>
        <v>DELETE</v>
      </c>
    </row>
    <row r="569" spans="2:18" ht="31.5" customHeight="1" x14ac:dyDescent="0.45">
      <c r="B569" s="461"/>
      <c r="C569" s="369"/>
      <c r="D569" s="368">
        <f>TrialBalanceA!C168</f>
        <v>0</v>
      </c>
      <c r="M569" s="441">
        <f>TrialBalanceA!I168</f>
        <v>0</v>
      </c>
      <c r="N569" s="400"/>
      <c r="O569" s="441">
        <f>TrialBalanceA!K168</f>
        <v>0</v>
      </c>
      <c r="P569" s="478"/>
      <c r="Q569" s="389"/>
      <c r="R569" s="416" t="str">
        <f t="shared" si="13"/>
        <v>DELETE</v>
      </c>
    </row>
    <row r="570" spans="2:18" ht="31.5" customHeight="1" x14ac:dyDescent="0.45">
      <c r="B570" s="461"/>
      <c r="C570" s="369"/>
      <c r="D570" s="368">
        <f>TrialBalanceA!C169</f>
        <v>0</v>
      </c>
      <c r="M570" s="441">
        <f>TrialBalanceA!I169</f>
        <v>0</v>
      </c>
      <c r="N570" s="400"/>
      <c r="O570" s="441">
        <f>TrialBalanceA!K169</f>
        <v>0</v>
      </c>
      <c r="P570" s="478"/>
      <c r="Q570" s="389"/>
      <c r="R570" s="416" t="str">
        <f t="shared" si="13"/>
        <v>DELETE</v>
      </c>
    </row>
    <row r="571" spans="2:18" ht="31.5" customHeight="1" x14ac:dyDescent="0.45">
      <c r="B571" s="461"/>
      <c r="C571" s="369"/>
      <c r="D571" s="368">
        <f>TrialBalanceA!C170</f>
        <v>0</v>
      </c>
      <c r="M571" s="441">
        <f>TrialBalanceA!I170</f>
        <v>0</v>
      </c>
      <c r="N571" s="400"/>
      <c r="O571" s="441">
        <f>TrialBalanceA!K170</f>
        <v>0</v>
      </c>
      <c r="P571" s="478"/>
      <c r="Q571" s="389"/>
      <c r="R571" s="416" t="str">
        <f t="shared" si="13"/>
        <v>DELETE</v>
      </c>
    </row>
    <row r="572" spans="2:18" ht="31.5" customHeight="1" x14ac:dyDescent="0.45">
      <c r="B572" s="461"/>
      <c r="C572" s="369"/>
      <c r="D572" s="368">
        <f>TrialBalanceA!C171</f>
        <v>0</v>
      </c>
      <c r="M572" s="441">
        <f>TrialBalanceA!I171</f>
        <v>0</v>
      </c>
      <c r="N572" s="400"/>
      <c r="O572" s="441">
        <f>TrialBalanceA!K171</f>
        <v>0</v>
      </c>
      <c r="P572" s="478"/>
      <c r="Q572" s="389"/>
      <c r="R572" s="416" t="str">
        <f t="shared" si="13"/>
        <v>DELETE</v>
      </c>
    </row>
    <row r="573" spans="2:18" ht="31.5" customHeight="1" x14ac:dyDescent="0.45">
      <c r="B573" s="461"/>
      <c r="C573" s="369"/>
      <c r="D573" s="368">
        <f>TrialBalanceB!C167</f>
        <v>0</v>
      </c>
      <c r="M573" s="441">
        <f>TrialBalanceB!I167</f>
        <v>0</v>
      </c>
      <c r="N573" s="400"/>
      <c r="O573" s="441">
        <f>TrialBalanceB!K167</f>
        <v>0</v>
      </c>
      <c r="P573" s="478"/>
      <c r="Q573" s="389"/>
      <c r="R573" s="416" t="str">
        <f t="shared" si="13"/>
        <v>DELETE</v>
      </c>
    </row>
    <row r="574" spans="2:18" ht="31.5" customHeight="1" x14ac:dyDescent="0.45">
      <c r="B574" s="461"/>
      <c r="C574" s="369"/>
      <c r="D574" s="368">
        <f>TrialBalanceB!C168</f>
        <v>0</v>
      </c>
      <c r="M574" s="441">
        <f>TrialBalanceB!I168</f>
        <v>0</v>
      </c>
      <c r="N574" s="400"/>
      <c r="O574" s="441">
        <f>TrialBalanceB!K168</f>
        <v>0</v>
      </c>
      <c r="P574" s="478"/>
      <c r="Q574" s="389"/>
      <c r="R574" s="416" t="str">
        <f t="shared" si="13"/>
        <v>DELETE</v>
      </c>
    </row>
    <row r="575" spans="2:18" ht="31.5" customHeight="1" x14ac:dyDescent="0.45">
      <c r="B575" s="461"/>
      <c r="C575" s="369"/>
      <c r="D575" s="368">
        <f>TrialBalanceB!C169</f>
        <v>0</v>
      </c>
      <c r="M575" s="441">
        <f>TrialBalanceB!I169</f>
        <v>0</v>
      </c>
      <c r="N575" s="400"/>
      <c r="O575" s="441">
        <f>TrialBalanceB!K169</f>
        <v>0</v>
      </c>
      <c r="P575" s="478"/>
      <c r="Q575" s="389"/>
      <c r="R575" s="416" t="str">
        <f t="shared" si="13"/>
        <v>DELETE</v>
      </c>
    </row>
    <row r="576" spans="2:18" ht="31.5" customHeight="1" x14ac:dyDescent="0.45">
      <c r="B576" s="461"/>
      <c r="C576" s="369"/>
      <c r="D576" s="368">
        <f>TrialBalanceB!C170</f>
        <v>0</v>
      </c>
      <c r="M576" s="441">
        <f>TrialBalanceB!I170</f>
        <v>0</v>
      </c>
      <c r="N576" s="400"/>
      <c r="O576" s="441">
        <f>TrialBalanceB!K170</f>
        <v>0</v>
      </c>
      <c r="P576" s="478"/>
      <c r="Q576" s="389"/>
      <c r="R576" s="416" t="str">
        <f t="shared" si="13"/>
        <v>DELETE</v>
      </c>
    </row>
    <row r="577" spans="2:18" ht="31.5" customHeight="1" x14ac:dyDescent="0.45">
      <c r="B577" s="461"/>
      <c r="C577" s="369"/>
      <c r="D577" s="368">
        <f>TrialBalanceB!C171</f>
        <v>0</v>
      </c>
      <c r="M577" s="441">
        <f>TrialBalanceB!I171</f>
        <v>0</v>
      </c>
      <c r="N577" s="400"/>
      <c r="O577" s="441">
        <f>TrialBalanceB!K171</f>
        <v>0</v>
      </c>
      <c r="P577" s="478"/>
      <c r="Q577" s="389"/>
      <c r="R577" s="416" t="str">
        <f t="shared" si="13"/>
        <v>DELETE</v>
      </c>
    </row>
    <row r="578" spans="2:18" ht="31.5" customHeight="1" x14ac:dyDescent="0.45">
      <c r="B578" s="461"/>
      <c r="C578" s="369"/>
      <c r="D578" s="368">
        <f>TrialBalanceC!C167</f>
        <v>0</v>
      </c>
      <c r="M578" s="441">
        <f>TrialBalanceC!I167</f>
        <v>0</v>
      </c>
      <c r="N578" s="400"/>
      <c r="O578" s="441">
        <f>TrialBalanceC!K167</f>
        <v>0</v>
      </c>
      <c r="P578" s="478"/>
      <c r="Q578" s="389"/>
      <c r="R578" s="416" t="str">
        <f t="shared" si="13"/>
        <v>DELETE</v>
      </c>
    </row>
    <row r="579" spans="2:18" ht="31.5" customHeight="1" x14ac:dyDescent="0.45">
      <c r="B579" s="461"/>
      <c r="C579" s="369"/>
      <c r="D579" s="368">
        <f>TrialBalanceC!C168</f>
        <v>0</v>
      </c>
      <c r="M579" s="441">
        <f>TrialBalanceC!I168</f>
        <v>0</v>
      </c>
      <c r="N579" s="400"/>
      <c r="O579" s="441">
        <f>TrialBalanceC!K168</f>
        <v>0</v>
      </c>
      <c r="P579" s="478"/>
      <c r="Q579" s="389"/>
      <c r="R579" s="416" t="str">
        <f t="shared" si="13"/>
        <v>DELETE</v>
      </c>
    </row>
    <row r="580" spans="2:18" ht="31.5" customHeight="1" x14ac:dyDescent="0.45">
      <c r="B580" s="461"/>
      <c r="C580" s="369"/>
      <c r="D580" s="368">
        <f>TrialBalanceC!C169</f>
        <v>0</v>
      </c>
      <c r="M580" s="441">
        <f>TrialBalanceC!I169</f>
        <v>0</v>
      </c>
      <c r="N580" s="400"/>
      <c r="O580" s="441">
        <f>TrialBalanceC!K169</f>
        <v>0</v>
      </c>
      <c r="P580" s="478"/>
      <c r="Q580" s="389"/>
      <c r="R580" s="416" t="str">
        <f t="shared" si="13"/>
        <v>DELETE</v>
      </c>
    </row>
    <row r="581" spans="2:18" ht="31.5" customHeight="1" x14ac:dyDescent="0.45">
      <c r="B581" s="461"/>
      <c r="C581" s="369"/>
      <c r="D581" s="368">
        <f>TrialBalanceC!C170</f>
        <v>0</v>
      </c>
      <c r="M581" s="441">
        <f>TrialBalanceC!I170</f>
        <v>0</v>
      </c>
      <c r="N581" s="400"/>
      <c r="O581" s="441">
        <f>TrialBalanceC!K170</f>
        <v>0</v>
      </c>
      <c r="P581" s="478"/>
      <c r="Q581" s="389"/>
      <c r="R581" s="416" t="str">
        <f t="shared" si="13"/>
        <v>DELETE</v>
      </c>
    </row>
    <row r="582" spans="2:18" ht="31.5" customHeight="1" x14ac:dyDescent="0.45">
      <c r="B582" s="461"/>
      <c r="C582" s="369"/>
      <c r="D582" s="368">
        <f>TrialBalanceC!C171</f>
        <v>0</v>
      </c>
      <c r="M582" s="441">
        <f>TrialBalanceC!I171</f>
        <v>0</v>
      </c>
      <c r="N582" s="400"/>
      <c r="O582" s="441">
        <f>TrialBalanceC!K171</f>
        <v>0</v>
      </c>
      <c r="P582" s="478"/>
      <c r="Q582" s="389"/>
      <c r="R582" s="416" t="str">
        <f t="shared" si="13"/>
        <v>DELETE</v>
      </c>
    </row>
    <row r="583" spans="2:18" ht="9" customHeight="1" x14ac:dyDescent="0.45">
      <c r="B583" s="461"/>
      <c r="C583" s="369"/>
      <c r="M583" s="438"/>
      <c r="N583" s="392"/>
      <c r="O583" s="438"/>
      <c r="P583" s="478"/>
      <c r="Q583" s="389"/>
      <c r="R583" s="416" t="str">
        <f>R585</f>
        <v>DELETE</v>
      </c>
    </row>
    <row r="584" spans="2:18" ht="9" customHeight="1" x14ac:dyDescent="0.45">
      <c r="B584" s="461"/>
      <c r="C584" s="369"/>
      <c r="M584" s="441"/>
      <c r="N584" s="400"/>
      <c r="O584" s="441"/>
      <c r="P584" s="478"/>
      <c r="Q584" s="389"/>
      <c r="R584" s="416" t="str">
        <f>R585</f>
        <v>DELETE</v>
      </c>
    </row>
    <row r="585" spans="2:18" ht="31.5" customHeight="1" x14ac:dyDescent="0.45">
      <c r="B585" s="461"/>
      <c r="C585" s="369"/>
      <c r="M585" s="441">
        <f>SUM(M563:M583)</f>
        <v>0</v>
      </c>
      <c r="N585" s="400"/>
      <c r="O585" s="441">
        <f>SUM(O563:O583)</f>
        <v>0</v>
      </c>
      <c r="P585" s="478"/>
      <c r="Q585" s="389"/>
      <c r="R585" s="416" t="str">
        <f t="shared" ref="R585" si="14">IF(M585+O585=0,"DELETE"," ")</f>
        <v>DELETE</v>
      </c>
    </row>
    <row r="586" spans="2:18" ht="9" customHeight="1" thickBot="1" x14ac:dyDescent="0.5">
      <c r="B586" s="461"/>
      <c r="C586" s="369"/>
      <c r="M586" s="439"/>
      <c r="N586" s="393"/>
      <c r="O586" s="439"/>
      <c r="P586" s="478"/>
      <c r="Q586" s="389"/>
      <c r="R586" s="416" t="str">
        <f>R585</f>
        <v>DELETE</v>
      </c>
    </row>
    <row r="587" spans="2:18" ht="9" customHeight="1" thickTop="1" x14ac:dyDescent="0.45">
      <c r="B587" s="461"/>
      <c r="C587" s="369"/>
      <c r="M587" s="441"/>
      <c r="N587" s="400"/>
      <c r="O587" s="441"/>
      <c r="P587" s="478"/>
      <c r="Q587" s="389"/>
      <c r="R587" s="416" t="str">
        <f>R585</f>
        <v>DELETE</v>
      </c>
    </row>
    <row r="588" spans="2:18" ht="31.5" customHeight="1" x14ac:dyDescent="0.45">
      <c r="B588" s="461"/>
      <c r="C588" s="369"/>
      <c r="M588" s="441"/>
      <c r="N588" s="400"/>
      <c r="O588" s="441"/>
      <c r="P588" s="478"/>
      <c r="Q588" s="389"/>
      <c r="R588" s="416" t="str">
        <f>R$585</f>
        <v>DELETE</v>
      </c>
    </row>
    <row r="589" spans="2:18" ht="31.5" customHeight="1" x14ac:dyDescent="0.45">
      <c r="B589" s="461"/>
      <c r="C589" s="369"/>
      <c r="M589" s="441"/>
      <c r="N589" s="400"/>
      <c r="O589" s="441"/>
      <c r="P589" s="478"/>
      <c r="Q589" s="389"/>
      <c r="R589" s="416" t="str">
        <f>R$585</f>
        <v>DELETE</v>
      </c>
    </row>
    <row r="590" spans="2:18" ht="31.5" customHeight="1" x14ac:dyDescent="0.45">
      <c r="B590" s="462"/>
      <c r="C590" s="407"/>
      <c r="D590" s="383"/>
      <c r="E590" s="383"/>
      <c r="F590" s="383"/>
      <c r="G590" s="383"/>
      <c r="H590" s="383"/>
      <c r="I590" s="383"/>
      <c r="J590" s="383"/>
      <c r="K590" s="383"/>
      <c r="L590" s="383"/>
      <c r="M590" s="438"/>
      <c r="N590" s="392"/>
      <c r="O590" s="438"/>
      <c r="P590" s="475"/>
      <c r="Q590" s="398"/>
      <c r="R590" s="416" t="str">
        <f>R$585</f>
        <v>DELETE</v>
      </c>
    </row>
    <row r="591" spans="2:18" ht="31.5" customHeight="1" x14ac:dyDescent="0.45">
      <c r="B591" s="445"/>
      <c r="C591" s="369"/>
      <c r="M591" s="434"/>
      <c r="N591" s="390"/>
      <c r="O591" s="434"/>
      <c r="R591" s="416" t="str">
        <f>R$585</f>
        <v>DELETE</v>
      </c>
    </row>
    <row r="592" spans="2:18" ht="31.5" customHeight="1" x14ac:dyDescent="0.45">
      <c r="B592" s="431"/>
      <c r="M592" s="479"/>
      <c r="N592" s="469"/>
      <c r="O592" s="479"/>
      <c r="R592" s="416" t="str">
        <f>R$668</f>
        <v>DELETE</v>
      </c>
    </row>
    <row r="593" spans="2:24" ht="31.5" customHeight="1" x14ac:dyDescent="0.45">
      <c r="B593" s="431"/>
      <c r="D593" s="369" t="str">
        <f>Criteria!E9</f>
        <v>ABC TRUST</v>
      </c>
      <c r="M593" s="479"/>
      <c r="N593" s="469"/>
      <c r="O593" s="434" t="s">
        <v>105</v>
      </c>
      <c r="Q593" s="370">
        <f>MAX($Q$114:Q592)+1</f>
        <v>9</v>
      </c>
      <c r="R593" s="416" t="str">
        <f>R$668</f>
        <v>DELETE</v>
      </c>
    </row>
    <row r="594" spans="2:24" ht="31.5" customHeight="1" x14ac:dyDescent="0.45">
      <c r="B594" s="431"/>
      <c r="D594" s="369" t="str">
        <f>Criteria!E10</f>
        <v>T/A RENTAL PROPERTIES, SEAFRONT RESTAURANT AND SURF SHOP</v>
      </c>
      <c r="M594" s="479"/>
      <c r="N594" s="469"/>
      <c r="O594" s="479"/>
      <c r="R594" s="416" t="str">
        <f>IF(R$668="DELETE","DELETE",IF(D594=0,"DELETE"," "))</f>
        <v>DELETE</v>
      </c>
    </row>
    <row r="595" spans="2:24" ht="31.5" customHeight="1" x14ac:dyDescent="0.45">
      <c r="B595" s="431"/>
      <c r="M595" s="479"/>
      <c r="N595" s="469"/>
      <c r="O595" s="479"/>
      <c r="R595" s="416" t="str">
        <f t="shared" ref="R595:R602" si="15">R$668</f>
        <v>DELETE</v>
      </c>
    </row>
    <row r="596" spans="2:24" ht="31.5" customHeight="1" x14ac:dyDescent="0.45">
      <c r="B596" s="431"/>
      <c r="D596" s="369" t="s">
        <v>383</v>
      </c>
      <c r="M596" s="479"/>
      <c r="N596" s="469"/>
      <c r="O596" s="479"/>
      <c r="R596" s="416" t="str">
        <f t="shared" si="15"/>
        <v>DELETE</v>
      </c>
    </row>
    <row r="597" spans="2:24" ht="31.5" customHeight="1" x14ac:dyDescent="0.45">
      <c r="B597" s="431"/>
      <c r="D597" s="369" t="str">
        <f>Criteria!E20</f>
        <v>29 FEBRUARY 2024</v>
      </c>
      <c r="J597" s="368" t="s">
        <v>253</v>
      </c>
      <c r="M597" s="479"/>
      <c r="N597" s="469"/>
      <c r="O597" s="479"/>
      <c r="R597" s="416" t="str">
        <f t="shared" si="15"/>
        <v>DELETE</v>
      </c>
    </row>
    <row r="598" spans="2:24" ht="31.5" customHeight="1" x14ac:dyDescent="0.45">
      <c r="B598" s="431"/>
      <c r="M598" s="482"/>
      <c r="N598" s="483"/>
      <c r="O598" s="482"/>
      <c r="R598" s="416" t="str">
        <f t="shared" si="15"/>
        <v>DELETE</v>
      </c>
    </row>
    <row r="599" spans="2:24" ht="31.5" customHeight="1" x14ac:dyDescent="0.45">
      <c r="B599" s="463"/>
      <c r="C599" s="386"/>
      <c r="D599" s="386"/>
      <c r="E599" s="386"/>
      <c r="F599" s="386"/>
      <c r="G599" s="386"/>
      <c r="H599" s="386"/>
      <c r="I599" s="386"/>
      <c r="J599" s="386"/>
      <c r="K599" s="386"/>
      <c r="L599" s="386"/>
      <c r="M599" s="484"/>
      <c r="N599" s="485"/>
      <c r="O599" s="484"/>
      <c r="P599" s="481"/>
      <c r="Q599" s="387"/>
      <c r="R599" s="416" t="str">
        <f t="shared" si="15"/>
        <v>DELETE</v>
      </c>
    </row>
    <row r="600" spans="2:24" ht="31.5" customHeight="1" x14ac:dyDescent="0.45">
      <c r="B600" s="464"/>
      <c r="M600" s="430">
        <f>Criteria!E22</f>
        <v>2024</v>
      </c>
      <c r="N600" s="379"/>
      <c r="O600" s="430">
        <f>Criteria!E27</f>
        <v>2023</v>
      </c>
      <c r="Q600" s="389"/>
      <c r="R600" s="416" t="str">
        <f t="shared" si="15"/>
        <v>DELETE</v>
      </c>
    </row>
    <row r="601" spans="2:24" ht="31.5" customHeight="1" x14ac:dyDescent="0.45">
      <c r="B601" s="461"/>
      <c r="C601" s="369"/>
      <c r="M601" s="434"/>
      <c r="N601" s="390"/>
      <c r="O601" s="434"/>
      <c r="Q601" s="389"/>
      <c r="R601" s="416" t="str">
        <f t="shared" si="15"/>
        <v>DELETE</v>
      </c>
    </row>
    <row r="602" spans="2:24" ht="31.5" customHeight="1" x14ac:dyDescent="0.45">
      <c r="B602" s="461">
        <f>MAX($B$431:B601)+1</f>
        <v>5</v>
      </c>
      <c r="C602" s="369" t="s">
        <v>123</v>
      </c>
      <c r="M602" s="434"/>
      <c r="N602" s="390"/>
      <c r="O602" s="434"/>
      <c r="Q602" s="389"/>
      <c r="R602" s="416" t="str">
        <f t="shared" si="15"/>
        <v>DELETE</v>
      </c>
    </row>
    <row r="603" spans="2:24" ht="31.5" customHeight="1" x14ac:dyDescent="0.45">
      <c r="B603" s="461"/>
      <c r="C603" s="369"/>
      <c r="D603" s="368" t="str">
        <f>Criteria!H13</f>
        <v>Rental Properties</v>
      </c>
      <c r="M603" s="434">
        <f>SUM(M605:M617)</f>
        <v>0</v>
      </c>
      <c r="N603" s="390"/>
      <c r="O603" s="434">
        <f>SUM(O605:O617)</f>
        <v>0</v>
      </c>
      <c r="Q603" s="389"/>
      <c r="R603" s="416" t="str">
        <f>IF(M603+O603=0,"DELETE"," ")</f>
        <v>DELETE</v>
      </c>
      <c r="S603" s="421">
        <f>M603</f>
        <v>0</v>
      </c>
      <c r="U603" s="421">
        <f>O603</f>
        <v>0</v>
      </c>
      <c r="V603" s="417" t="b">
        <f>M603=M1660</f>
        <v>1</v>
      </c>
      <c r="X603" s="417" t="b">
        <f>O603=O1660</f>
        <v>1</v>
      </c>
    </row>
    <row r="604" spans="2:24" ht="9" customHeight="1" x14ac:dyDescent="0.45">
      <c r="B604" s="461"/>
      <c r="C604" s="369"/>
      <c r="M604" s="434"/>
      <c r="N604" s="390"/>
      <c r="O604" s="434"/>
      <c r="Q604" s="389"/>
      <c r="R604" s="416" t="str">
        <f>R603</f>
        <v>DELETE</v>
      </c>
    </row>
    <row r="605" spans="2:24" ht="9" customHeight="1" x14ac:dyDescent="0.45">
      <c r="B605" s="461"/>
      <c r="C605" s="369"/>
      <c r="M605" s="435"/>
      <c r="N605" s="391"/>
      <c r="O605" s="450"/>
      <c r="Q605" s="389"/>
      <c r="R605" s="416" t="str">
        <f>R603</f>
        <v>DELETE</v>
      </c>
    </row>
    <row r="606" spans="2:24" ht="31.5" customHeight="1" x14ac:dyDescent="0.45">
      <c r="B606" s="461"/>
      <c r="C606" s="369"/>
      <c r="D606" s="368">
        <f>TrialBalance!C129</f>
        <v>0</v>
      </c>
      <c r="M606" s="436">
        <f>TrialBalance!L129</f>
        <v>0</v>
      </c>
      <c r="N606" s="400"/>
      <c r="O606" s="451">
        <f>TrialBalance!N129</f>
        <v>0</v>
      </c>
      <c r="Q606" s="389"/>
      <c r="R606" s="416" t="str">
        <f t="shared" ref="R606:R616" si="16">IF(M606+O606=0,"DELETE"," ")</f>
        <v>DELETE</v>
      </c>
    </row>
    <row r="607" spans="2:24" ht="31.5" customHeight="1" x14ac:dyDescent="0.45">
      <c r="B607" s="461"/>
      <c r="C607" s="369"/>
      <c r="D607" s="368">
        <f>TrialBalance!C130</f>
        <v>0</v>
      </c>
      <c r="M607" s="436">
        <f>TrialBalance!L130</f>
        <v>0</v>
      </c>
      <c r="N607" s="400"/>
      <c r="O607" s="451">
        <f>TrialBalance!N130</f>
        <v>0</v>
      </c>
      <c r="Q607" s="389"/>
      <c r="R607" s="416" t="str">
        <f t="shared" si="16"/>
        <v>DELETE</v>
      </c>
    </row>
    <row r="608" spans="2:24" ht="31.5" customHeight="1" x14ac:dyDescent="0.45">
      <c r="B608" s="461"/>
      <c r="C608" s="369"/>
      <c r="D608" s="368">
        <f>TrialBalance!C131</f>
        <v>0</v>
      </c>
      <c r="M608" s="436">
        <f>TrialBalance!L131</f>
        <v>0</v>
      </c>
      <c r="N608" s="400"/>
      <c r="O608" s="451">
        <f>TrialBalance!N131</f>
        <v>0</v>
      </c>
      <c r="Q608" s="389"/>
      <c r="R608" s="416" t="str">
        <f t="shared" si="16"/>
        <v>DELETE</v>
      </c>
    </row>
    <row r="609" spans="2:24" ht="31.5" customHeight="1" x14ac:dyDescent="0.45">
      <c r="B609" s="461"/>
      <c r="C609" s="369"/>
      <c r="D609" s="368">
        <f>TrialBalance!C132</f>
        <v>0</v>
      </c>
      <c r="M609" s="436">
        <f>TrialBalance!L132</f>
        <v>0</v>
      </c>
      <c r="N609" s="400"/>
      <c r="O609" s="451">
        <f>TrialBalance!N132</f>
        <v>0</v>
      </c>
      <c r="Q609" s="389"/>
      <c r="R609" s="416" t="str">
        <f t="shared" si="16"/>
        <v>DELETE</v>
      </c>
    </row>
    <row r="610" spans="2:24" ht="31.5" customHeight="1" x14ac:dyDescent="0.45">
      <c r="B610" s="461"/>
      <c r="C610" s="369"/>
      <c r="D610" s="368">
        <f>TrialBalance!C133</f>
        <v>0</v>
      </c>
      <c r="M610" s="436">
        <f>TrialBalance!L133</f>
        <v>0</v>
      </c>
      <c r="N610" s="400"/>
      <c r="O610" s="451">
        <f>TrialBalance!N133</f>
        <v>0</v>
      </c>
      <c r="Q610" s="389"/>
      <c r="R610" s="416" t="str">
        <f t="shared" si="16"/>
        <v>DELETE</v>
      </c>
    </row>
    <row r="611" spans="2:24" ht="31.5" customHeight="1" x14ac:dyDescent="0.45">
      <c r="B611" s="461"/>
      <c r="C611" s="369"/>
      <c r="D611" s="368">
        <f>TrialBalance!C134</f>
        <v>0</v>
      </c>
      <c r="M611" s="436">
        <f>TrialBalance!L134</f>
        <v>0</v>
      </c>
      <c r="N611" s="400"/>
      <c r="O611" s="451">
        <f>TrialBalance!N134</f>
        <v>0</v>
      </c>
      <c r="Q611" s="389"/>
      <c r="R611" s="416" t="str">
        <f t="shared" si="16"/>
        <v>DELETE</v>
      </c>
    </row>
    <row r="612" spans="2:24" ht="31.5" customHeight="1" x14ac:dyDescent="0.45">
      <c r="B612" s="461"/>
      <c r="C612" s="369"/>
      <c r="D612" s="368">
        <f>TrialBalance!C135</f>
        <v>0</v>
      </c>
      <c r="M612" s="436">
        <f>TrialBalance!L135</f>
        <v>0</v>
      </c>
      <c r="N612" s="400"/>
      <c r="O612" s="451">
        <f>TrialBalance!N135</f>
        <v>0</v>
      </c>
      <c r="Q612" s="389"/>
      <c r="R612" s="416" t="str">
        <f t="shared" si="16"/>
        <v>DELETE</v>
      </c>
    </row>
    <row r="613" spans="2:24" ht="31.5" customHeight="1" x14ac:dyDescent="0.45">
      <c r="B613" s="461"/>
      <c r="C613" s="369"/>
      <c r="D613" s="368">
        <f>TrialBalance!C136</f>
        <v>0</v>
      </c>
      <c r="M613" s="436">
        <f>TrialBalance!L136</f>
        <v>0</v>
      </c>
      <c r="N613" s="400"/>
      <c r="O613" s="451">
        <f>TrialBalance!N136</f>
        <v>0</v>
      </c>
      <c r="Q613" s="389"/>
      <c r="R613" s="416" t="str">
        <f t="shared" si="16"/>
        <v>DELETE</v>
      </c>
    </row>
    <row r="614" spans="2:24" ht="31.5" customHeight="1" x14ac:dyDescent="0.45">
      <c r="B614" s="461"/>
      <c r="C614" s="369"/>
      <c r="D614" s="368">
        <f>TrialBalance!C137</f>
        <v>0</v>
      </c>
      <c r="M614" s="436">
        <f>TrialBalance!L137</f>
        <v>0</v>
      </c>
      <c r="N614" s="400"/>
      <c r="O614" s="451">
        <f>TrialBalance!N137</f>
        <v>0</v>
      </c>
      <c r="Q614" s="389"/>
      <c r="R614" s="416" t="str">
        <f t="shared" si="16"/>
        <v>DELETE</v>
      </c>
    </row>
    <row r="615" spans="2:24" ht="31.5" customHeight="1" x14ac:dyDescent="0.45">
      <c r="B615" s="461"/>
      <c r="C615" s="369"/>
      <c r="D615" s="368">
        <f>TrialBalance!C138</f>
        <v>0</v>
      </c>
      <c r="M615" s="436">
        <f>TrialBalance!L138</f>
        <v>0</v>
      </c>
      <c r="N615" s="400"/>
      <c r="O615" s="451">
        <f>TrialBalance!N138</f>
        <v>0</v>
      </c>
      <c r="Q615" s="389"/>
      <c r="R615" s="416" t="str">
        <f t="shared" si="16"/>
        <v>DELETE</v>
      </c>
    </row>
    <row r="616" spans="2:24" ht="31.5" customHeight="1" x14ac:dyDescent="0.45">
      <c r="B616" s="461"/>
      <c r="C616" s="369"/>
      <c r="D616" s="368" t="str">
        <f>TrialBalance!C139</f>
        <v>Interest on finance leases - Rental Properties</v>
      </c>
      <c r="M616" s="436">
        <f>TrialBalance!L139</f>
        <v>0</v>
      </c>
      <c r="N616" s="400"/>
      <c r="O616" s="451">
        <f>TrialBalance!N139</f>
        <v>0</v>
      </c>
      <c r="Q616" s="389"/>
      <c r="R616" s="416" t="str">
        <f t="shared" si="16"/>
        <v>DELETE</v>
      </c>
    </row>
    <row r="617" spans="2:24" ht="9" customHeight="1" x14ac:dyDescent="0.45">
      <c r="B617" s="461"/>
      <c r="C617" s="369"/>
      <c r="M617" s="437"/>
      <c r="N617" s="392"/>
      <c r="O617" s="452"/>
      <c r="Q617" s="389"/>
      <c r="R617" s="416" t="str">
        <f>R603</f>
        <v>DELETE</v>
      </c>
    </row>
    <row r="618" spans="2:24" ht="9" customHeight="1" x14ac:dyDescent="0.45">
      <c r="B618" s="461"/>
      <c r="C618" s="369"/>
      <c r="M618" s="434"/>
      <c r="N618" s="390"/>
      <c r="O618" s="434"/>
      <c r="Q618" s="389"/>
      <c r="R618" s="416" t="str">
        <f>R603</f>
        <v>DELETE</v>
      </c>
    </row>
    <row r="619" spans="2:24" ht="31.5" customHeight="1" x14ac:dyDescent="0.45">
      <c r="B619" s="461"/>
      <c r="C619" s="369"/>
      <c r="D619" s="368" t="str">
        <f>Criteria!H14</f>
        <v>Seafront Restaurant</v>
      </c>
      <c r="M619" s="434">
        <f>SUM(M621:M633)</f>
        <v>0</v>
      </c>
      <c r="N619" s="390"/>
      <c r="O619" s="434">
        <f>SUM(O621:O633)</f>
        <v>0</v>
      </c>
      <c r="Q619" s="389"/>
      <c r="R619" s="416" t="str">
        <f>IF(M619+O619=0,"DELETE"," ")</f>
        <v>DELETE</v>
      </c>
      <c r="S619" s="421">
        <f>M619</f>
        <v>0</v>
      </c>
      <c r="U619" s="421">
        <f>O619</f>
        <v>0</v>
      </c>
      <c r="V619" s="417" t="b">
        <f>M619=M1960</f>
        <v>1</v>
      </c>
      <c r="X619" s="417" t="b">
        <f>O619=O1960</f>
        <v>1</v>
      </c>
    </row>
    <row r="620" spans="2:24" ht="9" customHeight="1" x14ac:dyDescent="0.45">
      <c r="B620" s="461"/>
      <c r="C620" s="369"/>
      <c r="M620" s="434"/>
      <c r="N620" s="390"/>
      <c r="O620" s="434"/>
      <c r="Q620" s="389"/>
      <c r="R620" s="416" t="str">
        <f>R619</f>
        <v>DELETE</v>
      </c>
    </row>
    <row r="621" spans="2:24" ht="9" customHeight="1" x14ac:dyDescent="0.45">
      <c r="B621" s="461"/>
      <c r="C621" s="369"/>
      <c r="M621" s="435"/>
      <c r="N621" s="391"/>
      <c r="O621" s="450"/>
      <c r="Q621" s="389"/>
      <c r="R621" s="416" t="str">
        <f>R619</f>
        <v>DELETE</v>
      </c>
    </row>
    <row r="622" spans="2:24" ht="31.5" customHeight="1" x14ac:dyDescent="0.45">
      <c r="B622" s="461"/>
      <c r="C622" s="369"/>
      <c r="D622" s="368">
        <f>TrialBalanceA!C129</f>
        <v>0</v>
      </c>
      <c r="M622" s="436">
        <f>TrialBalanceA!I129</f>
        <v>0</v>
      </c>
      <c r="N622" s="400"/>
      <c r="O622" s="451">
        <f>TrialBalanceA!K129</f>
        <v>0</v>
      </c>
      <c r="Q622" s="389"/>
      <c r="R622" s="416" t="str">
        <f t="shared" ref="R622:R632" si="17">IF(M622+O622=0,"DELETE"," ")</f>
        <v>DELETE</v>
      </c>
    </row>
    <row r="623" spans="2:24" ht="31.5" customHeight="1" x14ac:dyDescent="0.45">
      <c r="B623" s="461"/>
      <c r="C623" s="369"/>
      <c r="D623" s="368">
        <f>TrialBalanceA!C130</f>
        <v>0</v>
      </c>
      <c r="M623" s="436">
        <f>TrialBalanceA!I130</f>
        <v>0</v>
      </c>
      <c r="N623" s="400"/>
      <c r="O623" s="451">
        <f>TrialBalanceA!K130</f>
        <v>0</v>
      </c>
      <c r="Q623" s="389"/>
      <c r="R623" s="416" t="str">
        <f t="shared" si="17"/>
        <v>DELETE</v>
      </c>
    </row>
    <row r="624" spans="2:24" ht="31.5" customHeight="1" x14ac:dyDescent="0.45">
      <c r="B624" s="461"/>
      <c r="C624" s="369"/>
      <c r="D624" s="368">
        <f>TrialBalanceA!C131</f>
        <v>0</v>
      </c>
      <c r="M624" s="436">
        <f>TrialBalanceA!I131</f>
        <v>0</v>
      </c>
      <c r="N624" s="400"/>
      <c r="O624" s="451">
        <f>TrialBalanceA!K131</f>
        <v>0</v>
      </c>
      <c r="Q624" s="389"/>
      <c r="R624" s="416" t="str">
        <f t="shared" si="17"/>
        <v>DELETE</v>
      </c>
    </row>
    <row r="625" spans="2:24" ht="31.5" customHeight="1" x14ac:dyDescent="0.45">
      <c r="B625" s="461"/>
      <c r="C625" s="369"/>
      <c r="D625" s="368">
        <f>TrialBalanceA!C132</f>
        <v>0</v>
      </c>
      <c r="M625" s="436">
        <f>TrialBalanceA!I132</f>
        <v>0</v>
      </c>
      <c r="N625" s="400"/>
      <c r="O625" s="451">
        <f>TrialBalanceA!K132</f>
        <v>0</v>
      </c>
      <c r="Q625" s="389"/>
      <c r="R625" s="416" t="str">
        <f t="shared" si="17"/>
        <v>DELETE</v>
      </c>
    </row>
    <row r="626" spans="2:24" ht="31.5" customHeight="1" x14ac:dyDescent="0.45">
      <c r="B626" s="461"/>
      <c r="C626" s="369"/>
      <c r="D626" s="368">
        <f>TrialBalanceA!C133</f>
        <v>0</v>
      </c>
      <c r="M626" s="436">
        <f>TrialBalanceA!I133</f>
        <v>0</v>
      </c>
      <c r="N626" s="400"/>
      <c r="O626" s="451">
        <f>TrialBalanceA!K133</f>
        <v>0</v>
      </c>
      <c r="Q626" s="389"/>
      <c r="R626" s="416" t="str">
        <f t="shared" si="17"/>
        <v>DELETE</v>
      </c>
    </row>
    <row r="627" spans="2:24" ht="31.5" customHeight="1" x14ac:dyDescent="0.45">
      <c r="B627" s="461"/>
      <c r="C627" s="369"/>
      <c r="D627" s="368">
        <f>TrialBalanceA!C134</f>
        <v>0</v>
      </c>
      <c r="M627" s="436">
        <f>TrialBalanceA!I134</f>
        <v>0</v>
      </c>
      <c r="N627" s="400"/>
      <c r="O627" s="451">
        <f>TrialBalanceA!K134</f>
        <v>0</v>
      </c>
      <c r="Q627" s="389"/>
      <c r="R627" s="416" t="str">
        <f t="shared" si="17"/>
        <v>DELETE</v>
      </c>
    </row>
    <row r="628" spans="2:24" ht="31.5" customHeight="1" x14ac:dyDescent="0.45">
      <c r="B628" s="461"/>
      <c r="C628" s="369"/>
      <c r="D628" s="368">
        <f>TrialBalanceA!C135</f>
        <v>0</v>
      </c>
      <c r="M628" s="436">
        <f>TrialBalanceA!I135</f>
        <v>0</v>
      </c>
      <c r="N628" s="400"/>
      <c r="O628" s="451">
        <f>TrialBalanceA!K135</f>
        <v>0</v>
      </c>
      <c r="Q628" s="389"/>
      <c r="R628" s="416" t="str">
        <f t="shared" si="17"/>
        <v>DELETE</v>
      </c>
    </row>
    <row r="629" spans="2:24" ht="31.5" customHeight="1" x14ac:dyDescent="0.45">
      <c r="B629" s="461"/>
      <c r="C629" s="369"/>
      <c r="D629" s="368">
        <f>TrialBalanceA!C136</f>
        <v>0</v>
      </c>
      <c r="M629" s="436">
        <f>TrialBalanceA!I136</f>
        <v>0</v>
      </c>
      <c r="N629" s="400"/>
      <c r="O629" s="451">
        <f>TrialBalanceA!K136</f>
        <v>0</v>
      </c>
      <c r="Q629" s="389"/>
      <c r="R629" s="416" t="str">
        <f t="shared" si="17"/>
        <v>DELETE</v>
      </c>
    </row>
    <row r="630" spans="2:24" ht="31.5" customHeight="1" x14ac:dyDescent="0.45">
      <c r="B630" s="461"/>
      <c r="C630" s="369"/>
      <c r="D630" s="368">
        <f>TrialBalanceA!C137</f>
        <v>0</v>
      </c>
      <c r="M630" s="436">
        <f>TrialBalanceA!I137</f>
        <v>0</v>
      </c>
      <c r="N630" s="400"/>
      <c r="O630" s="451">
        <f>TrialBalanceA!K137</f>
        <v>0</v>
      </c>
      <c r="Q630" s="389"/>
      <c r="R630" s="416" t="str">
        <f t="shared" si="17"/>
        <v>DELETE</v>
      </c>
    </row>
    <row r="631" spans="2:24" ht="31.5" customHeight="1" x14ac:dyDescent="0.45">
      <c r="B631" s="461"/>
      <c r="C631" s="369"/>
      <c r="D631" s="368">
        <f>TrialBalanceA!C138</f>
        <v>0</v>
      </c>
      <c r="M631" s="436">
        <f>TrialBalanceA!I138</f>
        <v>0</v>
      </c>
      <c r="N631" s="400"/>
      <c r="O631" s="451">
        <f>TrialBalanceA!K138</f>
        <v>0</v>
      </c>
      <c r="Q631" s="389"/>
      <c r="R631" s="416" t="str">
        <f t="shared" si="17"/>
        <v>DELETE</v>
      </c>
    </row>
    <row r="632" spans="2:24" ht="31.5" customHeight="1" x14ac:dyDescent="0.45">
      <c r="B632" s="461"/>
      <c r="C632" s="369"/>
      <c r="D632" s="368" t="str">
        <f>TrialBalanceA!C139</f>
        <v>Interest on finance leases - Seafront Restaurant</v>
      </c>
      <c r="M632" s="436">
        <f>TrialBalanceA!I139</f>
        <v>0</v>
      </c>
      <c r="N632" s="400"/>
      <c r="O632" s="451">
        <f>TrialBalanceA!K139</f>
        <v>0</v>
      </c>
      <c r="Q632" s="389"/>
      <c r="R632" s="416" t="str">
        <f t="shared" si="17"/>
        <v>DELETE</v>
      </c>
    </row>
    <row r="633" spans="2:24" ht="9" customHeight="1" x14ac:dyDescent="0.45">
      <c r="B633" s="461"/>
      <c r="C633" s="369"/>
      <c r="M633" s="437"/>
      <c r="N633" s="392"/>
      <c r="O633" s="452"/>
      <c r="Q633" s="389"/>
      <c r="R633" s="416" t="str">
        <f>R619</f>
        <v>DELETE</v>
      </c>
    </row>
    <row r="634" spans="2:24" ht="9" customHeight="1" x14ac:dyDescent="0.45">
      <c r="B634" s="461"/>
      <c r="C634" s="369"/>
      <c r="M634" s="434"/>
      <c r="N634" s="390"/>
      <c r="O634" s="434"/>
      <c r="Q634" s="389"/>
      <c r="R634" s="416" t="str">
        <f>R619</f>
        <v>DELETE</v>
      </c>
    </row>
    <row r="635" spans="2:24" ht="31.5" customHeight="1" x14ac:dyDescent="0.45">
      <c r="B635" s="461"/>
      <c r="C635" s="369"/>
      <c r="D635" s="368" t="str">
        <f>Criteria!H15</f>
        <v>Surf Shop</v>
      </c>
      <c r="M635" s="434">
        <f>SUM(M637:M649)</f>
        <v>0</v>
      </c>
      <c r="N635" s="390"/>
      <c r="O635" s="434">
        <f>SUM(O637:O649)</f>
        <v>0</v>
      </c>
      <c r="Q635" s="389"/>
      <c r="R635" s="416" t="str">
        <f>IF(M635+O635=0,"DELETE"," ")</f>
        <v>DELETE</v>
      </c>
      <c r="S635" s="421">
        <f>M635</f>
        <v>0</v>
      </c>
      <c r="U635" s="421">
        <f>O635</f>
        <v>0</v>
      </c>
      <c r="V635" s="417" t="b">
        <f>M635=M2280</f>
        <v>1</v>
      </c>
      <c r="X635" s="417" t="b">
        <f>O635=O2280</f>
        <v>1</v>
      </c>
    </row>
    <row r="636" spans="2:24" ht="9" customHeight="1" x14ac:dyDescent="0.45">
      <c r="B636" s="461"/>
      <c r="C636" s="369"/>
      <c r="M636" s="434"/>
      <c r="N636" s="390"/>
      <c r="O636" s="434"/>
      <c r="Q636" s="389"/>
      <c r="R636" s="416" t="str">
        <f>R635</f>
        <v>DELETE</v>
      </c>
    </row>
    <row r="637" spans="2:24" ht="9" customHeight="1" x14ac:dyDescent="0.45">
      <c r="B637" s="461"/>
      <c r="C637" s="369"/>
      <c r="M637" s="435"/>
      <c r="N637" s="391"/>
      <c r="O637" s="450"/>
      <c r="Q637" s="389"/>
      <c r="R637" s="416" t="str">
        <f>R635</f>
        <v>DELETE</v>
      </c>
    </row>
    <row r="638" spans="2:24" ht="31.5" customHeight="1" x14ac:dyDescent="0.45">
      <c r="B638" s="461"/>
      <c r="C638" s="369"/>
      <c r="D638" s="368">
        <f>TrialBalanceB!C129</f>
        <v>0</v>
      </c>
      <c r="M638" s="436">
        <f>TrialBalanceB!I129</f>
        <v>0</v>
      </c>
      <c r="N638" s="400"/>
      <c r="O638" s="451">
        <f>TrialBalanceB!K129</f>
        <v>0</v>
      </c>
      <c r="Q638" s="389"/>
      <c r="R638" s="416" t="str">
        <f t="shared" ref="R638:R648" si="18">IF(M638+O638=0,"DELETE"," ")</f>
        <v>DELETE</v>
      </c>
    </row>
    <row r="639" spans="2:24" ht="31.5" customHeight="1" x14ac:dyDescent="0.45">
      <c r="B639" s="461"/>
      <c r="C639" s="369"/>
      <c r="D639" s="368">
        <f>TrialBalanceB!C130</f>
        <v>0</v>
      </c>
      <c r="M639" s="436">
        <f>TrialBalanceB!I130</f>
        <v>0</v>
      </c>
      <c r="N639" s="400"/>
      <c r="O639" s="451">
        <f>TrialBalanceB!K130</f>
        <v>0</v>
      </c>
      <c r="Q639" s="389"/>
      <c r="R639" s="416" t="str">
        <f t="shared" si="18"/>
        <v>DELETE</v>
      </c>
    </row>
    <row r="640" spans="2:24" ht="31.5" customHeight="1" x14ac:dyDescent="0.45">
      <c r="B640" s="461"/>
      <c r="C640" s="369"/>
      <c r="D640" s="368">
        <f>TrialBalanceB!C131</f>
        <v>0</v>
      </c>
      <c r="M640" s="436">
        <f>TrialBalanceB!I131</f>
        <v>0</v>
      </c>
      <c r="N640" s="400"/>
      <c r="O640" s="451">
        <f>TrialBalanceB!K131</f>
        <v>0</v>
      </c>
      <c r="Q640" s="389"/>
      <c r="R640" s="416" t="str">
        <f t="shared" si="18"/>
        <v>DELETE</v>
      </c>
    </row>
    <row r="641" spans="2:24" ht="31.5" customHeight="1" x14ac:dyDescent="0.45">
      <c r="B641" s="461"/>
      <c r="C641" s="369"/>
      <c r="D641" s="368">
        <f>TrialBalanceB!C132</f>
        <v>0</v>
      </c>
      <c r="M641" s="436">
        <f>TrialBalanceB!I132</f>
        <v>0</v>
      </c>
      <c r="N641" s="400"/>
      <c r="O641" s="451">
        <f>TrialBalanceB!K132</f>
        <v>0</v>
      </c>
      <c r="Q641" s="389"/>
      <c r="R641" s="416" t="str">
        <f t="shared" si="18"/>
        <v>DELETE</v>
      </c>
    </row>
    <row r="642" spans="2:24" ht="31.5" customHeight="1" x14ac:dyDescent="0.45">
      <c r="B642" s="461"/>
      <c r="C642" s="369"/>
      <c r="D642" s="368">
        <f>TrialBalanceB!C133</f>
        <v>0</v>
      </c>
      <c r="M642" s="436">
        <f>TrialBalanceB!I133</f>
        <v>0</v>
      </c>
      <c r="N642" s="400"/>
      <c r="O642" s="451">
        <f>TrialBalanceB!K133</f>
        <v>0</v>
      </c>
      <c r="Q642" s="389"/>
      <c r="R642" s="416" t="str">
        <f t="shared" si="18"/>
        <v>DELETE</v>
      </c>
    </row>
    <row r="643" spans="2:24" ht="31.5" customHeight="1" x14ac:dyDescent="0.45">
      <c r="B643" s="461"/>
      <c r="C643" s="369"/>
      <c r="D643" s="368">
        <f>TrialBalanceB!C134</f>
        <v>0</v>
      </c>
      <c r="M643" s="436">
        <f>TrialBalanceB!I134</f>
        <v>0</v>
      </c>
      <c r="N643" s="400"/>
      <c r="O643" s="451">
        <f>TrialBalanceB!K134</f>
        <v>0</v>
      </c>
      <c r="Q643" s="389"/>
      <c r="R643" s="416" t="str">
        <f t="shared" si="18"/>
        <v>DELETE</v>
      </c>
    </row>
    <row r="644" spans="2:24" ht="31.5" customHeight="1" x14ac:dyDescent="0.45">
      <c r="B644" s="461"/>
      <c r="C644" s="369"/>
      <c r="D644" s="368">
        <f>TrialBalanceB!C135</f>
        <v>0</v>
      </c>
      <c r="M644" s="436">
        <f>TrialBalanceB!I135</f>
        <v>0</v>
      </c>
      <c r="N644" s="400"/>
      <c r="O644" s="451">
        <f>TrialBalanceB!K135</f>
        <v>0</v>
      </c>
      <c r="Q644" s="389"/>
      <c r="R644" s="416" t="str">
        <f t="shared" si="18"/>
        <v>DELETE</v>
      </c>
    </row>
    <row r="645" spans="2:24" ht="31.5" customHeight="1" x14ac:dyDescent="0.45">
      <c r="B645" s="461"/>
      <c r="C645" s="369"/>
      <c r="D645" s="368">
        <f>TrialBalanceB!C136</f>
        <v>0</v>
      </c>
      <c r="M645" s="436">
        <f>TrialBalanceB!I136</f>
        <v>0</v>
      </c>
      <c r="N645" s="400"/>
      <c r="O645" s="451">
        <f>TrialBalanceB!K136</f>
        <v>0</v>
      </c>
      <c r="Q645" s="389"/>
      <c r="R645" s="416" t="str">
        <f t="shared" si="18"/>
        <v>DELETE</v>
      </c>
    </row>
    <row r="646" spans="2:24" ht="31.5" customHeight="1" x14ac:dyDescent="0.45">
      <c r="B646" s="461"/>
      <c r="C646" s="369"/>
      <c r="D646" s="368">
        <f>TrialBalanceB!C137</f>
        <v>0</v>
      </c>
      <c r="M646" s="436">
        <f>TrialBalanceB!I137</f>
        <v>0</v>
      </c>
      <c r="N646" s="400"/>
      <c r="O646" s="451">
        <f>TrialBalanceB!K137</f>
        <v>0</v>
      </c>
      <c r="Q646" s="389"/>
      <c r="R646" s="416" t="str">
        <f t="shared" si="18"/>
        <v>DELETE</v>
      </c>
    </row>
    <row r="647" spans="2:24" ht="31.5" customHeight="1" x14ac:dyDescent="0.45">
      <c r="B647" s="461"/>
      <c r="C647" s="369"/>
      <c r="D647" s="368">
        <f>TrialBalanceB!C138</f>
        <v>0</v>
      </c>
      <c r="M647" s="436">
        <f>TrialBalanceB!I138</f>
        <v>0</v>
      </c>
      <c r="N647" s="400"/>
      <c r="O647" s="451">
        <f>TrialBalanceB!K138</f>
        <v>0</v>
      </c>
      <c r="Q647" s="389"/>
      <c r="R647" s="416" t="str">
        <f t="shared" si="18"/>
        <v>DELETE</v>
      </c>
    </row>
    <row r="648" spans="2:24" ht="31.5" customHeight="1" x14ac:dyDescent="0.45">
      <c r="B648" s="461"/>
      <c r="C648" s="369"/>
      <c r="D648" s="368" t="str">
        <f>TrialBalanceB!C139</f>
        <v>Interest on finance leases - Surf Shop</v>
      </c>
      <c r="M648" s="436">
        <f>TrialBalanceB!I139</f>
        <v>0</v>
      </c>
      <c r="N648" s="400"/>
      <c r="O648" s="451">
        <f>TrialBalanceB!K139</f>
        <v>0</v>
      </c>
      <c r="Q648" s="389"/>
      <c r="R648" s="416" t="str">
        <f t="shared" si="18"/>
        <v>DELETE</v>
      </c>
    </row>
    <row r="649" spans="2:24" ht="9" customHeight="1" x14ac:dyDescent="0.45">
      <c r="B649" s="461"/>
      <c r="C649" s="369"/>
      <c r="M649" s="437"/>
      <c r="N649" s="392"/>
      <c r="O649" s="452"/>
      <c r="Q649" s="389"/>
      <c r="R649" s="416" t="str">
        <f>R635</f>
        <v>DELETE</v>
      </c>
    </row>
    <row r="650" spans="2:24" ht="9" customHeight="1" x14ac:dyDescent="0.45">
      <c r="B650" s="461"/>
      <c r="C650" s="369"/>
      <c r="M650" s="434"/>
      <c r="N650" s="390"/>
      <c r="O650" s="434"/>
      <c r="Q650" s="389"/>
      <c r="R650" s="416" t="str">
        <f>R635</f>
        <v>DELETE</v>
      </c>
    </row>
    <row r="651" spans="2:24" ht="31.5" customHeight="1" x14ac:dyDescent="0.45">
      <c r="B651" s="461"/>
      <c r="C651" s="369"/>
      <c r="D651" s="368">
        <f>Criteria!H16</f>
        <v>0</v>
      </c>
      <c r="M651" s="434">
        <f>SUM(M653:M665)</f>
        <v>0</v>
      </c>
      <c r="N651" s="390"/>
      <c r="O651" s="434">
        <f>SUM(O653:O665)</f>
        <v>0</v>
      </c>
      <c r="Q651" s="389"/>
      <c r="R651" s="416" t="str">
        <f>IF(M651+O651=0,"DELETE"," ")</f>
        <v>DELETE</v>
      </c>
      <c r="S651" s="421">
        <f>M651</f>
        <v>0</v>
      </c>
      <c r="U651" s="421">
        <f>O651</f>
        <v>0</v>
      </c>
      <c r="V651" s="417" t="b">
        <f>M651=M2600</f>
        <v>1</v>
      </c>
      <c r="X651" s="417" t="b">
        <f>O651=O2600</f>
        <v>1</v>
      </c>
    </row>
    <row r="652" spans="2:24" ht="9" customHeight="1" x14ac:dyDescent="0.45">
      <c r="B652" s="461"/>
      <c r="C652" s="369"/>
      <c r="M652" s="434"/>
      <c r="N652" s="390"/>
      <c r="O652" s="434"/>
      <c r="Q652" s="389"/>
      <c r="R652" s="416" t="str">
        <f>R651</f>
        <v>DELETE</v>
      </c>
    </row>
    <row r="653" spans="2:24" ht="9" customHeight="1" x14ac:dyDescent="0.45">
      <c r="B653" s="461"/>
      <c r="C653" s="369"/>
      <c r="M653" s="435"/>
      <c r="N653" s="391"/>
      <c r="O653" s="450"/>
      <c r="Q653" s="389"/>
      <c r="R653" s="416" t="str">
        <f>R651</f>
        <v>DELETE</v>
      </c>
    </row>
    <row r="654" spans="2:24" ht="31.5" customHeight="1" x14ac:dyDescent="0.45">
      <c r="B654" s="461"/>
      <c r="C654" s="369"/>
      <c r="D654" s="368">
        <f>TrialBalanceC!C129</f>
        <v>0</v>
      </c>
      <c r="M654" s="436">
        <f>TrialBalanceC!I129</f>
        <v>0</v>
      </c>
      <c r="N654" s="400"/>
      <c r="O654" s="451">
        <f>TrialBalanceC!K129</f>
        <v>0</v>
      </c>
      <c r="Q654" s="389"/>
      <c r="R654" s="416" t="str">
        <f t="shared" ref="R654:R664" si="19">IF(M654+O654=0,"DELETE"," ")</f>
        <v>DELETE</v>
      </c>
    </row>
    <row r="655" spans="2:24" ht="31.5" customHeight="1" x14ac:dyDescent="0.45">
      <c r="B655" s="461"/>
      <c r="C655" s="369"/>
      <c r="D655" s="368">
        <f>TrialBalanceC!C130</f>
        <v>0</v>
      </c>
      <c r="M655" s="436">
        <f>TrialBalanceC!I130</f>
        <v>0</v>
      </c>
      <c r="N655" s="400"/>
      <c r="O655" s="451">
        <f>TrialBalanceC!K130</f>
        <v>0</v>
      </c>
      <c r="Q655" s="389"/>
      <c r="R655" s="416" t="str">
        <f t="shared" si="19"/>
        <v>DELETE</v>
      </c>
    </row>
    <row r="656" spans="2:24" ht="31.5" customHeight="1" x14ac:dyDescent="0.45">
      <c r="B656" s="461"/>
      <c r="C656" s="369"/>
      <c r="D656" s="368">
        <f>TrialBalanceC!C131</f>
        <v>0</v>
      </c>
      <c r="M656" s="436">
        <f>TrialBalanceC!I131</f>
        <v>0</v>
      </c>
      <c r="N656" s="400"/>
      <c r="O656" s="451">
        <f>TrialBalanceC!K131</f>
        <v>0</v>
      </c>
      <c r="Q656" s="389"/>
      <c r="R656" s="416" t="str">
        <f t="shared" si="19"/>
        <v>DELETE</v>
      </c>
    </row>
    <row r="657" spans="2:18" ht="31.5" customHeight="1" x14ac:dyDescent="0.45">
      <c r="B657" s="461"/>
      <c r="C657" s="369"/>
      <c r="D657" s="368">
        <f>TrialBalanceC!C132</f>
        <v>0</v>
      </c>
      <c r="M657" s="436">
        <f>TrialBalanceC!I132</f>
        <v>0</v>
      </c>
      <c r="N657" s="400"/>
      <c r="O657" s="451">
        <f>TrialBalanceC!K132</f>
        <v>0</v>
      </c>
      <c r="Q657" s="389"/>
      <c r="R657" s="416" t="str">
        <f t="shared" si="19"/>
        <v>DELETE</v>
      </c>
    </row>
    <row r="658" spans="2:18" ht="31.5" customHeight="1" x14ac:dyDescent="0.45">
      <c r="B658" s="461"/>
      <c r="C658" s="369"/>
      <c r="D658" s="368">
        <f>TrialBalanceC!C133</f>
        <v>0</v>
      </c>
      <c r="M658" s="436">
        <f>TrialBalanceC!I133</f>
        <v>0</v>
      </c>
      <c r="N658" s="400"/>
      <c r="O658" s="451">
        <f>TrialBalanceC!K133</f>
        <v>0</v>
      </c>
      <c r="Q658" s="389"/>
      <c r="R658" s="416" t="str">
        <f t="shared" si="19"/>
        <v>DELETE</v>
      </c>
    </row>
    <row r="659" spans="2:18" ht="31.5" customHeight="1" x14ac:dyDescent="0.45">
      <c r="B659" s="461"/>
      <c r="C659" s="369"/>
      <c r="D659" s="368">
        <f>TrialBalanceC!C134</f>
        <v>0</v>
      </c>
      <c r="M659" s="436">
        <f>TrialBalanceC!I134</f>
        <v>0</v>
      </c>
      <c r="N659" s="400"/>
      <c r="O659" s="451">
        <f>TrialBalanceC!K134</f>
        <v>0</v>
      </c>
      <c r="Q659" s="389"/>
      <c r="R659" s="416" t="str">
        <f t="shared" si="19"/>
        <v>DELETE</v>
      </c>
    </row>
    <row r="660" spans="2:18" ht="31.5" customHeight="1" x14ac:dyDescent="0.45">
      <c r="B660" s="461"/>
      <c r="C660" s="369"/>
      <c r="D660" s="368">
        <f>TrialBalanceC!C135</f>
        <v>0</v>
      </c>
      <c r="M660" s="436">
        <f>TrialBalanceC!I135</f>
        <v>0</v>
      </c>
      <c r="N660" s="400"/>
      <c r="O660" s="451">
        <f>TrialBalanceC!K135</f>
        <v>0</v>
      </c>
      <c r="Q660" s="389"/>
      <c r="R660" s="416" t="str">
        <f t="shared" si="19"/>
        <v>DELETE</v>
      </c>
    </row>
    <row r="661" spans="2:18" ht="31.5" customHeight="1" x14ac:dyDescent="0.45">
      <c r="B661" s="461"/>
      <c r="C661" s="369"/>
      <c r="D661" s="368">
        <f>TrialBalanceC!C136</f>
        <v>0</v>
      </c>
      <c r="M661" s="436">
        <f>TrialBalanceC!I136</f>
        <v>0</v>
      </c>
      <c r="N661" s="400"/>
      <c r="O661" s="451">
        <f>TrialBalanceC!K136</f>
        <v>0</v>
      </c>
      <c r="Q661" s="389"/>
      <c r="R661" s="416" t="str">
        <f t="shared" si="19"/>
        <v>DELETE</v>
      </c>
    </row>
    <row r="662" spans="2:18" ht="31.5" customHeight="1" x14ac:dyDescent="0.45">
      <c r="B662" s="461"/>
      <c r="C662" s="369"/>
      <c r="D662" s="368">
        <f>TrialBalanceC!C137</f>
        <v>0</v>
      </c>
      <c r="M662" s="436">
        <f>TrialBalanceC!I137</f>
        <v>0</v>
      </c>
      <c r="N662" s="400"/>
      <c r="O662" s="451">
        <f>TrialBalanceC!K137</f>
        <v>0</v>
      </c>
      <c r="Q662" s="389"/>
      <c r="R662" s="416" t="str">
        <f t="shared" si="19"/>
        <v>DELETE</v>
      </c>
    </row>
    <row r="663" spans="2:18" ht="31.5" customHeight="1" x14ac:dyDescent="0.45">
      <c r="B663" s="461"/>
      <c r="C663" s="369"/>
      <c r="D663" s="368">
        <f>TrialBalanceC!C138</f>
        <v>0</v>
      </c>
      <c r="M663" s="436">
        <f>TrialBalanceC!I138</f>
        <v>0</v>
      </c>
      <c r="N663" s="400"/>
      <c r="O663" s="451">
        <f>TrialBalanceC!K138</f>
        <v>0</v>
      </c>
      <c r="Q663" s="389"/>
      <c r="R663" s="416" t="str">
        <f t="shared" si="19"/>
        <v>DELETE</v>
      </c>
    </row>
    <row r="664" spans="2:18" ht="31.5" customHeight="1" x14ac:dyDescent="0.45">
      <c r="B664" s="461"/>
      <c r="C664" s="369"/>
      <c r="D664" s="368" t="str">
        <f>TrialBalanceC!C139</f>
        <v xml:space="preserve">Interest on finance leases - </v>
      </c>
      <c r="M664" s="436">
        <f>TrialBalanceC!I139</f>
        <v>0</v>
      </c>
      <c r="N664" s="400"/>
      <c r="O664" s="451">
        <f>TrialBalanceC!K139</f>
        <v>0</v>
      </c>
      <c r="Q664" s="389"/>
      <c r="R664" s="416" t="str">
        <f t="shared" si="19"/>
        <v>DELETE</v>
      </c>
    </row>
    <row r="665" spans="2:18" ht="9" customHeight="1" x14ac:dyDescent="0.45">
      <c r="B665" s="461"/>
      <c r="C665" s="369"/>
      <c r="M665" s="437"/>
      <c r="N665" s="392"/>
      <c r="O665" s="452"/>
      <c r="Q665" s="389"/>
      <c r="R665" s="416" t="str">
        <f>R651</f>
        <v>DELETE</v>
      </c>
    </row>
    <row r="666" spans="2:18" ht="9" customHeight="1" x14ac:dyDescent="0.45">
      <c r="B666" s="461"/>
      <c r="C666" s="369"/>
      <c r="M666" s="438"/>
      <c r="N666" s="392"/>
      <c r="O666" s="438"/>
      <c r="Q666" s="389"/>
      <c r="R666" s="416" t="str">
        <f>R668</f>
        <v>DELETE</v>
      </c>
    </row>
    <row r="667" spans="2:18" ht="9" customHeight="1" x14ac:dyDescent="0.45">
      <c r="B667" s="461"/>
      <c r="C667" s="369"/>
      <c r="M667" s="434"/>
      <c r="N667" s="390"/>
      <c r="O667" s="434"/>
      <c r="Q667" s="389"/>
      <c r="R667" s="416" t="str">
        <f>R668</f>
        <v>DELETE</v>
      </c>
    </row>
    <row r="668" spans="2:18" ht="31.5" customHeight="1" x14ac:dyDescent="0.45">
      <c r="B668" s="461"/>
      <c r="C668" s="369"/>
      <c r="M668" s="434">
        <f>SUM(S603:S665)</f>
        <v>0</v>
      </c>
      <c r="N668" s="390"/>
      <c r="O668" s="434">
        <f>SUM(U603:U665)</f>
        <v>0</v>
      </c>
      <c r="Q668" s="389"/>
      <c r="R668" s="416" t="str">
        <f>IF(M668+O668=0,"DELETE"," ")</f>
        <v>DELETE</v>
      </c>
    </row>
    <row r="669" spans="2:18" ht="9" customHeight="1" thickBot="1" x14ac:dyDescent="0.5">
      <c r="B669" s="461"/>
      <c r="C669" s="369"/>
      <c r="M669" s="439"/>
      <c r="N669" s="393"/>
      <c r="O669" s="439"/>
      <c r="Q669" s="389"/>
      <c r="R669" s="416" t="str">
        <f>R668</f>
        <v>DELETE</v>
      </c>
    </row>
    <row r="670" spans="2:18" ht="9" customHeight="1" thickTop="1" x14ac:dyDescent="0.45">
      <c r="B670" s="461"/>
      <c r="C670" s="369"/>
      <c r="M670" s="441"/>
      <c r="N670" s="400"/>
      <c r="O670" s="441"/>
      <c r="Q670" s="389"/>
      <c r="R670" s="416" t="str">
        <f>R668</f>
        <v>DELETE</v>
      </c>
    </row>
    <row r="671" spans="2:18" ht="31.5" customHeight="1" x14ac:dyDescent="0.45">
      <c r="B671" s="461"/>
      <c r="C671" s="369"/>
      <c r="M671" s="441"/>
      <c r="N671" s="400"/>
      <c r="O671" s="441"/>
      <c r="Q671" s="389"/>
      <c r="R671" s="416" t="str">
        <f>R$668</f>
        <v>DELETE</v>
      </c>
    </row>
    <row r="672" spans="2:18" ht="31.5" customHeight="1" x14ac:dyDescent="0.45">
      <c r="B672" s="461"/>
      <c r="C672" s="369"/>
      <c r="M672" s="441"/>
      <c r="N672" s="400"/>
      <c r="O672" s="441"/>
      <c r="Q672" s="389"/>
      <c r="R672" s="416" t="str">
        <f>R$668</f>
        <v>DELETE</v>
      </c>
    </row>
    <row r="673" spans="2:26" ht="31.5" customHeight="1" x14ac:dyDescent="0.45">
      <c r="B673" s="462"/>
      <c r="C673" s="407"/>
      <c r="D673" s="383"/>
      <c r="E673" s="383"/>
      <c r="F673" s="383"/>
      <c r="G673" s="383"/>
      <c r="H673" s="383"/>
      <c r="I673" s="383"/>
      <c r="J673" s="383"/>
      <c r="K673" s="383"/>
      <c r="L673" s="383"/>
      <c r="M673" s="438"/>
      <c r="N673" s="392"/>
      <c r="O673" s="438"/>
      <c r="P673" s="475"/>
      <c r="Q673" s="398"/>
      <c r="R673" s="416" t="str">
        <f>R$668</f>
        <v>DELETE</v>
      </c>
    </row>
    <row r="674" spans="2:26" ht="31.5" customHeight="1" x14ac:dyDescent="0.45">
      <c r="B674" s="370"/>
      <c r="C674" s="369"/>
      <c r="M674" s="434"/>
      <c r="N674" s="390"/>
      <c r="O674" s="434"/>
      <c r="R674" s="416" t="str">
        <f>R$668</f>
        <v>DELETE</v>
      </c>
    </row>
    <row r="675" spans="2:26" ht="31.5" customHeight="1" x14ac:dyDescent="0.45">
      <c r="B675" s="445"/>
      <c r="C675" s="369"/>
      <c r="M675" s="434"/>
      <c r="N675" s="390"/>
      <c r="O675" s="434"/>
    </row>
    <row r="676" spans="2:26" ht="31.5" customHeight="1" x14ac:dyDescent="0.45">
      <c r="B676" s="431"/>
      <c r="D676" s="369" t="str">
        <f>Criteria!E9</f>
        <v>ABC TRUST</v>
      </c>
      <c r="M676" s="479"/>
      <c r="N676" s="469"/>
      <c r="O676" s="434" t="s">
        <v>105</v>
      </c>
      <c r="Q676" s="370">
        <f>MAX($Q$114:Q675)+1</f>
        <v>10</v>
      </c>
    </row>
    <row r="677" spans="2:26" ht="31.5" customHeight="1" x14ac:dyDescent="0.45">
      <c r="B677" s="431"/>
      <c r="D677" s="369" t="str">
        <f>Criteria!E10</f>
        <v>T/A RENTAL PROPERTIES, SEAFRONT RESTAURANT AND SURF SHOP</v>
      </c>
      <c r="M677" s="479"/>
      <c r="N677" s="469"/>
      <c r="O677" s="479"/>
      <c r="R677" s="416" t="str">
        <f>IF(D677=0,"DELETE"," ")</f>
        <v xml:space="preserve"> </v>
      </c>
    </row>
    <row r="678" spans="2:26" ht="31.5" customHeight="1" x14ac:dyDescent="0.45">
      <c r="B678" s="431"/>
      <c r="M678" s="479"/>
      <c r="N678" s="469"/>
      <c r="O678" s="479"/>
    </row>
    <row r="679" spans="2:26" ht="31.5" customHeight="1" x14ac:dyDescent="0.45">
      <c r="B679" s="431"/>
      <c r="D679" s="369" t="s">
        <v>383</v>
      </c>
      <c r="M679" s="479"/>
      <c r="N679" s="469"/>
      <c r="O679" s="479"/>
    </row>
    <row r="680" spans="2:26" ht="31.5" customHeight="1" x14ac:dyDescent="0.45">
      <c r="B680" s="431"/>
      <c r="D680" s="369" t="str">
        <f>Criteria!E20</f>
        <v>29 FEBRUARY 2024</v>
      </c>
      <c r="J680" s="368" t="s">
        <v>253</v>
      </c>
      <c r="M680" s="479"/>
      <c r="N680" s="469"/>
      <c r="O680" s="479"/>
    </row>
    <row r="681" spans="2:26" ht="31.5" customHeight="1" x14ac:dyDescent="0.45">
      <c r="B681" s="431"/>
      <c r="D681" s="369"/>
      <c r="M681" s="479"/>
      <c r="N681" s="469"/>
      <c r="O681" s="479"/>
    </row>
    <row r="682" spans="2:26" ht="31.5" customHeight="1" x14ac:dyDescent="0.45">
      <c r="B682" s="465"/>
      <c r="C682" s="410"/>
      <c r="D682" s="386"/>
      <c r="E682" s="386"/>
      <c r="F682" s="386"/>
      <c r="G682" s="386"/>
      <c r="H682" s="386"/>
      <c r="I682" s="386"/>
      <c r="J682" s="386"/>
      <c r="K682" s="386"/>
      <c r="L682" s="386"/>
      <c r="M682" s="446"/>
      <c r="N682" s="391"/>
      <c r="O682" s="446"/>
      <c r="P682" s="481"/>
      <c r="Q682" s="387"/>
    </row>
    <row r="683" spans="2:26" ht="31.5" customHeight="1" x14ac:dyDescent="0.45">
      <c r="B683" s="461"/>
      <c r="C683" s="369"/>
      <c r="M683" s="430">
        <f>Criteria!E22</f>
        <v>2024</v>
      </c>
      <c r="N683" s="379"/>
      <c r="O683" s="430">
        <f>Criteria!E27</f>
        <v>2023</v>
      </c>
      <c r="Q683" s="389"/>
    </row>
    <row r="684" spans="2:26" ht="31.5" customHeight="1" x14ac:dyDescent="0.45">
      <c r="B684" s="461"/>
      <c r="C684" s="369"/>
      <c r="M684" s="434"/>
      <c r="N684" s="390"/>
      <c r="O684" s="434"/>
      <c r="Q684" s="389"/>
    </row>
    <row r="685" spans="2:26" ht="31.5" customHeight="1" x14ac:dyDescent="0.45">
      <c r="B685" s="461">
        <f>MAX($B$431:B684)+1</f>
        <v>6</v>
      </c>
      <c r="C685" s="411" t="str">
        <f>IF((Y685+Z685)=3,"OPERATING PROFIT/(LOSS)",(IF((Y685+Z685=4),"OPERATING PROFIT","OPERATING LOSS")))</f>
        <v>OPERATING PROFIT</v>
      </c>
      <c r="M685" s="434"/>
      <c r="N685" s="390"/>
      <c r="O685" s="434"/>
      <c r="Q685" s="389"/>
      <c r="Y685" s="417">
        <f>IF(SUM(S291:S312)&lt;0,1,IF(SUM(S291:S312)=0,IF(SUM(U291:U312)&lt;0,1,2),2))</f>
        <v>2</v>
      </c>
      <c r="Z685" s="417">
        <f>IF(SUM(U291:U312)&lt;0,1,IF(SUM(U291:U312)=0,IF(SUM(S291:S312)&lt;0,1,2),2))</f>
        <v>2</v>
      </c>
    </row>
    <row r="686" spans="2:26" ht="31.5" customHeight="1" x14ac:dyDescent="0.45">
      <c r="B686" s="461"/>
      <c r="C686" s="369"/>
      <c r="D686" s="384" t="str">
        <f>IF((Y686+Z686)=3,"The following items have been charged in arriving at the operating profit/(loss):",(IF((Y686+Z686=4),"The following items have been charged in arriving at the operating profit:","The following items have been charged in arriving at the operating loss:")))</f>
        <v>The following items have been charged in arriving at the operating profit:</v>
      </c>
      <c r="M686" s="434"/>
      <c r="N686" s="390"/>
      <c r="O686" s="434"/>
      <c r="Q686" s="389"/>
      <c r="Y686" s="417">
        <f>IF(SUM(S291:S312)&lt;0,1,IF(SUM(S291:S312)=0,IF(SUM(U291:U312)&lt;0,1,2),2))</f>
        <v>2</v>
      </c>
      <c r="Z686" s="417">
        <f>IF(SUM(U291:U312)&lt;0,1,IF(SUM(U291:U312)=0,IF(SUM(S291:S312)&lt;0,1,2),2))</f>
        <v>2</v>
      </c>
    </row>
    <row r="687" spans="2:26" ht="31.5" customHeight="1" x14ac:dyDescent="0.45">
      <c r="B687" s="461"/>
      <c r="C687" s="369"/>
      <c r="M687" s="434"/>
      <c r="N687" s="390"/>
      <c r="O687" s="434"/>
      <c r="Q687" s="389"/>
    </row>
    <row r="688" spans="2:26" ht="31.5" customHeight="1" x14ac:dyDescent="0.45">
      <c r="B688" s="461"/>
      <c r="C688" s="262">
        <f>B685+0.1</f>
        <v>6.1</v>
      </c>
      <c r="D688" s="368" t="str">
        <f>IF(MAX(Criteria!I38:I42)&gt;1,"TRUSTEES' REMUNERATION","TRUSTEE'S REMUNERATION")</f>
        <v>TRUSTEES' REMUNERATION</v>
      </c>
      <c r="M688" s="434"/>
      <c r="N688" s="390"/>
      <c r="O688" s="434"/>
      <c r="Q688" s="389"/>
    </row>
    <row r="689" spans="2:24" ht="31.5" customHeight="1" x14ac:dyDescent="0.45">
      <c r="B689" s="461"/>
      <c r="C689" s="36"/>
      <c r="D689" s="412" t="str">
        <f>TrialBalance!C98</f>
        <v>A Trustee</v>
      </c>
      <c r="M689" s="434">
        <f>TrialBalance!L98+TrialBalanceA!I98+TrialBalanceB!I98+TrialBalanceC!I98</f>
        <v>0</v>
      </c>
      <c r="N689" s="390"/>
      <c r="O689" s="434">
        <f>TrialBalance!N98+TrialBalanceA!K98+TrialBalanceB!K98+TrialBalanceC!K98</f>
        <v>0</v>
      </c>
      <c r="Q689" s="389"/>
      <c r="R689" s="416" t="str">
        <f>IF(M689+O689=0,"DELETE"," ")</f>
        <v>DELETE</v>
      </c>
    </row>
    <row r="690" spans="2:24" ht="31.5" customHeight="1" x14ac:dyDescent="0.45">
      <c r="B690" s="461"/>
      <c r="C690" s="36"/>
      <c r="D690" s="412" t="str">
        <f>TrialBalance!C99</f>
        <v>C Trustee</v>
      </c>
      <c r="M690" s="434">
        <f>TrialBalance!L99+TrialBalanceA!I99+TrialBalanceB!I99+TrialBalanceC!I99</f>
        <v>0</v>
      </c>
      <c r="N690" s="390"/>
      <c r="O690" s="434">
        <f>TrialBalance!N99+TrialBalanceA!K99+TrialBalanceB!K99+TrialBalanceC!K99</f>
        <v>0</v>
      </c>
      <c r="Q690" s="389"/>
      <c r="R690" s="416" t="str">
        <f>IF(M690+O690=0,"DELETE"," ")</f>
        <v>DELETE</v>
      </c>
    </row>
    <row r="691" spans="2:24" ht="31.5" customHeight="1" x14ac:dyDescent="0.45">
      <c r="B691" s="461"/>
      <c r="C691" s="36"/>
      <c r="D691" s="412">
        <f>TrialBalance!C100</f>
        <v>0</v>
      </c>
      <c r="M691" s="434">
        <f>TrialBalance!L100+TrialBalanceA!I100+TrialBalanceB!I100+TrialBalanceC!I100</f>
        <v>0</v>
      </c>
      <c r="N691" s="390"/>
      <c r="O691" s="434">
        <f>TrialBalance!N100+TrialBalanceA!K100+TrialBalanceB!K100+TrialBalanceC!K100</f>
        <v>0</v>
      </c>
      <c r="Q691" s="389"/>
      <c r="R691" s="416" t="str">
        <f>IF(M691+O691=0,"DELETE"," ")</f>
        <v>DELETE</v>
      </c>
    </row>
    <row r="692" spans="2:24" ht="31.5" customHeight="1" x14ac:dyDescent="0.45">
      <c r="B692" s="461"/>
      <c r="C692" s="36"/>
      <c r="D692" s="412">
        <f>TrialBalance!C101</f>
        <v>0</v>
      </c>
      <c r="M692" s="434">
        <f>TrialBalance!L101+TrialBalanceA!I101+TrialBalanceB!I101+TrialBalanceC!I101</f>
        <v>0</v>
      </c>
      <c r="N692" s="390"/>
      <c r="O692" s="434">
        <f>TrialBalance!N101+TrialBalanceA!K101+TrialBalanceB!K101+TrialBalanceC!K101</f>
        <v>0</v>
      </c>
      <c r="Q692" s="389"/>
      <c r="R692" s="416" t="str">
        <f>IF(M692+O692=0,"DELETE"," ")</f>
        <v>DELETE</v>
      </c>
    </row>
    <row r="693" spans="2:24" ht="31.5" customHeight="1" x14ac:dyDescent="0.45">
      <c r="B693" s="461"/>
      <c r="C693" s="36"/>
      <c r="D693" s="412">
        <f>TrialBalance!C102</f>
        <v>0</v>
      </c>
      <c r="M693" s="434">
        <f>TrialBalance!L102+TrialBalanceA!I102+TrialBalanceB!I102+TrialBalanceC!I102</f>
        <v>0</v>
      </c>
      <c r="N693" s="390"/>
      <c r="O693" s="434">
        <f>TrialBalance!N102+TrialBalanceA!K102+TrialBalanceB!K102+TrialBalanceC!K102</f>
        <v>0</v>
      </c>
      <c r="Q693" s="389"/>
      <c r="R693" s="416" t="str">
        <f>IF(M693+O693=0,"DELETE"," ")</f>
        <v>DELETE</v>
      </c>
    </row>
    <row r="694" spans="2:24" ht="9" customHeight="1" x14ac:dyDescent="0.45">
      <c r="B694" s="461"/>
      <c r="C694" s="36"/>
      <c r="M694" s="438"/>
      <c r="N694" s="392"/>
      <c r="O694" s="438"/>
      <c r="Q694" s="389"/>
      <c r="R694" s="416" t="str">
        <f>R696</f>
        <v>DELETE</v>
      </c>
    </row>
    <row r="695" spans="2:24" ht="9" customHeight="1" x14ac:dyDescent="0.45">
      <c r="B695" s="461"/>
      <c r="C695" s="36"/>
      <c r="M695" s="434"/>
      <c r="N695" s="390"/>
      <c r="O695" s="434"/>
      <c r="Q695" s="389"/>
      <c r="R695" s="416" t="str">
        <f>R696</f>
        <v>DELETE</v>
      </c>
    </row>
    <row r="696" spans="2:24" ht="31.5" customHeight="1" x14ac:dyDescent="0.45">
      <c r="B696" s="461"/>
      <c r="C696" s="36"/>
      <c r="M696" s="434">
        <f>SUM(M689:M695)</f>
        <v>0</v>
      </c>
      <c r="N696" s="390"/>
      <c r="O696" s="434">
        <f>SUM(O689:O695)</f>
        <v>0</v>
      </c>
      <c r="Q696" s="389"/>
      <c r="R696" s="416" t="str">
        <f>IF(M696+O696=0,"DELETE"," ")</f>
        <v>DELETE</v>
      </c>
      <c r="V696" s="417" t="b">
        <f>M696=SUM(TrialBalance!L98:L102)+SUM(TrialBalanceA!I98:I102)+SUM(TrialBalanceB!I98:I102)+SUM(TrialBalanceC!I98:I102)</f>
        <v>1</v>
      </c>
      <c r="X696" s="417" t="b">
        <f>O696=SUM(TrialBalance!N98:N102)+SUM(TrialBalanceA!K98:K102)+SUM(TrialBalanceB!K98:K102)+SUM(TrialBalanceC!K98:K102)</f>
        <v>1</v>
      </c>
    </row>
    <row r="697" spans="2:24" ht="9" customHeight="1" thickBot="1" x14ac:dyDescent="0.5">
      <c r="B697" s="461"/>
      <c r="C697" s="36"/>
      <c r="M697" s="439"/>
      <c r="N697" s="393"/>
      <c r="O697" s="439"/>
      <c r="Q697" s="389"/>
      <c r="R697" s="416" t="str">
        <f>R696</f>
        <v>DELETE</v>
      </c>
    </row>
    <row r="698" spans="2:24" ht="9" customHeight="1" thickTop="1" x14ac:dyDescent="0.45">
      <c r="B698" s="461"/>
      <c r="C698" s="36"/>
      <c r="M698" s="441"/>
      <c r="N698" s="400"/>
      <c r="O698" s="441"/>
      <c r="Q698" s="389"/>
      <c r="R698" s="416" t="str">
        <f>R697</f>
        <v>DELETE</v>
      </c>
    </row>
    <row r="699" spans="2:24" ht="31.5" customHeight="1" x14ac:dyDescent="0.45">
      <c r="B699" s="461"/>
      <c r="C699" s="36"/>
      <c r="M699" s="434"/>
      <c r="N699" s="390"/>
      <c r="O699" s="434"/>
      <c r="Q699" s="389"/>
      <c r="R699" s="416" t="str">
        <f>R696</f>
        <v>DELETE</v>
      </c>
    </row>
    <row r="700" spans="2:24" ht="31.5" customHeight="1" x14ac:dyDescent="0.45">
      <c r="B700" s="461"/>
      <c r="C700" s="36"/>
      <c r="D700" s="368" t="str">
        <f>IF(SUM(TrialBalance!L98:L102)+SUM(TrialBalance!N98:N102)+SUM(TrialBalanceA!I98:I102)+SUM(TrialBalanceA!K98:K102)+SUM(TrialBalanceB!I98:I102)+SUM(TrialBalanceB!K98:K102)+SUM(TrialBalanceC!I98:I102)+SUM(TrialBalanceC!K98:K102)&gt;0," ",IF(MAX(Criteria!I38:I42)&gt;1,"No remuneration was paid to the trustees during the periods under review.","No remuneration was paid to the trustee during the periods under review."))</f>
        <v>No remuneration was paid to the trustees during the periods under review.</v>
      </c>
      <c r="M700" s="434"/>
      <c r="N700" s="390"/>
      <c r="O700" s="434"/>
      <c r="Q700" s="389"/>
      <c r="R700" s="416" t="str">
        <f>IF(D700=" ","DELETE"," ")</f>
        <v xml:space="preserve"> </v>
      </c>
    </row>
    <row r="701" spans="2:24" ht="31.5" customHeight="1" x14ac:dyDescent="0.45">
      <c r="B701" s="461"/>
      <c r="C701" s="36"/>
      <c r="M701" s="434"/>
      <c r="N701" s="390"/>
      <c r="O701" s="434"/>
      <c r="Q701" s="389"/>
    </row>
    <row r="702" spans="2:24" ht="31.5" customHeight="1" x14ac:dyDescent="0.45">
      <c r="B702" s="461"/>
      <c r="C702" s="36"/>
      <c r="M702" s="434"/>
      <c r="N702" s="390"/>
      <c r="O702" s="434"/>
      <c r="Q702" s="389"/>
    </row>
    <row r="703" spans="2:24" ht="31.5" customHeight="1" x14ac:dyDescent="0.45">
      <c r="B703" s="462"/>
      <c r="C703" s="267"/>
      <c r="D703" s="383"/>
      <c r="E703" s="383"/>
      <c r="F703" s="383"/>
      <c r="G703" s="383"/>
      <c r="H703" s="383"/>
      <c r="I703" s="383"/>
      <c r="J703" s="383"/>
      <c r="K703" s="383"/>
      <c r="L703" s="383"/>
      <c r="M703" s="438"/>
      <c r="N703" s="392"/>
      <c r="O703" s="438"/>
      <c r="P703" s="475"/>
      <c r="Q703" s="398"/>
    </row>
    <row r="704" spans="2:24" ht="31.5" customHeight="1" x14ac:dyDescent="0.45">
      <c r="B704" s="445"/>
      <c r="C704" s="36"/>
      <c r="M704" s="434"/>
      <c r="N704" s="390"/>
      <c r="O704" s="434"/>
    </row>
    <row r="705" spans="2:18" ht="31.5" customHeight="1" x14ac:dyDescent="0.45">
      <c r="B705" s="445"/>
      <c r="C705" s="36"/>
      <c r="M705" s="434"/>
      <c r="N705" s="390"/>
      <c r="O705" s="434"/>
      <c r="R705" s="416" t="str">
        <f>R$730</f>
        <v>DELETE</v>
      </c>
    </row>
    <row r="706" spans="2:18" ht="31.5" customHeight="1" x14ac:dyDescent="0.45">
      <c r="B706" s="431"/>
      <c r="C706" s="261"/>
      <c r="D706" s="369" t="str">
        <f>Criteria!E9</f>
        <v>ABC TRUST</v>
      </c>
      <c r="M706" s="479"/>
      <c r="N706" s="469"/>
      <c r="O706" s="434" t="s">
        <v>105</v>
      </c>
      <c r="Q706" s="370">
        <f>MAX($Q$114:Q705)+1</f>
        <v>11</v>
      </c>
      <c r="R706" s="416" t="str">
        <f>R$730</f>
        <v>DELETE</v>
      </c>
    </row>
    <row r="707" spans="2:18" ht="31.5" customHeight="1" x14ac:dyDescent="0.45">
      <c r="B707" s="431"/>
      <c r="C707" s="261"/>
      <c r="D707" s="369" t="str">
        <f>Criteria!E10</f>
        <v>T/A RENTAL PROPERTIES, SEAFRONT RESTAURANT AND SURF SHOP</v>
      </c>
      <c r="M707" s="479"/>
      <c r="N707" s="469"/>
      <c r="O707" s="479"/>
      <c r="R707" s="416" t="str">
        <f>IF(R$730="DELETE","DELETE",IF(D707=0,"DELETE"," "))</f>
        <v>DELETE</v>
      </c>
    </row>
    <row r="708" spans="2:18" ht="31.5" customHeight="1" x14ac:dyDescent="0.45">
      <c r="B708" s="431"/>
      <c r="C708" s="261"/>
      <c r="M708" s="479"/>
      <c r="N708" s="469"/>
      <c r="O708" s="479"/>
      <c r="R708" s="416" t="str">
        <f t="shared" ref="R708:R715" si="20">R$730</f>
        <v>DELETE</v>
      </c>
    </row>
    <row r="709" spans="2:18" ht="31.5" customHeight="1" x14ac:dyDescent="0.45">
      <c r="B709" s="431"/>
      <c r="C709" s="261"/>
      <c r="D709" s="369" t="s">
        <v>383</v>
      </c>
      <c r="M709" s="479"/>
      <c r="N709" s="469"/>
      <c r="O709" s="479"/>
      <c r="R709" s="416" t="str">
        <f t="shared" si="20"/>
        <v>DELETE</v>
      </c>
    </row>
    <row r="710" spans="2:18" ht="31.5" customHeight="1" x14ac:dyDescent="0.45">
      <c r="B710" s="431"/>
      <c r="C710" s="261"/>
      <c r="D710" s="369" t="str">
        <f>Criteria!E20</f>
        <v>29 FEBRUARY 2024</v>
      </c>
      <c r="J710" s="368" t="s">
        <v>253</v>
      </c>
      <c r="M710" s="479"/>
      <c r="N710" s="469"/>
      <c r="O710" s="479"/>
      <c r="R710" s="416" t="str">
        <f t="shared" si="20"/>
        <v>DELETE</v>
      </c>
    </row>
    <row r="711" spans="2:18" ht="31.5" customHeight="1" x14ac:dyDescent="0.45">
      <c r="B711" s="431"/>
      <c r="C711" s="261"/>
      <c r="D711" s="369"/>
      <c r="M711" s="479"/>
      <c r="N711" s="469"/>
      <c r="O711" s="479"/>
      <c r="R711" s="416" t="str">
        <f t="shared" si="20"/>
        <v>DELETE</v>
      </c>
    </row>
    <row r="712" spans="2:18" ht="31.5" customHeight="1" x14ac:dyDescent="0.45">
      <c r="B712" s="465"/>
      <c r="C712" s="268"/>
      <c r="D712" s="386"/>
      <c r="E712" s="386"/>
      <c r="F712" s="386"/>
      <c r="G712" s="386"/>
      <c r="H712" s="386"/>
      <c r="I712" s="386"/>
      <c r="J712" s="386"/>
      <c r="K712" s="386"/>
      <c r="L712" s="386"/>
      <c r="M712" s="446"/>
      <c r="N712" s="391"/>
      <c r="O712" s="446"/>
      <c r="P712" s="481"/>
      <c r="Q712" s="387"/>
      <c r="R712" s="416" t="str">
        <f t="shared" si="20"/>
        <v>DELETE</v>
      </c>
    </row>
    <row r="713" spans="2:18" ht="31.5" customHeight="1" x14ac:dyDescent="0.45">
      <c r="B713" s="461"/>
      <c r="C713" s="36"/>
      <c r="M713" s="430">
        <f>Criteria!E22</f>
        <v>2024</v>
      </c>
      <c r="N713" s="379"/>
      <c r="O713" s="430">
        <f>Criteria!E27</f>
        <v>2023</v>
      </c>
      <c r="Q713" s="389"/>
      <c r="R713" s="416" t="str">
        <f t="shared" si="20"/>
        <v>DELETE</v>
      </c>
    </row>
    <row r="714" spans="2:18" ht="31.5" customHeight="1" x14ac:dyDescent="0.45">
      <c r="B714" s="461"/>
      <c r="C714" s="36"/>
      <c r="M714" s="434"/>
      <c r="N714" s="390"/>
      <c r="O714" s="434"/>
      <c r="Q714" s="389"/>
      <c r="R714" s="416" t="str">
        <f t="shared" si="20"/>
        <v>DELETE</v>
      </c>
    </row>
    <row r="715" spans="2:18" ht="31.5" customHeight="1" x14ac:dyDescent="0.45">
      <c r="B715" s="461"/>
      <c r="C715" s="262">
        <f>MAX(C686:C714)+0.1</f>
        <v>6.1999999999999993</v>
      </c>
      <c r="D715" s="368" t="s">
        <v>266</v>
      </c>
      <c r="M715" s="434"/>
      <c r="N715" s="390"/>
      <c r="O715" s="434"/>
      <c r="Q715" s="389"/>
      <c r="R715" s="416" t="str">
        <f t="shared" si="20"/>
        <v>DELETE</v>
      </c>
    </row>
    <row r="716" spans="2:18" ht="31.5" customHeight="1" x14ac:dyDescent="0.45">
      <c r="B716" s="461"/>
      <c r="C716" s="262"/>
      <c r="D716" s="368">
        <f>TrialBalance!C58</f>
        <v>0</v>
      </c>
      <c r="M716" s="434">
        <f>TrialBalance!L58</f>
        <v>0</v>
      </c>
      <c r="N716" s="390"/>
      <c r="O716" s="434">
        <f>TrialBalance!N58</f>
        <v>0</v>
      </c>
      <c r="Q716" s="389"/>
      <c r="R716" s="416" t="str">
        <f>IF(M716+O716=0,"DELETE"," ")</f>
        <v>DELETE</v>
      </c>
    </row>
    <row r="717" spans="2:18" ht="31.5" customHeight="1" x14ac:dyDescent="0.45">
      <c r="B717" s="461"/>
      <c r="C717" s="262"/>
      <c r="D717" s="368">
        <f>TrialBalance!C59</f>
        <v>0</v>
      </c>
      <c r="M717" s="434">
        <f>TrialBalance!L59</f>
        <v>0</v>
      </c>
      <c r="N717" s="390"/>
      <c r="O717" s="434">
        <f>TrialBalance!N59</f>
        <v>0</v>
      </c>
      <c r="Q717" s="389"/>
      <c r="R717" s="416" t="str">
        <f>IF(M717+O717=0,"DELETE"," ")</f>
        <v>DELETE</v>
      </c>
    </row>
    <row r="718" spans="2:18" ht="31.5" customHeight="1" x14ac:dyDescent="0.45">
      <c r="B718" s="461"/>
      <c r="C718" s="262"/>
      <c r="D718" s="368">
        <f>TrialBalance!C60</f>
        <v>0</v>
      </c>
      <c r="M718" s="434">
        <f>TrialBalance!L60</f>
        <v>0</v>
      </c>
      <c r="N718" s="390"/>
      <c r="O718" s="434">
        <f>TrialBalance!N60</f>
        <v>0</v>
      </c>
      <c r="Q718" s="389"/>
      <c r="R718" s="416" t="str">
        <f>IF(M718+O718=0,"DELETE"," ")</f>
        <v>DELETE</v>
      </c>
    </row>
    <row r="719" spans="2:18" ht="31.5" customHeight="1" x14ac:dyDescent="0.45">
      <c r="B719" s="461"/>
      <c r="C719" s="262"/>
      <c r="D719" s="368">
        <f>TrialBalanceA!C58</f>
        <v>0</v>
      </c>
      <c r="M719" s="434">
        <f>TrialBalanceA!I58</f>
        <v>0</v>
      </c>
      <c r="N719" s="390"/>
      <c r="O719" s="434">
        <f>TrialBalanceA!K58</f>
        <v>0</v>
      </c>
      <c r="Q719" s="389"/>
      <c r="R719" s="416" t="str">
        <f t="shared" ref="R719:R722" si="21">IF(M719+O719=0,"DELETE"," ")</f>
        <v>DELETE</v>
      </c>
    </row>
    <row r="720" spans="2:18" ht="31.5" customHeight="1" x14ac:dyDescent="0.45">
      <c r="B720" s="461"/>
      <c r="C720" s="262"/>
      <c r="D720" s="368">
        <f>TrialBalanceA!C59</f>
        <v>0</v>
      </c>
      <c r="M720" s="434">
        <f>TrialBalanceA!I59</f>
        <v>0</v>
      </c>
      <c r="N720" s="390"/>
      <c r="O720" s="434">
        <f>TrialBalanceA!K59</f>
        <v>0</v>
      </c>
      <c r="Q720" s="389"/>
      <c r="R720" s="416" t="str">
        <f t="shared" si="21"/>
        <v>DELETE</v>
      </c>
    </row>
    <row r="721" spans="2:24" ht="31.5" customHeight="1" x14ac:dyDescent="0.45">
      <c r="B721" s="461"/>
      <c r="C721" s="262"/>
      <c r="D721" s="368">
        <f>TrialBalanceA!C60</f>
        <v>0</v>
      </c>
      <c r="M721" s="434">
        <f>TrialBalanceA!I60</f>
        <v>0</v>
      </c>
      <c r="N721" s="390"/>
      <c r="O721" s="434">
        <f>TrialBalanceA!K60</f>
        <v>0</v>
      </c>
      <c r="Q721" s="389"/>
      <c r="R721" s="416" t="str">
        <f t="shared" si="21"/>
        <v>DELETE</v>
      </c>
    </row>
    <row r="722" spans="2:24" ht="31.5" customHeight="1" x14ac:dyDescent="0.45">
      <c r="B722" s="461"/>
      <c r="C722" s="262"/>
      <c r="D722" s="368">
        <f>TrialBalanceB!C58</f>
        <v>0</v>
      </c>
      <c r="M722" s="434">
        <f>TrialBalanceB!I58</f>
        <v>0</v>
      </c>
      <c r="N722" s="390"/>
      <c r="O722" s="434">
        <f>TrialBalanceB!K58</f>
        <v>0</v>
      </c>
      <c r="Q722" s="389"/>
      <c r="R722" s="416" t="str">
        <f t="shared" si="21"/>
        <v>DELETE</v>
      </c>
    </row>
    <row r="723" spans="2:24" ht="31.5" customHeight="1" x14ac:dyDescent="0.45">
      <c r="B723" s="461"/>
      <c r="C723" s="262"/>
      <c r="D723" s="368">
        <f>TrialBalanceB!C59</f>
        <v>0</v>
      </c>
      <c r="M723" s="434">
        <f>TrialBalanceB!I59</f>
        <v>0</v>
      </c>
      <c r="N723" s="390"/>
      <c r="O723" s="434">
        <f>TrialBalanceB!K59</f>
        <v>0</v>
      </c>
      <c r="Q723" s="389"/>
      <c r="R723" s="416" t="str">
        <f t="shared" ref="R723:R725" si="22">IF(M723+O723=0,"DELETE"," ")</f>
        <v>DELETE</v>
      </c>
    </row>
    <row r="724" spans="2:24" ht="31.5" customHeight="1" x14ac:dyDescent="0.45">
      <c r="B724" s="461"/>
      <c r="C724" s="262"/>
      <c r="D724" s="368">
        <f>TrialBalanceB!C60</f>
        <v>0</v>
      </c>
      <c r="M724" s="434">
        <f>TrialBalanceB!I60</f>
        <v>0</v>
      </c>
      <c r="N724" s="390"/>
      <c r="O724" s="434">
        <f>TrialBalanceB!K60</f>
        <v>0</v>
      </c>
      <c r="Q724" s="389"/>
      <c r="R724" s="416" t="str">
        <f t="shared" si="22"/>
        <v>DELETE</v>
      </c>
    </row>
    <row r="725" spans="2:24" ht="31.5" customHeight="1" x14ac:dyDescent="0.45">
      <c r="B725" s="461"/>
      <c r="C725" s="262"/>
      <c r="D725" s="368">
        <f>TrialBalanceC!C58</f>
        <v>0</v>
      </c>
      <c r="M725" s="434">
        <f>TrialBalanceC!I58</f>
        <v>0</v>
      </c>
      <c r="N725" s="390"/>
      <c r="O725" s="434">
        <f>TrialBalanceC!K58</f>
        <v>0</v>
      </c>
      <c r="Q725" s="389"/>
      <c r="R725" s="416" t="str">
        <f t="shared" si="22"/>
        <v>DELETE</v>
      </c>
    </row>
    <row r="726" spans="2:24" ht="31.5" customHeight="1" x14ac:dyDescent="0.45">
      <c r="B726" s="461"/>
      <c r="C726" s="262"/>
      <c r="D726" s="368">
        <f>TrialBalanceC!C59</f>
        <v>0</v>
      </c>
      <c r="M726" s="434">
        <f>TrialBalanceC!I59</f>
        <v>0</v>
      </c>
      <c r="N726" s="390"/>
      <c r="O726" s="434">
        <f>TrialBalanceC!K59</f>
        <v>0</v>
      </c>
      <c r="Q726" s="389"/>
      <c r="R726" s="416" t="str">
        <f t="shared" ref="R726:R727" si="23">IF(M726+O726=0,"DELETE"," ")</f>
        <v>DELETE</v>
      </c>
    </row>
    <row r="727" spans="2:24" ht="31.5" customHeight="1" x14ac:dyDescent="0.45">
      <c r="B727" s="461"/>
      <c r="C727" s="262"/>
      <c r="D727" s="368">
        <f>TrialBalanceC!C60</f>
        <v>0</v>
      </c>
      <c r="M727" s="434">
        <f>TrialBalanceC!I60</f>
        <v>0</v>
      </c>
      <c r="N727" s="390"/>
      <c r="O727" s="434">
        <f>TrialBalanceC!K60</f>
        <v>0</v>
      </c>
      <c r="Q727" s="389"/>
      <c r="R727" s="416" t="str">
        <f t="shared" si="23"/>
        <v>DELETE</v>
      </c>
    </row>
    <row r="728" spans="2:24" ht="9" customHeight="1" x14ac:dyDescent="0.45">
      <c r="B728" s="461"/>
      <c r="C728" s="262"/>
      <c r="M728" s="438"/>
      <c r="N728" s="392"/>
      <c r="O728" s="438"/>
      <c r="Q728" s="389"/>
      <c r="R728" s="416" t="str">
        <f>R$730</f>
        <v>DELETE</v>
      </c>
    </row>
    <row r="729" spans="2:24" ht="9" customHeight="1" x14ac:dyDescent="0.45">
      <c r="B729" s="461"/>
      <c r="C729" s="262"/>
      <c r="M729" s="434"/>
      <c r="N729" s="390"/>
      <c r="O729" s="434"/>
      <c r="Q729" s="389"/>
      <c r="R729" s="416" t="str">
        <f>R$730</f>
        <v>DELETE</v>
      </c>
    </row>
    <row r="730" spans="2:24" ht="31.5" customHeight="1" x14ac:dyDescent="0.45">
      <c r="B730" s="461"/>
      <c r="C730" s="262"/>
      <c r="M730" s="434">
        <f>SUM(M716:M729)</f>
        <v>0</v>
      </c>
      <c r="N730" s="390"/>
      <c r="O730" s="434">
        <f>SUM(O716:O729)</f>
        <v>0</v>
      </c>
      <c r="Q730" s="389"/>
      <c r="R730" s="416" t="str">
        <f>IF(M730+O730=0,"DELETE"," ")</f>
        <v>DELETE</v>
      </c>
      <c r="V730" s="417" t="b">
        <f>M730=SUM(TrialBalance!L58:L60)+SUM(TrialBalanceA!I58:I60)+SUM(TrialBalanceB!I58:I60)+SUM(TrialBalanceC!I58:I60)</f>
        <v>1</v>
      </c>
      <c r="X730" s="417" t="b">
        <f>O730=SUM(TrialBalance!N58:N60)+SUM(TrialBalanceA!K58:K60)+SUM(TrialBalanceB!K58:K60)+SUM(TrialBalanceC!K58:K60)</f>
        <v>1</v>
      </c>
    </row>
    <row r="731" spans="2:24" ht="9" customHeight="1" thickBot="1" x14ac:dyDescent="0.5">
      <c r="B731" s="461"/>
      <c r="C731" s="262"/>
      <c r="M731" s="439"/>
      <c r="N731" s="393"/>
      <c r="O731" s="439"/>
      <c r="Q731" s="389"/>
      <c r="R731" s="416" t="str">
        <f t="shared" ref="R731:R736" si="24">R$730</f>
        <v>DELETE</v>
      </c>
    </row>
    <row r="732" spans="2:24" ht="9" customHeight="1" thickTop="1" x14ac:dyDescent="0.45">
      <c r="B732" s="461"/>
      <c r="C732" s="262"/>
      <c r="M732" s="441"/>
      <c r="N732" s="400"/>
      <c r="O732" s="441"/>
      <c r="Q732" s="389"/>
      <c r="R732" s="416" t="str">
        <f t="shared" si="24"/>
        <v>DELETE</v>
      </c>
    </row>
    <row r="733" spans="2:24" ht="31.5" customHeight="1" x14ac:dyDescent="0.45">
      <c r="B733" s="461"/>
      <c r="C733" s="262"/>
      <c r="M733" s="434"/>
      <c r="N733" s="390"/>
      <c r="O733" s="434"/>
      <c r="Q733" s="389"/>
      <c r="R733" s="416" t="str">
        <f t="shared" si="24"/>
        <v>DELETE</v>
      </c>
    </row>
    <row r="734" spans="2:24" ht="31.5" customHeight="1" x14ac:dyDescent="0.45">
      <c r="B734" s="461"/>
      <c r="C734" s="262"/>
      <c r="M734" s="434"/>
      <c r="N734" s="390"/>
      <c r="O734" s="434"/>
      <c r="Q734" s="389"/>
      <c r="R734" s="416" t="str">
        <f t="shared" si="24"/>
        <v>DELETE</v>
      </c>
    </row>
    <row r="735" spans="2:24" ht="31.5" customHeight="1" x14ac:dyDescent="0.45">
      <c r="B735" s="462"/>
      <c r="C735" s="266"/>
      <c r="D735" s="383"/>
      <c r="E735" s="383"/>
      <c r="F735" s="383"/>
      <c r="G735" s="383"/>
      <c r="H735" s="383"/>
      <c r="I735" s="383"/>
      <c r="J735" s="383"/>
      <c r="K735" s="383"/>
      <c r="L735" s="383"/>
      <c r="M735" s="438"/>
      <c r="N735" s="392"/>
      <c r="O735" s="438"/>
      <c r="P735" s="475"/>
      <c r="Q735" s="398"/>
      <c r="R735" s="416" t="str">
        <f t="shared" si="24"/>
        <v>DELETE</v>
      </c>
    </row>
    <row r="736" spans="2:24" ht="31.5" customHeight="1" x14ac:dyDescent="0.45">
      <c r="B736" s="445"/>
      <c r="C736" s="262"/>
      <c r="M736" s="434"/>
      <c r="N736" s="390"/>
      <c r="O736" s="434"/>
      <c r="R736" s="416" t="str">
        <f t="shared" si="24"/>
        <v>DELETE</v>
      </c>
    </row>
    <row r="737" spans="2:18" ht="31.5" customHeight="1" x14ac:dyDescent="0.45">
      <c r="B737" s="445"/>
      <c r="C737" s="262"/>
      <c r="M737" s="434"/>
      <c r="N737" s="390"/>
      <c r="O737" s="434"/>
      <c r="R737" s="416" t="str">
        <f>R$755</f>
        <v>DELETE</v>
      </c>
    </row>
    <row r="738" spans="2:18" ht="31.5" customHeight="1" x14ac:dyDescent="0.45">
      <c r="B738" s="431"/>
      <c r="C738" s="261"/>
      <c r="D738" s="369" t="str">
        <f>Criteria!E9</f>
        <v>ABC TRUST</v>
      </c>
      <c r="M738" s="479"/>
      <c r="N738" s="469"/>
      <c r="O738" s="434" t="s">
        <v>105</v>
      </c>
      <c r="Q738" s="370">
        <f>MAX($Q$114:Q737)+1</f>
        <v>12</v>
      </c>
      <c r="R738" s="416" t="str">
        <f>R$755</f>
        <v>DELETE</v>
      </c>
    </row>
    <row r="739" spans="2:18" ht="31.5" customHeight="1" x14ac:dyDescent="0.45">
      <c r="B739" s="431"/>
      <c r="C739" s="261"/>
      <c r="D739" s="369" t="str">
        <f>Criteria!E10</f>
        <v>T/A RENTAL PROPERTIES, SEAFRONT RESTAURANT AND SURF SHOP</v>
      </c>
      <c r="M739" s="479"/>
      <c r="N739" s="469"/>
      <c r="O739" s="479"/>
      <c r="R739" s="416" t="str">
        <f>IF(R$755="DELETE","DELETE",IF(D739=0,"DELETE"," "))</f>
        <v>DELETE</v>
      </c>
    </row>
    <row r="740" spans="2:18" ht="31.5" customHeight="1" x14ac:dyDescent="0.45">
      <c r="B740" s="431"/>
      <c r="C740" s="261"/>
      <c r="M740" s="479"/>
      <c r="N740" s="469"/>
      <c r="O740" s="479"/>
      <c r="R740" s="416" t="str">
        <f t="shared" ref="R740:R747" si="25">R$755</f>
        <v>DELETE</v>
      </c>
    </row>
    <row r="741" spans="2:18" ht="31.5" customHeight="1" x14ac:dyDescent="0.45">
      <c r="B741" s="431"/>
      <c r="C741" s="261"/>
      <c r="D741" s="369" t="s">
        <v>383</v>
      </c>
      <c r="M741" s="479"/>
      <c r="N741" s="469"/>
      <c r="O741" s="479"/>
      <c r="R741" s="416" t="str">
        <f t="shared" si="25"/>
        <v>DELETE</v>
      </c>
    </row>
    <row r="742" spans="2:18" ht="31.5" customHeight="1" x14ac:dyDescent="0.45">
      <c r="B742" s="431"/>
      <c r="C742" s="261"/>
      <c r="D742" s="369" t="str">
        <f>Criteria!E20</f>
        <v>29 FEBRUARY 2024</v>
      </c>
      <c r="J742" s="368" t="s">
        <v>253</v>
      </c>
      <c r="M742" s="479"/>
      <c r="N742" s="469"/>
      <c r="O742" s="479"/>
      <c r="R742" s="416" t="str">
        <f t="shared" si="25"/>
        <v>DELETE</v>
      </c>
    </row>
    <row r="743" spans="2:18" ht="31.5" customHeight="1" x14ac:dyDescent="0.45">
      <c r="B743" s="431"/>
      <c r="C743" s="261"/>
      <c r="D743" s="369"/>
      <c r="M743" s="479"/>
      <c r="N743" s="469"/>
      <c r="O743" s="479"/>
      <c r="R743" s="416" t="str">
        <f t="shared" si="25"/>
        <v>DELETE</v>
      </c>
    </row>
    <row r="744" spans="2:18" ht="31.5" customHeight="1" x14ac:dyDescent="0.45">
      <c r="B744" s="465"/>
      <c r="C744" s="269"/>
      <c r="D744" s="386"/>
      <c r="E744" s="386"/>
      <c r="F744" s="386"/>
      <c r="G744" s="386"/>
      <c r="H744" s="386"/>
      <c r="I744" s="386"/>
      <c r="J744" s="386"/>
      <c r="K744" s="386"/>
      <c r="L744" s="386"/>
      <c r="M744" s="446"/>
      <c r="N744" s="391"/>
      <c r="O744" s="446"/>
      <c r="P744" s="481"/>
      <c r="Q744" s="387"/>
      <c r="R744" s="416" t="str">
        <f t="shared" si="25"/>
        <v>DELETE</v>
      </c>
    </row>
    <row r="745" spans="2:18" ht="31.5" customHeight="1" x14ac:dyDescent="0.45">
      <c r="B745" s="461"/>
      <c r="C745" s="262"/>
      <c r="M745" s="430">
        <f>Criteria!E22</f>
        <v>2024</v>
      </c>
      <c r="N745" s="379"/>
      <c r="O745" s="430">
        <f>Criteria!E27</f>
        <v>2023</v>
      </c>
      <c r="Q745" s="389"/>
      <c r="R745" s="416" t="str">
        <f t="shared" si="25"/>
        <v>DELETE</v>
      </c>
    </row>
    <row r="746" spans="2:18" ht="31.5" customHeight="1" x14ac:dyDescent="0.45">
      <c r="B746" s="461"/>
      <c r="C746" s="262"/>
      <c r="M746" s="434"/>
      <c r="N746" s="390"/>
      <c r="O746" s="434"/>
      <c r="Q746" s="389"/>
      <c r="R746" s="416" t="str">
        <f t="shared" si="25"/>
        <v>DELETE</v>
      </c>
    </row>
    <row r="747" spans="2:18" ht="31.5" customHeight="1" x14ac:dyDescent="0.45">
      <c r="B747" s="461"/>
      <c r="C747" s="262">
        <f>MAX(C686:C746)+0.1</f>
        <v>6.2999999999999989</v>
      </c>
      <c r="D747" s="368" t="s">
        <v>267</v>
      </c>
      <c r="M747" s="434"/>
      <c r="N747" s="390"/>
      <c r="O747" s="434"/>
      <c r="Q747" s="389"/>
      <c r="R747" s="416" t="str">
        <f t="shared" si="25"/>
        <v>DELETE</v>
      </c>
    </row>
    <row r="748" spans="2:18" ht="31.5" customHeight="1" x14ac:dyDescent="0.45">
      <c r="B748" s="461"/>
      <c r="C748" s="262"/>
      <c r="D748" s="368" t="s">
        <v>1052</v>
      </c>
      <c r="M748" s="434">
        <f>TrialBalance!L41+TrialBalanceA!I41+TrialBalanceB!I41+TrialBalanceC!I41</f>
        <v>0</v>
      </c>
      <c r="N748" s="390"/>
      <c r="O748" s="434">
        <f>TrialBalance!N41+TrialBalanceA!K41+TrialBalanceB!K41+TrialBalanceC!K41</f>
        <v>0</v>
      </c>
      <c r="Q748" s="389"/>
      <c r="R748" s="416" t="str">
        <f>IF(M748+O748=0,"DELETE"," ")</f>
        <v>DELETE</v>
      </c>
    </row>
    <row r="749" spans="2:18" ht="31.5" customHeight="1" x14ac:dyDescent="0.45">
      <c r="B749" s="461"/>
      <c r="C749" s="262"/>
      <c r="D749" s="368" t="s">
        <v>739</v>
      </c>
      <c r="M749" s="434">
        <f>TrialBalance!L42+TrialBalanceA!I42+TrialBalanceB!I42+TrialBalanceC!I42</f>
        <v>0</v>
      </c>
      <c r="N749" s="390"/>
      <c r="O749" s="434">
        <f>TrialBalance!N42+TrialBalanceA!K42+TrialBalanceB!K42+TrialBalanceC!K42</f>
        <v>0</v>
      </c>
      <c r="Q749" s="389"/>
      <c r="R749" s="416" t="str">
        <f>IF(M749+O749=0,"DELETE"," ")</f>
        <v>DELETE</v>
      </c>
    </row>
    <row r="750" spans="2:18" ht="31.5" customHeight="1" x14ac:dyDescent="0.45">
      <c r="B750" s="461"/>
      <c r="C750" s="262"/>
      <c r="D750" s="368" t="s">
        <v>541</v>
      </c>
      <c r="M750" s="434">
        <f>TrialBalance!L43+TrialBalanceA!I43+TrialBalanceB!I43+TrialBalanceC!I43</f>
        <v>0</v>
      </c>
      <c r="N750" s="390"/>
      <c r="O750" s="434">
        <f>TrialBalance!N43+TrialBalanceA!K43+TrialBalanceB!K43+TrialBalanceC!K43</f>
        <v>0</v>
      </c>
      <c r="Q750" s="389"/>
      <c r="R750" s="416" t="str">
        <f>IF(M750+O750=0,"DELETE"," ")</f>
        <v>DELETE</v>
      </c>
    </row>
    <row r="751" spans="2:18" ht="31.5" customHeight="1" x14ac:dyDescent="0.45">
      <c r="B751" s="461"/>
      <c r="C751" s="262"/>
      <c r="D751" s="368" t="s">
        <v>542</v>
      </c>
      <c r="M751" s="434">
        <f>TrialBalance!L95+TrialBalanceA!I95+TrialBalanceB!I95+TrialBalanceC!I95</f>
        <v>0</v>
      </c>
      <c r="N751" s="390"/>
      <c r="O751" s="434">
        <f>TrialBalance!N95+TrialBalanceA!K95+TrialBalanceB!K95+TrialBalanceC!K95</f>
        <v>0</v>
      </c>
      <c r="Q751" s="389"/>
      <c r="R751" s="416" t="str">
        <f>IF(M751+O751=0,"DELETE"," ")</f>
        <v>DELETE</v>
      </c>
    </row>
    <row r="752" spans="2:18" ht="31.5" customHeight="1" x14ac:dyDescent="0.45">
      <c r="B752" s="461"/>
      <c r="C752" s="262"/>
      <c r="D752" s="368" t="s">
        <v>743</v>
      </c>
      <c r="M752" s="434">
        <f>TrialBalance!L96+TrialBalanceA!I96+TrialBalanceB!I96+TrialBalanceC!I96</f>
        <v>0</v>
      </c>
      <c r="N752" s="390"/>
      <c r="O752" s="434">
        <f>TrialBalance!N96+TrialBalanceA!K96+TrialBalanceB!K96+TrialBalanceC!K96</f>
        <v>0</v>
      </c>
      <c r="Q752" s="389"/>
      <c r="R752" s="416" t="str">
        <f>IF(M752+O752=0,"DELETE"," ")</f>
        <v>DELETE</v>
      </c>
    </row>
    <row r="753" spans="2:24" ht="9" customHeight="1" x14ac:dyDescent="0.45">
      <c r="B753" s="461"/>
      <c r="C753" s="262"/>
      <c r="M753" s="438"/>
      <c r="N753" s="392"/>
      <c r="O753" s="438"/>
      <c r="Q753" s="389"/>
      <c r="R753" s="416" t="str">
        <f>R$755</f>
        <v>DELETE</v>
      </c>
    </row>
    <row r="754" spans="2:24" ht="9" customHeight="1" x14ac:dyDescent="0.45">
      <c r="B754" s="461"/>
      <c r="C754" s="262"/>
      <c r="M754" s="434"/>
      <c r="N754" s="390"/>
      <c r="O754" s="434"/>
      <c r="Q754" s="389"/>
      <c r="R754" s="416" t="str">
        <f>R$755</f>
        <v>DELETE</v>
      </c>
    </row>
    <row r="755" spans="2:24" ht="31.5" customHeight="1" x14ac:dyDescent="0.45">
      <c r="B755" s="461"/>
      <c r="C755" s="262"/>
      <c r="M755" s="434">
        <f>SUM(M748:M754)</f>
        <v>0</v>
      </c>
      <c r="N755" s="390"/>
      <c r="O755" s="434">
        <f>SUM(O748:O754)</f>
        <v>0</v>
      </c>
      <c r="Q755" s="389"/>
      <c r="R755" s="416" t="str">
        <f>IF(M755+O755=0,"DELETE"," ")</f>
        <v>DELETE</v>
      </c>
      <c r="V755" s="417" t="b">
        <f>M755=SUM(TrialBalance!L41:L43)+SUM(TrialBalance!L95:L96)+SUM(TrialBalanceA!I41:I43)+SUM(TrialBalanceA!I95:I96)+SUM(TrialBalanceB!I41:I43)+SUM(TrialBalanceB!I95:I96)+SUM(TrialBalanceC!I41:I43)+SUM(TrialBalanceC!I95:I96)</f>
        <v>1</v>
      </c>
      <c r="X755" s="417" t="b">
        <f>O755=SUM(TrialBalance!N41:N43)+SUM(TrialBalance!N95:N96)+SUM(TrialBalanceA!K41:K43)+SUM(TrialBalanceA!K95:K96)+SUM(TrialBalanceB!K41:K43)+SUM(TrialBalanceB!K95:K96)+SUM(TrialBalanceC!K41:K43)+SUM(TrialBalanceC!K95:K96)</f>
        <v>1</v>
      </c>
    </row>
    <row r="756" spans="2:24" ht="9" customHeight="1" thickBot="1" x14ac:dyDescent="0.5">
      <c r="B756" s="461"/>
      <c r="C756" s="262"/>
      <c r="M756" s="439"/>
      <c r="N756" s="393"/>
      <c r="O756" s="439"/>
      <c r="Q756" s="389"/>
      <c r="R756" s="416" t="str">
        <f t="shared" ref="R756:R761" si="26">R$755</f>
        <v>DELETE</v>
      </c>
    </row>
    <row r="757" spans="2:24" ht="9" customHeight="1" thickTop="1" x14ac:dyDescent="0.45">
      <c r="B757" s="461"/>
      <c r="C757" s="262"/>
      <c r="M757" s="441"/>
      <c r="N757" s="400"/>
      <c r="O757" s="441"/>
      <c r="Q757" s="389"/>
      <c r="R757" s="416" t="str">
        <f t="shared" si="26"/>
        <v>DELETE</v>
      </c>
    </row>
    <row r="758" spans="2:24" ht="31.5" customHeight="1" x14ac:dyDescent="0.45">
      <c r="B758" s="461"/>
      <c r="C758" s="36"/>
      <c r="M758" s="434"/>
      <c r="N758" s="390"/>
      <c r="O758" s="434"/>
      <c r="Q758" s="389"/>
      <c r="R758" s="416" t="str">
        <f t="shared" si="26"/>
        <v>DELETE</v>
      </c>
    </row>
    <row r="759" spans="2:24" ht="31.5" customHeight="1" x14ac:dyDescent="0.45">
      <c r="B759" s="461"/>
      <c r="C759" s="36"/>
      <c r="M759" s="434"/>
      <c r="N759" s="390"/>
      <c r="O759" s="434"/>
      <c r="Q759" s="389"/>
      <c r="R759" s="416" t="str">
        <f t="shared" si="26"/>
        <v>DELETE</v>
      </c>
    </row>
    <row r="760" spans="2:24" ht="31.5" customHeight="1" x14ac:dyDescent="0.45">
      <c r="B760" s="462"/>
      <c r="C760" s="267"/>
      <c r="D760" s="383"/>
      <c r="E760" s="383"/>
      <c r="F760" s="383"/>
      <c r="G760" s="383"/>
      <c r="H760" s="383"/>
      <c r="I760" s="383"/>
      <c r="J760" s="383"/>
      <c r="K760" s="383"/>
      <c r="L760" s="383"/>
      <c r="M760" s="438"/>
      <c r="N760" s="392"/>
      <c r="O760" s="438"/>
      <c r="P760" s="475"/>
      <c r="Q760" s="398"/>
      <c r="R760" s="416" t="str">
        <f t="shared" si="26"/>
        <v>DELETE</v>
      </c>
    </row>
    <row r="761" spans="2:24" ht="31.5" customHeight="1" x14ac:dyDescent="0.45">
      <c r="B761" s="445"/>
      <c r="C761" s="369"/>
      <c r="M761" s="434"/>
      <c r="N761" s="390"/>
      <c r="O761" s="434"/>
      <c r="R761" s="416" t="str">
        <f t="shared" si="26"/>
        <v>DELETE</v>
      </c>
    </row>
    <row r="762" spans="2:24" ht="31.5" customHeight="1" x14ac:dyDescent="0.45">
      <c r="B762" s="445"/>
      <c r="C762" s="369"/>
      <c r="M762" s="434"/>
      <c r="N762" s="390"/>
      <c r="O762" s="434"/>
    </row>
    <row r="763" spans="2:24" ht="31.5" customHeight="1" x14ac:dyDescent="0.45">
      <c r="B763" s="431"/>
      <c r="D763" s="369" t="str">
        <f>Criteria!E9</f>
        <v>ABC TRUST</v>
      </c>
      <c r="M763" s="479"/>
      <c r="N763" s="469"/>
      <c r="O763" s="434" t="s">
        <v>105</v>
      </c>
      <c r="Q763" s="370">
        <f>MAX($Q$114:Q762)+1</f>
        <v>13</v>
      </c>
    </row>
    <row r="764" spans="2:24" ht="31.5" customHeight="1" x14ac:dyDescent="0.45">
      <c r="B764" s="431"/>
      <c r="D764" s="369" t="str">
        <f>Criteria!E10</f>
        <v>T/A RENTAL PROPERTIES, SEAFRONT RESTAURANT AND SURF SHOP</v>
      </c>
      <c r="M764" s="479"/>
      <c r="N764" s="469"/>
      <c r="O764" s="479"/>
      <c r="R764" s="416" t="str">
        <f>IF(D764=0,"DELETE"," ")</f>
        <v xml:space="preserve"> </v>
      </c>
    </row>
    <row r="765" spans="2:24" ht="31.5" customHeight="1" x14ac:dyDescent="0.45">
      <c r="B765" s="431"/>
      <c r="M765" s="479"/>
      <c r="N765" s="469"/>
      <c r="O765" s="479"/>
    </row>
    <row r="766" spans="2:24" ht="31.5" customHeight="1" x14ac:dyDescent="0.45">
      <c r="B766" s="431"/>
      <c r="D766" s="369" t="s">
        <v>383</v>
      </c>
      <c r="M766" s="479"/>
      <c r="N766" s="469"/>
      <c r="O766" s="479"/>
    </row>
    <row r="767" spans="2:24" ht="31.5" customHeight="1" x14ac:dyDescent="0.45">
      <c r="B767" s="431"/>
      <c r="D767" s="369" t="str">
        <f>Criteria!E20</f>
        <v>29 FEBRUARY 2024</v>
      </c>
      <c r="J767" s="368" t="s">
        <v>253</v>
      </c>
      <c r="M767" s="479"/>
      <c r="N767" s="469"/>
      <c r="O767" s="479"/>
    </row>
    <row r="768" spans="2:24" ht="31.5" customHeight="1" x14ac:dyDescent="0.45">
      <c r="B768" s="431"/>
      <c r="D768" s="369"/>
      <c r="M768" s="479"/>
      <c r="N768" s="469"/>
      <c r="O768" s="479"/>
    </row>
    <row r="769" spans="2:24" ht="31.5" customHeight="1" x14ac:dyDescent="0.45">
      <c r="B769" s="465"/>
      <c r="C769" s="410"/>
      <c r="D769" s="386"/>
      <c r="E769" s="386"/>
      <c r="F769" s="386"/>
      <c r="G769" s="386"/>
      <c r="H769" s="386"/>
      <c r="I769" s="386"/>
      <c r="J769" s="386"/>
      <c r="K769" s="386"/>
      <c r="L769" s="386"/>
      <c r="M769" s="446"/>
      <c r="N769" s="391"/>
      <c r="O769" s="446"/>
      <c r="P769" s="481"/>
      <c r="Q769" s="387"/>
    </row>
    <row r="770" spans="2:24" ht="31.5" customHeight="1" x14ac:dyDescent="0.45">
      <c r="B770" s="461"/>
      <c r="C770" s="369"/>
      <c r="M770" s="430">
        <f>Criteria!E22</f>
        <v>2024</v>
      </c>
      <c r="N770" s="379"/>
      <c r="O770" s="430">
        <f>Criteria!E27</f>
        <v>2023</v>
      </c>
      <c r="Q770" s="389"/>
    </row>
    <row r="771" spans="2:24" ht="31.5" customHeight="1" x14ac:dyDescent="0.45">
      <c r="B771" s="461"/>
      <c r="C771" s="369"/>
      <c r="M771" s="434"/>
      <c r="N771" s="390"/>
      <c r="O771" s="434"/>
      <c r="Q771" s="389"/>
    </row>
    <row r="772" spans="2:24" ht="31.5" customHeight="1" x14ac:dyDescent="0.45">
      <c r="B772" s="461">
        <f>MAX($B$431:B771)+1</f>
        <v>7</v>
      </c>
      <c r="C772" s="369" t="s">
        <v>124</v>
      </c>
      <c r="M772" s="434"/>
      <c r="N772" s="390"/>
      <c r="O772" s="434"/>
      <c r="Q772" s="389"/>
    </row>
    <row r="773" spans="2:24" ht="31.5" customHeight="1" x14ac:dyDescent="0.45">
      <c r="B773" s="461"/>
      <c r="C773" s="261">
        <f>B772+0.1</f>
        <v>7.1</v>
      </c>
      <c r="D773" s="368" t="s">
        <v>290</v>
      </c>
      <c r="M773" s="434"/>
      <c r="N773" s="390"/>
      <c r="O773" s="434"/>
      <c r="Q773" s="389"/>
    </row>
    <row r="774" spans="2:24" ht="31.5" customHeight="1" x14ac:dyDescent="0.45">
      <c r="B774" s="461"/>
      <c r="C774" s="36"/>
      <c r="D774" s="368" t="s">
        <v>746</v>
      </c>
      <c r="M774" s="434">
        <f>SUM(M777:M778)</f>
        <v>0</v>
      </c>
      <c r="N774" s="390"/>
      <c r="O774" s="434">
        <f>SUM(O777:O778)</f>
        <v>0</v>
      </c>
      <c r="Q774" s="389"/>
      <c r="S774" s="421">
        <f>M774</f>
        <v>0</v>
      </c>
      <c r="T774" s="421"/>
      <c r="U774" s="421">
        <f>O774</f>
        <v>0</v>
      </c>
      <c r="V774" s="421"/>
      <c r="W774" s="421"/>
      <c r="X774" s="421"/>
    </row>
    <row r="775" spans="2:24" ht="9" customHeight="1" x14ac:dyDescent="0.45">
      <c r="B775" s="461"/>
      <c r="C775" s="36"/>
      <c r="M775" s="434"/>
      <c r="N775" s="390"/>
      <c r="O775" s="434"/>
      <c r="Q775" s="389"/>
    </row>
    <row r="776" spans="2:24" ht="9" customHeight="1" x14ac:dyDescent="0.45">
      <c r="B776" s="461"/>
      <c r="C776" s="36"/>
      <c r="M776" s="435"/>
      <c r="N776" s="391"/>
      <c r="O776" s="450"/>
      <c r="Q776" s="389"/>
    </row>
    <row r="777" spans="2:24" ht="31.5" customHeight="1" x14ac:dyDescent="0.45">
      <c r="B777" s="461"/>
      <c r="C777" s="36"/>
      <c r="D777" s="368" t="s">
        <v>539</v>
      </c>
      <c r="M777" s="436">
        <f>TrialBalance!L173</f>
        <v>0</v>
      </c>
      <c r="N777" s="390"/>
      <c r="O777" s="451">
        <f>TrialBalance!N173</f>
        <v>0</v>
      </c>
      <c r="Q777" s="389"/>
    </row>
    <row r="778" spans="2:24" ht="31.5" customHeight="1" x14ac:dyDescent="0.45">
      <c r="B778" s="461"/>
      <c r="C778" s="36"/>
      <c r="D778" s="368" t="s">
        <v>540</v>
      </c>
      <c r="M778" s="436">
        <f>TrialBalance!L174</f>
        <v>0</v>
      </c>
      <c r="N778" s="390"/>
      <c r="O778" s="451">
        <f>TrialBalance!N174</f>
        <v>0</v>
      </c>
      <c r="Q778" s="389"/>
      <c r="R778" s="416" t="str">
        <f>IF(M778+O778=0,"DELETE"," ")</f>
        <v>DELETE</v>
      </c>
    </row>
    <row r="779" spans="2:24" ht="9" customHeight="1" x14ac:dyDescent="0.45">
      <c r="B779" s="461"/>
      <c r="C779" s="36"/>
      <c r="M779" s="437"/>
      <c r="N779" s="392"/>
      <c r="O779" s="452"/>
      <c r="Q779" s="389"/>
    </row>
    <row r="780" spans="2:24" ht="9" customHeight="1" x14ac:dyDescent="0.45">
      <c r="B780" s="461"/>
      <c r="C780" s="36"/>
      <c r="M780" s="438"/>
      <c r="N780" s="392"/>
      <c r="O780" s="438"/>
      <c r="Q780" s="389"/>
    </row>
    <row r="781" spans="2:24" ht="9" customHeight="1" x14ac:dyDescent="0.45">
      <c r="B781" s="461"/>
      <c r="C781" s="36"/>
      <c r="M781" s="434"/>
      <c r="N781" s="390"/>
      <c r="O781" s="434"/>
      <c r="Q781" s="389"/>
    </row>
    <row r="782" spans="2:24" ht="31.5" customHeight="1" x14ac:dyDescent="0.45">
      <c r="B782" s="461"/>
      <c r="C782" s="36"/>
      <c r="D782" s="368" t="s">
        <v>747</v>
      </c>
      <c r="M782" s="434">
        <f>SUM(S774:S779)</f>
        <v>0</v>
      </c>
      <c r="N782" s="390"/>
      <c r="O782" s="434">
        <f>SUM(U774:U779)</f>
        <v>0</v>
      </c>
      <c r="Q782" s="389"/>
    </row>
    <row r="783" spans="2:24" ht="9" customHeight="1" thickBot="1" x14ac:dyDescent="0.5">
      <c r="B783" s="461"/>
      <c r="C783" s="36"/>
      <c r="M783" s="439"/>
      <c r="N783" s="393"/>
      <c r="O783" s="439"/>
      <c r="Q783" s="389"/>
    </row>
    <row r="784" spans="2:24" ht="9" customHeight="1" thickTop="1" x14ac:dyDescent="0.45">
      <c r="B784" s="461"/>
      <c r="C784" s="36"/>
      <c r="M784" s="441"/>
      <c r="N784" s="400"/>
      <c r="O784" s="441"/>
      <c r="Q784" s="389"/>
    </row>
    <row r="785" spans="2:18" ht="31.5" customHeight="1" x14ac:dyDescent="0.45">
      <c r="B785" s="461"/>
      <c r="C785" s="36"/>
      <c r="M785" s="434"/>
      <c r="N785" s="390"/>
      <c r="O785" s="434"/>
      <c r="Q785" s="389"/>
    </row>
    <row r="786" spans="2:18" ht="31.5" customHeight="1" x14ac:dyDescent="0.45">
      <c r="B786" s="461"/>
      <c r="C786" s="36"/>
      <c r="D786" s="368" t="str">
        <f>IF(TrialBalance!L173=0,"No provision has been made for normal taxation as the trust had no taxable"," ")</f>
        <v>No provision has been made for normal taxation as the trust had no taxable</v>
      </c>
      <c r="M786" s="434"/>
      <c r="N786" s="390"/>
      <c r="O786" s="434"/>
      <c r="Q786" s="389"/>
      <c r="R786" s="416" t="str">
        <f>IF(D786=" ","DELETE"," ")</f>
        <v xml:space="preserve"> </v>
      </c>
    </row>
    <row r="787" spans="2:18" ht="31.5" customHeight="1" x14ac:dyDescent="0.45">
      <c r="B787" s="461"/>
      <c r="C787" s="36"/>
      <c r="D787" s="368" t="str">
        <f>IF(TrialBalance!L173=0,"income for the period under review."," ")</f>
        <v>income for the period under review.</v>
      </c>
      <c r="M787" s="434"/>
      <c r="N787" s="390"/>
      <c r="O787" s="434"/>
      <c r="Q787" s="389"/>
      <c r="R787" s="416" t="str">
        <f>IF(D787=" ","DELETE"," ")</f>
        <v xml:space="preserve"> </v>
      </c>
    </row>
    <row r="788" spans="2:18" ht="31.5" customHeight="1" x14ac:dyDescent="0.45">
      <c r="B788" s="461"/>
      <c r="C788" s="36"/>
      <c r="M788" s="434"/>
      <c r="N788" s="390"/>
      <c r="O788" s="434"/>
      <c r="Q788" s="389"/>
    </row>
    <row r="789" spans="2:18" ht="31.5" customHeight="1" x14ac:dyDescent="0.45">
      <c r="B789" s="461"/>
      <c r="C789" s="36"/>
      <c r="M789" s="434"/>
      <c r="N789" s="390"/>
      <c r="O789" s="434"/>
      <c r="Q789" s="389"/>
    </row>
    <row r="790" spans="2:18" ht="31.5" customHeight="1" x14ac:dyDescent="0.45">
      <c r="B790" s="462"/>
      <c r="C790" s="267"/>
      <c r="D790" s="383"/>
      <c r="E790" s="383"/>
      <c r="F790" s="383"/>
      <c r="G790" s="383"/>
      <c r="H790" s="383"/>
      <c r="I790" s="383"/>
      <c r="J790" s="383"/>
      <c r="K790" s="383"/>
      <c r="L790" s="383"/>
      <c r="M790" s="438"/>
      <c r="N790" s="392"/>
      <c r="O790" s="438"/>
      <c r="P790" s="475"/>
      <c r="Q790" s="398"/>
    </row>
    <row r="791" spans="2:18" ht="31.5" customHeight="1" x14ac:dyDescent="0.45">
      <c r="B791" s="445"/>
      <c r="C791" s="369"/>
      <c r="M791" s="434"/>
      <c r="N791" s="390"/>
      <c r="O791" s="434"/>
    </row>
    <row r="792" spans="2:18" ht="31.5" customHeight="1" x14ac:dyDescent="0.45">
      <c r="D792" s="369"/>
      <c r="R792" s="416" t="str">
        <f t="shared" ref="R792:R806" si="27">R$802</f>
        <v>DELETE</v>
      </c>
    </row>
    <row r="793" spans="2:18" ht="31.5" customHeight="1" x14ac:dyDescent="0.45">
      <c r="D793" s="369" t="str">
        <f>Criteria!E9</f>
        <v>ABC TRUST</v>
      </c>
      <c r="O793" s="433" t="s">
        <v>105</v>
      </c>
      <c r="Q793" s="370">
        <f>MAX($Q$114:Q792)+1</f>
        <v>14</v>
      </c>
      <c r="R793" s="416" t="str">
        <f t="shared" si="27"/>
        <v>DELETE</v>
      </c>
    </row>
    <row r="794" spans="2:18" ht="31.5" customHeight="1" x14ac:dyDescent="0.45">
      <c r="D794" s="369" t="str">
        <f>Criteria!E10</f>
        <v>T/A RENTAL PROPERTIES, SEAFRONT RESTAURANT AND SURF SHOP</v>
      </c>
      <c r="R794" s="416" t="str">
        <f>IF(R$802="DELETE","DELETE",IF(D794=0,"DELETE"," "))</f>
        <v>DELETE</v>
      </c>
    </row>
    <row r="795" spans="2:18" ht="31.5" customHeight="1" x14ac:dyDescent="0.45">
      <c r="R795" s="416" t="str">
        <f t="shared" si="27"/>
        <v>DELETE</v>
      </c>
    </row>
    <row r="796" spans="2:18" ht="31.5" customHeight="1" x14ac:dyDescent="0.45">
      <c r="D796" s="369" t="s">
        <v>383</v>
      </c>
      <c r="R796" s="416" t="str">
        <f t="shared" si="27"/>
        <v>DELETE</v>
      </c>
    </row>
    <row r="797" spans="2:18" ht="31.5" customHeight="1" x14ac:dyDescent="0.45">
      <c r="D797" s="369" t="str">
        <f>Criteria!E20</f>
        <v>29 FEBRUARY 2024</v>
      </c>
      <c r="J797" s="368" t="s">
        <v>253</v>
      </c>
      <c r="R797" s="416" t="str">
        <f t="shared" si="27"/>
        <v>DELETE</v>
      </c>
    </row>
    <row r="798" spans="2:18" ht="31.5" customHeight="1" x14ac:dyDescent="0.45">
      <c r="D798" s="369"/>
      <c r="R798" s="416" t="str">
        <f t="shared" si="27"/>
        <v>DELETE</v>
      </c>
    </row>
    <row r="799" spans="2:18" ht="31.5" customHeight="1" x14ac:dyDescent="0.45">
      <c r="B799" s="385"/>
      <c r="C799" s="386"/>
      <c r="D799" s="386"/>
      <c r="E799" s="386"/>
      <c r="F799" s="386"/>
      <c r="G799" s="386"/>
      <c r="H799" s="386"/>
      <c r="I799" s="386"/>
      <c r="J799" s="386"/>
      <c r="K799" s="386"/>
      <c r="L799" s="386"/>
      <c r="M799" s="480"/>
      <c r="N799" s="481"/>
      <c r="O799" s="480"/>
      <c r="P799" s="481"/>
      <c r="Q799" s="387"/>
      <c r="R799" s="416" t="str">
        <f t="shared" si="27"/>
        <v>DELETE</v>
      </c>
    </row>
    <row r="800" spans="2:18" ht="31.5" customHeight="1" x14ac:dyDescent="0.45">
      <c r="B800" s="388"/>
      <c r="M800" s="430">
        <f>Criteria!E22</f>
        <v>2024</v>
      </c>
      <c r="N800" s="379"/>
      <c r="O800" s="430">
        <f>Criteria!E27</f>
        <v>2023</v>
      </c>
      <c r="P800" s="478"/>
      <c r="Q800" s="389"/>
      <c r="R800" s="416" t="str">
        <f t="shared" si="27"/>
        <v>DELETE</v>
      </c>
    </row>
    <row r="801" spans="2:22" ht="31.5" customHeight="1" x14ac:dyDescent="0.45">
      <c r="B801" s="388"/>
      <c r="M801" s="477"/>
      <c r="N801" s="478"/>
      <c r="O801" s="477"/>
      <c r="P801" s="478"/>
      <c r="Q801" s="389"/>
      <c r="R801" s="416" t="str">
        <f t="shared" si="27"/>
        <v>DELETE</v>
      </c>
    </row>
    <row r="802" spans="2:22" ht="31.5" customHeight="1" x14ac:dyDescent="0.45">
      <c r="B802" s="461">
        <f>MAX($B$431:B799)+1</f>
        <v>8</v>
      </c>
      <c r="C802" s="369" t="s">
        <v>1053</v>
      </c>
      <c r="Q802" s="389"/>
      <c r="R802" s="416" t="str">
        <f>IF(SUM(TrialBalance!L227:L228)+SUM(TrialBalance!N227:N228)=0,"DELETE"," ")</f>
        <v>DELETE</v>
      </c>
    </row>
    <row r="803" spans="2:22" ht="31.5" customHeight="1" x14ac:dyDescent="0.45">
      <c r="B803" s="461"/>
      <c r="C803" s="369"/>
      <c r="D803" s="368" t="s">
        <v>1074</v>
      </c>
      <c r="H803" s="372"/>
      <c r="J803" s="372"/>
      <c r="K803" s="466"/>
      <c r="M803" s="434">
        <f>SUM(S805:S809)</f>
        <v>0</v>
      </c>
      <c r="N803" s="390"/>
      <c r="O803" s="434">
        <f>SUM(U805:U809)</f>
        <v>0</v>
      </c>
      <c r="Q803" s="389"/>
      <c r="R803" s="416" t="str">
        <f t="shared" si="27"/>
        <v>DELETE</v>
      </c>
      <c r="V803" s="417" t="b">
        <f>M803=O828</f>
        <v>1</v>
      </c>
    </row>
    <row r="804" spans="2:22" ht="9" customHeight="1" x14ac:dyDescent="0.45">
      <c r="B804" s="461"/>
      <c r="C804" s="369"/>
      <c r="M804" s="434"/>
      <c r="N804" s="390"/>
      <c r="O804" s="434"/>
      <c r="Q804" s="389"/>
      <c r="R804" s="416" t="str">
        <f t="shared" si="27"/>
        <v>DELETE</v>
      </c>
    </row>
    <row r="805" spans="2:22" ht="9" customHeight="1" x14ac:dyDescent="0.45">
      <c r="B805" s="461"/>
      <c r="C805" s="369"/>
      <c r="M805" s="435"/>
      <c r="N805" s="391"/>
      <c r="O805" s="450"/>
      <c r="Q805" s="389"/>
      <c r="R805" s="416" t="str">
        <f t="shared" si="27"/>
        <v>DELETE</v>
      </c>
    </row>
    <row r="806" spans="2:22" ht="31.5" customHeight="1" x14ac:dyDescent="0.45">
      <c r="B806" s="461"/>
      <c r="C806" s="369"/>
      <c r="D806" s="368" t="s">
        <v>389</v>
      </c>
      <c r="M806" s="436">
        <f>TrialBalance!L227</f>
        <v>0</v>
      </c>
      <c r="N806" s="400"/>
      <c r="O806" s="451">
        <f>TrialBalance!N227</f>
        <v>0</v>
      </c>
      <c r="Q806" s="389"/>
      <c r="R806" s="416" t="str">
        <f t="shared" si="27"/>
        <v>DELETE</v>
      </c>
      <c r="S806" s="421">
        <f>M806</f>
        <v>0</v>
      </c>
      <c r="U806" s="421">
        <f>O806</f>
        <v>0</v>
      </c>
      <c r="V806" s="417" t="b">
        <f>M806=O832</f>
        <v>1</v>
      </c>
    </row>
    <row r="807" spans="2:22" ht="31.5" customHeight="1" x14ac:dyDescent="0.45">
      <c r="B807" s="461"/>
      <c r="C807" s="369"/>
      <c r="D807" s="368" t="s">
        <v>1075</v>
      </c>
      <c r="M807" s="436">
        <f>TrialBalance!L236</f>
        <v>0</v>
      </c>
      <c r="N807" s="400"/>
      <c r="O807" s="451">
        <f>TrialBalance!N236</f>
        <v>0</v>
      </c>
      <c r="Q807" s="389"/>
      <c r="R807" s="416" t="str">
        <f>IF(M807+O807=0,"DELETE"," ")</f>
        <v>DELETE</v>
      </c>
      <c r="S807" s="421">
        <f>M807</f>
        <v>0</v>
      </c>
      <c r="U807" s="421">
        <f>O807</f>
        <v>0</v>
      </c>
      <c r="V807" s="417" t="b">
        <f>M807=O833</f>
        <v>1</v>
      </c>
    </row>
    <row r="808" spans="2:22" ht="31.5" customHeight="1" x14ac:dyDescent="0.45">
      <c r="B808" s="461"/>
      <c r="C808" s="369"/>
      <c r="D808" s="368" t="s">
        <v>1076</v>
      </c>
      <c r="M808" s="436">
        <f>-TrialBalance!L231</f>
        <v>0</v>
      </c>
      <c r="N808" s="400"/>
      <c r="O808" s="451">
        <f>-TrialBalance!N231</f>
        <v>0</v>
      </c>
      <c r="Q808" s="389"/>
      <c r="R808" s="416" t="str">
        <f>IF(M808+O808=0,"DELETE"," ")</f>
        <v>DELETE</v>
      </c>
      <c r="S808" s="421">
        <f>-M808</f>
        <v>0</v>
      </c>
      <c r="U808" s="421">
        <f>-O808</f>
        <v>0</v>
      </c>
      <c r="V808" s="417" t="b">
        <f>M808=O834</f>
        <v>1</v>
      </c>
    </row>
    <row r="809" spans="2:22" ht="9" customHeight="1" x14ac:dyDescent="0.45">
      <c r="B809" s="461"/>
      <c r="C809" s="369"/>
      <c r="M809" s="437"/>
      <c r="N809" s="392"/>
      <c r="O809" s="452"/>
      <c r="Q809" s="389"/>
      <c r="R809" s="416" t="str">
        <f t="shared" ref="R809:R810" si="28">R$802</f>
        <v>DELETE</v>
      </c>
    </row>
    <row r="810" spans="2:22" ht="9" customHeight="1" x14ac:dyDescent="0.45">
      <c r="B810" s="461"/>
      <c r="C810" s="369"/>
      <c r="M810" s="434"/>
      <c r="N810" s="390"/>
      <c r="O810" s="434"/>
      <c r="Q810" s="389"/>
      <c r="R810" s="416" t="str">
        <f t="shared" si="28"/>
        <v>DELETE</v>
      </c>
    </row>
    <row r="811" spans="2:22" ht="31.5" customHeight="1" x14ac:dyDescent="0.45">
      <c r="B811" s="461"/>
      <c r="C811" s="369"/>
      <c r="D811" s="368" t="s">
        <v>390</v>
      </c>
      <c r="M811" s="434">
        <f>TrialBalance!L228</f>
        <v>0</v>
      </c>
      <c r="N811" s="390"/>
      <c r="O811" s="434">
        <f>TrialBalance!N228</f>
        <v>0</v>
      </c>
      <c r="Q811" s="389"/>
      <c r="R811" s="416" t="str">
        <f t="shared" ref="R811:R812" si="29">IF(M811+O811=0,"DELETE"," ")</f>
        <v>DELETE</v>
      </c>
      <c r="S811" s="421">
        <f>M811</f>
        <v>0</v>
      </c>
      <c r="U811" s="421">
        <f>O811</f>
        <v>0</v>
      </c>
    </row>
    <row r="812" spans="2:22" ht="31.5" customHeight="1" x14ac:dyDescent="0.45">
      <c r="B812" s="461"/>
      <c r="C812" s="369"/>
      <c r="D812" s="368" t="s">
        <v>1077</v>
      </c>
      <c r="E812" s="368" t="s">
        <v>1069</v>
      </c>
      <c r="M812" s="434">
        <f>TrialBalance!L237</f>
        <v>0</v>
      </c>
      <c r="N812" s="390"/>
      <c r="O812" s="434">
        <f>TrialBalance!N237</f>
        <v>0</v>
      </c>
      <c r="Q812" s="389"/>
      <c r="R812" s="416" t="str">
        <f t="shared" si="29"/>
        <v>DELETE</v>
      </c>
      <c r="S812" s="421">
        <f>M812</f>
        <v>0</v>
      </c>
      <c r="U812" s="421">
        <f>O812</f>
        <v>0</v>
      </c>
    </row>
    <row r="813" spans="2:22" ht="31.5" customHeight="1" x14ac:dyDescent="0.45">
      <c r="B813" s="461"/>
      <c r="C813" s="369"/>
      <c r="D813" s="368" t="s">
        <v>1163</v>
      </c>
      <c r="M813" s="434">
        <f>TrialBalance!L234</f>
        <v>0</v>
      </c>
      <c r="N813" s="390"/>
      <c r="O813" s="434">
        <f>TrialBalance!N234</f>
        <v>0</v>
      </c>
      <c r="Q813" s="389"/>
      <c r="R813" s="416" t="str">
        <f>IF(M813+O813=0,"DELETE"," ")</f>
        <v>DELETE</v>
      </c>
      <c r="S813" s="421">
        <f>M813</f>
        <v>0</v>
      </c>
      <c r="U813" s="421">
        <f>O813</f>
        <v>0</v>
      </c>
    </row>
    <row r="814" spans="2:22" ht="9" customHeight="1" x14ac:dyDescent="0.45">
      <c r="B814" s="461"/>
      <c r="C814" s="369"/>
      <c r="M814" s="438"/>
      <c r="N814" s="392"/>
      <c r="O814" s="438"/>
      <c r="Q814" s="389"/>
      <c r="R814" s="416" t="str">
        <f>R$816</f>
        <v>DELETE</v>
      </c>
    </row>
    <row r="815" spans="2:22" ht="9" customHeight="1" x14ac:dyDescent="0.45">
      <c r="B815" s="461"/>
      <c r="C815" s="369"/>
      <c r="M815" s="434"/>
      <c r="N815" s="390"/>
      <c r="O815" s="434"/>
      <c r="Q815" s="389"/>
      <c r="R815" s="416" t="str">
        <f>R$816</f>
        <v>DELETE</v>
      </c>
    </row>
    <row r="816" spans="2:22" ht="31.5" customHeight="1" x14ac:dyDescent="0.45">
      <c r="B816" s="461"/>
      <c r="C816" s="369"/>
      <c r="M816" s="434">
        <f>SUM(S805:S814)</f>
        <v>0</v>
      </c>
      <c r="N816" s="390"/>
      <c r="O816" s="434">
        <f>SUM(U805:U814)</f>
        <v>0</v>
      </c>
      <c r="Q816" s="389"/>
      <c r="R816" s="416" t="str">
        <f>IF(R811="DELETE",IF(R812="DELETE",IF(R813="DELETE","DELETE"," ")," ")," ")</f>
        <v>DELETE</v>
      </c>
    </row>
    <row r="817" spans="2:24" ht="31.5" customHeight="1" x14ac:dyDescent="0.45">
      <c r="B817" s="461"/>
      <c r="C817" s="369"/>
      <c r="D817" s="368" t="s">
        <v>170</v>
      </c>
      <c r="M817" s="434">
        <f>-SUM(S819:S823)</f>
        <v>0</v>
      </c>
      <c r="N817" s="390"/>
      <c r="O817" s="434">
        <f>-SUM(U819:U823)</f>
        <v>0</v>
      </c>
      <c r="Q817" s="389"/>
      <c r="R817" s="416" t="str">
        <f t="shared" ref="R817" si="30">IF(M817+O817=0,"DELETE"," ")</f>
        <v>DELETE</v>
      </c>
    </row>
    <row r="818" spans="2:24" ht="9" customHeight="1" x14ac:dyDescent="0.45">
      <c r="B818" s="461"/>
      <c r="C818" s="369"/>
      <c r="M818" s="434"/>
      <c r="N818" s="390"/>
      <c r="O818" s="434"/>
      <c r="Q818" s="389"/>
      <c r="R818" s="416" t="str">
        <f>R$817</f>
        <v>DELETE</v>
      </c>
    </row>
    <row r="819" spans="2:24" ht="9" customHeight="1" x14ac:dyDescent="0.45">
      <c r="B819" s="461"/>
      <c r="C819" s="369"/>
      <c r="M819" s="435"/>
      <c r="N819" s="391"/>
      <c r="O819" s="450"/>
      <c r="Q819" s="389"/>
      <c r="R819" s="416" t="str">
        <f>R$817</f>
        <v>DELETE</v>
      </c>
    </row>
    <row r="820" spans="2:24" ht="31.5" customHeight="1" x14ac:dyDescent="0.45">
      <c r="B820" s="461"/>
      <c r="C820" s="369"/>
      <c r="D820" s="368" t="s">
        <v>389</v>
      </c>
      <c r="M820" s="436">
        <f>-TrialBalance!L229</f>
        <v>0</v>
      </c>
      <c r="N820" s="400"/>
      <c r="O820" s="451">
        <f>-TrialBalance!N229</f>
        <v>0</v>
      </c>
      <c r="Q820" s="389"/>
      <c r="R820" s="416" t="str">
        <f>R$817</f>
        <v>DELETE</v>
      </c>
      <c r="S820" s="421">
        <f>-M820</f>
        <v>0</v>
      </c>
      <c r="U820" s="421">
        <f>-O820</f>
        <v>0</v>
      </c>
    </row>
    <row r="821" spans="2:24" ht="31.5" customHeight="1" x14ac:dyDescent="0.45">
      <c r="B821" s="461"/>
      <c r="C821" s="369"/>
      <c r="D821" s="368" t="s">
        <v>1075</v>
      </c>
      <c r="M821" s="436">
        <f>-TrialBalance!L238</f>
        <v>0</v>
      </c>
      <c r="N821" s="400"/>
      <c r="O821" s="451">
        <f>-TrialBalance!N238</f>
        <v>0</v>
      </c>
      <c r="Q821" s="389"/>
      <c r="R821" s="416" t="str">
        <f t="shared" ref="R821:R822" si="31">IF(M821+O821=0,"DELETE"," ")</f>
        <v>DELETE</v>
      </c>
      <c r="S821" s="421">
        <f>-M821</f>
        <v>0</v>
      </c>
      <c r="U821" s="421">
        <f>-O821</f>
        <v>0</v>
      </c>
    </row>
    <row r="822" spans="2:24" ht="31.5" customHeight="1" x14ac:dyDescent="0.45">
      <c r="B822" s="461"/>
      <c r="C822" s="369"/>
      <c r="D822" s="368" t="s">
        <v>1076</v>
      </c>
      <c r="M822" s="436">
        <f>TrialBalance!L233</f>
        <v>0</v>
      </c>
      <c r="N822" s="400"/>
      <c r="O822" s="451">
        <f>TrialBalance!N233</f>
        <v>0</v>
      </c>
      <c r="Q822" s="389"/>
      <c r="R822" s="416" t="str">
        <f t="shared" si="31"/>
        <v>DELETE</v>
      </c>
      <c r="S822" s="421">
        <f>M822</f>
        <v>0</v>
      </c>
      <c r="U822" s="421">
        <f>O822</f>
        <v>0</v>
      </c>
    </row>
    <row r="823" spans="2:24" ht="9" customHeight="1" x14ac:dyDescent="0.45">
      <c r="B823" s="461"/>
      <c r="C823" s="369"/>
      <c r="M823" s="437"/>
      <c r="N823" s="392"/>
      <c r="O823" s="452"/>
      <c r="Q823" s="389"/>
      <c r="R823" s="416" t="str">
        <f t="shared" ref="R823:R824" si="32">R$817</f>
        <v>DELETE</v>
      </c>
    </row>
    <row r="824" spans="2:24" ht="9" customHeight="1" x14ac:dyDescent="0.45">
      <c r="B824" s="461"/>
      <c r="C824" s="369"/>
      <c r="M824" s="441"/>
      <c r="N824" s="400"/>
      <c r="O824" s="441"/>
      <c r="Q824" s="389"/>
      <c r="R824" s="416" t="str">
        <f t="shared" si="32"/>
        <v>DELETE</v>
      </c>
    </row>
    <row r="825" spans="2:24" ht="31.5" customHeight="1" x14ac:dyDescent="0.45">
      <c r="B825" s="461"/>
      <c r="C825" s="369"/>
      <c r="D825" s="368" t="s">
        <v>279</v>
      </c>
      <c r="M825" s="441">
        <f>TrialBalance!L232</f>
        <v>0</v>
      </c>
      <c r="N825" s="400"/>
      <c r="O825" s="441">
        <f>TrialBalance!N232</f>
        <v>0</v>
      </c>
      <c r="P825" s="478"/>
      <c r="Q825" s="389"/>
      <c r="R825" s="416" t="str">
        <f>IF(M825+O825=0,"DELETE"," ")</f>
        <v>DELETE</v>
      </c>
      <c r="S825" s="421">
        <f>M825</f>
        <v>0</v>
      </c>
      <c r="U825" s="421">
        <f>O825</f>
        <v>0</v>
      </c>
    </row>
    <row r="826" spans="2:24" ht="9" customHeight="1" x14ac:dyDescent="0.45">
      <c r="B826" s="461"/>
      <c r="C826" s="369"/>
      <c r="M826" s="438"/>
      <c r="N826" s="392"/>
      <c r="O826" s="438"/>
      <c r="P826" s="478"/>
      <c r="Q826" s="389"/>
      <c r="R826" s="416" t="str">
        <f t="shared" ref="R826:R832" si="33">R$802</f>
        <v>DELETE</v>
      </c>
    </row>
    <row r="827" spans="2:24" ht="9" customHeight="1" x14ac:dyDescent="0.45">
      <c r="B827" s="461"/>
      <c r="C827" s="369"/>
      <c r="M827" s="441"/>
      <c r="N827" s="400"/>
      <c r="O827" s="441"/>
      <c r="P827" s="478"/>
      <c r="Q827" s="389"/>
      <c r="R827" s="416" t="str">
        <f t="shared" si="33"/>
        <v>DELETE</v>
      </c>
    </row>
    <row r="828" spans="2:24" ht="31.5" customHeight="1" x14ac:dyDescent="0.45">
      <c r="B828" s="461"/>
      <c r="C828" s="369"/>
      <c r="D828" s="368" t="s">
        <v>1078</v>
      </c>
      <c r="K828" s="415"/>
      <c r="M828" s="434">
        <f>SUM(S805:S826)</f>
        <v>0</v>
      </c>
      <c r="N828" s="390"/>
      <c r="O828" s="434">
        <f>SUM(U805:U826)</f>
        <v>0</v>
      </c>
      <c r="Q828" s="389"/>
      <c r="R828" s="416" t="str">
        <f t="shared" si="33"/>
        <v>DELETE</v>
      </c>
      <c r="V828" s="417" t="b">
        <f>M828=SUM(S831:S835)</f>
        <v>1</v>
      </c>
      <c r="X828" s="417" t="b">
        <f>O828=SUM(U831:U835)</f>
        <v>1</v>
      </c>
    </row>
    <row r="829" spans="2:24" ht="9" customHeight="1" thickBot="1" x14ac:dyDescent="0.5">
      <c r="B829" s="461"/>
      <c r="C829" s="369"/>
      <c r="M829" s="439"/>
      <c r="N829" s="393"/>
      <c r="O829" s="439"/>
      <c r="Q829" s="389"/>
      <c r="R829" s="416" t="str">
        <f t="shared" si="33"/>
        <v>DELETE</v>
      </c>
    </row>
    <row r="830" spans="2:24" ht="9" customHeight="1" thickTop="1" x14ac:dyDescent="0.45">
      <c r="B830" s="461"/>
      <c r="C830" s="369"/>
      <c r="M830" s="434"/>
      <c r="N830" s="390"/>
      <c r="O830" s="434"/>
      <c r="Q830" s="389"/>
      <c r="R830" s="416" t="str">
        <f t="shared" si="33"/>
        <v>DELETE</v>
      </c>
    </row>
    <row r="831" spans="2:24" ht="9" customHeight="1" x14ac:dyDescent="0.45">
      <c r="B831" s="461"/>
      <c r="C831" s="369"/>
      <c r="M831" s="435"/>
      <c r="N831" s="391"/>
      <c r="O831" s="450"/>
      <c r="Q831" s="389"/>
      <c r="R831" s="416" t="str">
        <f t="shared" si="33"/>
        <v>DELETE</v>
      </c>
    </row>
    <row r="832" spans="2:24" ht="31.5" customHeight="1" x14ac:dyDescent="0.45">
      <c r="B832" s="461"/>
      <c r="C832" s="369"/>
      <c r="D832" s="368" t="s">
        <v>389</v>
      </c>
      <c r="M832" s="436">
        <f>SUM(TrialBalance!L227:L229)</f>
        <v>0</v>
      </c>
      <c r="N832" s="400"/>
      <c r="O832" s="451">
        <f>SUM(TrialBalance!N227:N229)</f>
        <v>0</v>
      </c>
      <c r="Q832" s="389"/>
      <c r="R832" s="416" t="str">
        <f t="shared" si="33"/>
        <v>DELETE</v>
      </c>
      <c r="S832" s="421">
        <f>M832</f>
        <v>0</v>
      </c>
      <c r="U832" s="421">
        <f>O832</f>
        <v>0</v>
      </c>
    </row>
    <row r="833" spans="2:21" ht="31.5" customHeight="1" x14ac:dyDescent="0.45">
      <c r="B833" s="461"/>
      <c r="C833" s="369"/>
      <c r="D833" s="368" t="s">
        <v>1075</v>
      </c>
      <c r="M833" s="436">
        <f>SUM(TrialBalance!L236:L238)</f>
        <v>0</v>
      </c>
      <c r="N833" s="400"/>
      <c r="O833" s="451">
        <f>SUM(TrialBalance!N236:N238)</f>
        <v>0</v>
      </c>
      <c r="Q833" s="389"/>
      <c r="R833" s="416" t="str">
        <f t="shared" ref="R833:R834" si="34">IF(M833+O833=0,"DELETE"," ")</f>
        <v>DELETE</v>
      </c>
      <c r="S833" s="421">
        <f>M833</f>
        <v>0</v>
      </c>
      <c r="U833" s="421">
        <f>O833</f>
        <v>0</v>
      </c>
    </row>
    <row r="834" spans="2:21" ht="31.5" customHeight="1" x14ac:dyDescent="0.45">
      <c r="B834" s="461"/>
      <c r="C834" s="369"/>
      <c r="D834" s="368" t="s">
        <v>1076</v>
      </c>
      <c r="M834" s="436">
        <f>-SUM(TrialBalance!L231:L234)</f>
        <v>0</v>
      </c>
      <c r="N834" s="400"/>
      <c r="O834" s="451">
        <f>-SUM(TrialBalance!N231:N234)</f>
        <v>0</v>
      </c>
      <c r="Q834" s="389"/>
      <c r="R834" s="416" t="str">
        <f t="shared" si="34"/>
        <v>DELETE</v>
      </c>
      <c r="S834" s="421">
        <f>-M834</f>
        <v>0</v>
      </c>
      <c r="U834" s="421">
        <f>-O834</f>
        <v>0</v>
      </c>
    </row>
    <row r="835" spans="2:21" ht="9" customHeight="1" x14ac:dyDescent="0.45">
      <c r="B835" s="461"/>
      <c r="C835" s="369"/>
      <c r="M835" s="437"/>
      <c r="N835" s="392"/>
      <c r="O835" s="452"/>
      <c r="Q835" s="389"/>
      <c r="R835" s="416" t="str">
        <f t="shared" ref="R835:R837" si="35">R$802</f>
        <v>DELETE</v>
      </c>
    </row>
    <row r="836" spans="2:21" ht="9" customHeight="1" x14ac:dyDescent="0.45">
      <c r="B836" s="461"/>
      <c r="C836" s="369"/>
      <c r="M836" s="434"/>
      <c r="N836" s="390"/>
      <c r="O836" s="434"/>
      <c r="Q836" s="389"/>
      <c r="R836" s="416" t="str">
        <f t="shared" si="35"/>
        <v>DELETE</v>
      </c>
    </row>
    <row r="837" spans="2:21" ht="31.5" customHeight="1" x14ac:dyDescent="0.45">
      <c r="B837" s="461"/>
      <c r="C837" s="369"/>
      <c r="Q837" s="389"/>
      <c r="R837" s="416" t="str">
        <f t="shared" si="35"/>
        <v>DELETE</v>
      </c>
    </row>
    <row r="838" spans="2:21" ht="31.5" customHeight="1" x14ac:dyDescent="0.45">
      <c r="B838" s="461"/>
      <c r="D838" s="368" t="str">
        <f>IF(Criteria!F69="Yes",CONCATENATE("Property is pledged as security - See note ",FS!B1319)," ")</f>
        <v xml:space="preserve"> </v>
      </c>
      <c r="Q838" s="389"/>
      <c r="R838" s="416" t="str">
        <f>IF(R802="DELETE","DELETE",IF(D838=" ","DELETE"," "))</f>
        <v>DELETE</v>
      </c>
    </row>
    <row r="839" spans="2:21" ht="31.5" customHeight="1" x14ac:dyDescent="0.45">
      <c r="B839" s="461"/>
      <c r="Q839" s="389"/>
      <c r="R839" s="416" t="str">
        <f t="shared" ref="R839:R842" si="36">R$802</f>
        <v>DELETE</v>
      </c>
    </row>
    <row r="840" spans="2:21" ht="31.5" customHeight="1" x14ac:dyDescent="0.45">
      <c r="B840" s="461"/>
      <c r="Q840" s="389"/>
      <c r="R840" s="416" t="str">
        <f t="shared" si="36"/>
        <v>DELETE</v>
      </c>
    </row>
    <row r="841" spans="2:21" ht="31.5" customHeight="1" x14ac:dyDescent="0.45">
      <c r="B841" s="462"/>
      <c r="C841" s="267"/>
      <c r="D841" s="383"/>
      <c r="E841" s="383"/>
      <c r="F841" s="383"/>
      <c r="G841" s="383"/>
      <c r="H841" s="383"/>
      <c r="I841" s="383"/>
      <c r="J841" s="383"/>
      <c r="K841" s="383"/>
      <c r="L841" s="383"/>
      <c r="M841" s="438"/>
      <c r="N841" s="392"/>
      <c r="O841" s="438"/>
      <c r="P841" s="475"/>
      <c r="Q841" s="398"/>
      <c r="R841" s="416" t="str">
        <f t="shared" si="36"/>
        <v>DELETE</v>
      </c>
    </row>
    <row r="842" spans="2:21" ht="31.5" customHeight="1" x14ac:dyDescent="0.45">
      <c r="B842" s="445"/>
      <c r="C842" s="369"/>
      <c r="M842" s="434"/>
      <c r="N842" s="390"/>
      <c r="O842" s="434"/>
      <c r="R842" s="416" t="str">
        <f t="shared" si="36"/>
        <v>DELETE</v>
      </c>
    </row>
    <row r="843" spans="2:21" ht="31.5" customHeight="1" x14ac:dyDescent="0.45">
      <c r="B843" s="445"/>
      <c r="C843" s="369"/>
      <c r="M843" s="434"/>
      <c r="N843" s="390"/>
      <c r="O843" s="434"/>
      <c r="R843" s="416" t="str">
        <f t="shared" ref="R843:R854" si="37">R$895</f>
        <v>DELETE</v>
      </c>
    </row>
    <row r="844" spans="2:21" ht="31.5" customHeight="1" x14ac:dyDescent="0.45">
      <c r="B844" s="445"/>
      <c r="C844" s="369"/>
      <c r="D844" s="369" t="str">
        <f>Criteria!E9</f>
        <v>ABC TRUST</v>
      </c>
      <c r="O844" s="433" t="s">
        <v>105</v>
      </c>
      <c r="Q844" s="370">
        <f>MAX($Q$114:Q843)+1</f>
        <v>15</v>
      </c>
      <c r="R844" s="416" t="str">
        <f t="shared" si="37"/>
        <v>DELETE</v>
      </c>
    </row>
    <row r="845" spans="2:21" ht="31.5" customHeight="1" x14ac:dyDescent="0.45">
      <c r="B845" s="445"/>
      <c r="C845" s="369"/>
      <c r="D845" s="369" t="str">
        <f>Criteria!E10</f>
        <v>T/A RENTAL PROPERTIES, SEAFRONT RESTAURANT AND SURF SHOP</v>
      </c>
      <c r="R845" s="416" t="str">
        <f>IF(R$895="DELETE","DELETE",IF(D845=0,"DELETE"," "))</f>
        <v>DELETE</v>
      </c>
    </row>
    <row r="846" spans="2:21" ht="31.5" customHeight="1" x14ac:dyDescent="0.45">
      <c r="B846" s="445"/>
      <c r="C846" s="369"/>
      <c r="R846" s="416" t="str">
        <f t="shared" si="37"/>
        <v>DELETE</v>
      </c>
    </row>
    <row r="847" spans="2:21" ht="31.5" customHeight="1" x14ac:dyDescent="0.45">
      <c r="B847" s="445"/>
      <c r="C847" s="369"/>
      <c r="D847" s="369" t="s">
        <v>383</v>
      </c>
      <c r="R847" s="416" t="str">
        <f t="shared" si="37"/>
        <v>DELETE</v>
      </c>
    </row>
    <row r="848" spans="2:21" ht="31.5" customHeight="1" x14ac:dyDescent="0.45">
      <c r="B848" s="445"/>
      <c r="C848" s="369"/>
      <c r="D848" s="369" t="str">
        <f>Criteria!E20</f>
        <v>29 FEBRUARY 2024</v>
      </c>
      <c r="J848" s="368" t="s">
        <v>253</v>
      </c>
      <c r="R848" s="416" t="str">
        <f t="shared" si="37"/>
        <v>DELETE</v>
      </c>
    </row>
    <row r="849" spans="2:18" ht="31.5" customHeight="1" x14ac:dyDescent="0.45">
      <c r="B849" s="445"/>
      <c r="C849" s="369"/>
      <c r="M849" s="434"/>
      <c r="N849" s="390"/>
      <c r="O849" s="434"/>
      <c r="R849" s="416" t="str">
        <f t="shared" si="37"/>
        <v>DELETE</v>
      </c>
    </row>
    <row r="850" spans="2:18" ht="31.5" customHeight="1" x14ac:dyDescent="0.45">
      <c r="B850" s="465"/>
      <c r="C850" s="410"/>
      <c r="D850" s="386"/>
      <c r="E850" s="386"/>
      <c r="F850" s="386"/>
      <c r="G850" s="386"/>
      <c r="H850" s="386"/>
      <c r="I850" s="386"/>
      <c r="J850" s="386"/>
      <c r="K850" s="386"/>
      <c r="L850" s="386"/>
      <c r="M850" s="446"/>
      <c r="N850" s="391"/>
      <c r="O850" s="446"/>
      <c r="P850" s="481"/>
      <c r="Q850" s="387"/>
      <c r="R850" s="416" t="str">
        <f t="shared" si="37"/>
        <v>DELETE</v>
      </c>
    </row>
    <row r="851" spans="2:18" ht="31.5" customHeight="1" x14ac:dyDescent="0.45">
      <c r="B851" s="461"/>
      <c r="C851" s="369"/>
      <c r="M851" s="430">
        <f>Criteria!E22</f>
        <v>2024</v>
      </c>
      <c r="N851" s="379"/>
      <c r="O851" s="430">
        <f>Criteria!E27</f>
        <v>2023</v>
      </c>
      <c r="P851" s="478"/>
      <c r="Q851" s="389"/>
      <c r="R851" s="416" t="str">
        <f t="shared" si="37"/>
        <v>DELETE</v>
      </c>
    </row>
    <row r="852" spans="2:18" ht="31.5" customHeight="1" x14ac:dyDescent="0.45">
      <c r="B852" s="461"/>
      <c r="C852" s="369"/>
      <c r="M852" s="441"/>
      <c r="N852" s="400"/>
      <c r="O852" s="441"/>
      <c r="P852" s="478"/>
      <c r="Q852" s="389"/>
      <c r="R852" s="416" t="str">
        <f t="shared" si="37"/>
        <v>DELETE</v>
      </c>
    </row>
    <row r="853" spans="2:18" ht="31.5" customHeight="1" x14ac:dyDescent="0.45">
      <c r="B853" s="461"/>
      <c r="C853" s="368" t="s">
        <v>1192</v>
      </c>
      <c r="M853" s="441"/>
      <c r="N853" s="400"/>
      <c r="O853" s="441"/>
      <c r="P853" s="478"/>
      <c r="Q853" s="389"/>
      <c r="R853" s="416" t="str">
        <f t="shared" si="37"/>
        <v>DELETE</v>
      </c>
    </row>
    <row r="854" spans="2:18" ht="31.5" customHeight="1" x14ac:dyDescent="0.45">
      <c r="B854" s="461"/>
      <c r="C854" s="369"/>
      <c r="M854" s="441"/>
      <c r="N854" s="400"/>
      <c r="O854" s="441"/>
      <c r="P854" s="478"/>
      <c r="Q854" s="389"/>
      <c r="R854" s="416" t="str">
        <f t="shared" si="37"/>
        <v>DELETE</v>
      </c>
    </row>
    <row r="855" spans="2:18" ht="31.5" customHeight="1" x14ac:dyDescent="0.45">
      <c r="B855" s="461"/>
      <c r="C855" s="369"/>
      <c r="D855" s="368">
        <f>Criteria!C74</f>
        <v>0</v>
      </c>
      <c r="M855" s="441">
        <f>Criteria!F74</f>
        <v>0</v>
      </c>
      <c r="N855" s="400"/>
      <c r="O855" s="441">
        <f>Criteria!G74</f>
        <v>0</v>
      </c>
      <c r="P855" s="478"/>
      <c r="Q855" s="389"/>
      <c r="R855" s="416" t="str">
        <f>IF(M855=0,IF(O855=0,"DELETE"," ")," ")</f>
        <v>DELETE</v>
      </c>
    </row>
    <row r="856" spans="2:18" ht="31.5" customHeight="1" x14ac:dyDescent="0.45">
      <c r="B856" s="461"/>
      <c r="C856" s="369"/>
      <c r="D856" s="368">
        <f>Criteria!C75</f>
        <v>0</v>
      </c>
      <c r="M856" s="441">
        <f>Criteria!F75</f>
        <v>0</v>
      </c>
      <c r="N856" s="400"/>
      <c r="O856" s="441">
        <f>Criteria!G75</f>
        <v>0</v>
      </c>
      <c r="P856" s="478"/>
      <c r="Q856" s="389"/>
      <c r="R856" s="416" t="str">
        <f t="shared" ref="R856:R892" si="38">IF(M856=0,IF(O856=0,"DELETE"," ")," ")</f>
        <v>DELETE</v>
      </c>
    </row>
    <row r="857" spans="2:18" ht="31.5" customHeight="1" x14ac:dyDescent="0.45">
      <c r="B857" s="461"/>
      <c r="C857" s="369"/>
      <c r="D857" s="368">
        <f>Criteria!C76</f>
        <v>0</v>
      </c>
      <c r="M857" s="441">
        <f>Criteria!F76</f>
        <v>0</v>
      </c>
      <c r="N857" s="400"/>
      <c r="O857" s="441">
        <f>Criteria!G76</f>
        <v>0</v>
      </c>
      <c r="P857" s="478"/>
      <c r="Q857" s="389"/>
      <c r="R857" s="416" t="str">
        <f t="shared" si="38"/>
        <v>DELETE</v>
      </c>
    </row>
    <row r="858" spans="2:18" ht="31.5" customHeight="1" x14ac:dyDescent="0.45">
      <c r="B858" s="461"/>
      <c r="C858" s="369"/>
      <c r="D858" s="368">
        <f>Criteria!C77</f>
        <v>0</v>
      </c>
      <c r="M858" s="441">
        <f>Criteria!F77</f>
        <v>0</v>
      </c>
      <c r="N858" s="400"/>
      <c r="O858" s="441">
        <f>Criteria!G77</f>
        <v>0</v>
      </c>
      <c r="P858" s="478"/>
      <c r="Q858" s="389"/>
      <c r="R858" s="416" t="str">
        <f t="shared" si="38"/>
        <v>DELETE</v>
      </c>
    </row>
    <row r="859" spans="2:18" ht="31.5" customHeight="1" x14ac:dyDescent="0.45">
      <c r="B859" s="461"/>
      <c r="C859" s="369"/>
      <c r="D859" s="368">
        <f>Criteria!C78</f>
        <v>0</v>
      </c>
      <c r="M859" s="441">
        <f>Criteria!F78</f>
        <v>0</v>
      </c>
      <c r="N859" s="400"/>
      <c r="O859" s="441">
        <f>Criteria!G78</f>
        <v>0</v>
      </c>
      <c r="P859" s="478"/>
      <c r="Q859" s="389"/>
      <c r="R859" s="416" t="str">
        <f t="shared" si="38"/>
        <v>DELETE</v>
      </c>
    </row>
    <row r="860" spans="2:18" ht="31.5" customHeight="1" x14ac:dyDescent="0.45">
      <c r="B860" s="461"/>
      <c r="C860" s="369"/>
      <c r="D860" s="368">
        <f>Criteria!C79</f>
        <v>0</v>
      </c>
      <c r="M860" s="441">
        <f>Criteria!F79</f>
        <v>0</v>
      </c>
      <c r="N860" s="400"/>
      <c r="O860" s="441">
        <f>Criteria!G79</f>
        <v>0</v>
      </c>
      <c r="P860" s="478"/>
      <c r="Q860" s="389"/>
      <c r="R860" s="416" t="str">
        <f t="shared" si="38"/>
        <v>DELETE</v>
      </c>
    </row>
    <row r="861" spans="2:18" ht="31.5" customHeight="1" x14ac:dyDescent="0.45">
      <c r="B861" s="461"/>
      <c r="C861" s="369"/>
      <c r="D861" s="368">
        <f>Criteria!C80</f>
        <v>0</v>
      </c>
      <c r="M861" s="441">
        <f>Criteria!F80</f>
        <v>0</v>
      </c>
      <c r="N861" s="400"/>
      <c r="O861" s="441">
        <f>Criteria!G80</f>
        <v>0</v>
      </c>
      <c r="P861" s="478"/>
      <c r="Q861" s="389"/>
      <c r="R861" s="416" t="str">
        <f t="shared" si="38"/>
        <v>DELETE</v>
      </c>
    </row>
    <row r="862" spans="2:18" ht="31.5" customHeight="1" x14ac:dyDescent="0.45">
      <c r="B862" s="461"/>
      <c r="C862" s="369"/>
      <c r="D862" s="368">
        <f>Criteria!C81</f>
        <v>0</v>
      </c>
      <c r="M862" s="441">
        <f>Criteria!F81</f>
        <v>0</v>
      </c>
      <c r="N862" s="400"/>
      <c r="O862" s="441">
        <f>Criteria!G81</f>
        <v>0</v>
      </c>
      <c r="P862" s="478"/>
      <c r="Q862" s="389"/>
      <c r="R862" s="416" t="str">
        <f t="shared" si="38"/>
        <v>DELETE</v>
      </c>
    </row>
    <row r="863" spans="2:18" ht="31.5" customHeight="1" x14ac:dyDescent="0.45">
      <c r="B863" s="461"/>
      <c r="C863" s="369"/>
      <c r="D863" s="368">
        <f>Criteria!C82</f>
        <v>0</v>
      </c>
      <c r="M863" s="441">
        <f>Criteria!F82</f>
        <v>0</v>
      </c>
      <c r="N863" s="400"/>
      <c r="O863" s="441">
        <f>Criteria!G82</f>
        <v>0</v>
      </c>
      <c r="P863" s="478"/>
      <c r="Q863" s="389"/>
      <c r="R863" s="416" t="str">
        <f t="shared" si="38"/>
        <v>DELETE</v>
      </c>
    </row>
    <row r="864" spans="2:18" ht="31.5" customHeight="1" x14ac:dyDescent="0.45">
      <c r="B864" s="461"/>
      <c r="C864" s="369"/>
      <c r="D864" s="368">
        <f>Criteria!C83</f>
        <v>0</v>
      </c>
      <c r="M864" s="441">
        <f>Criteria!F83</f>
        <v>0</v>
      </c>
      <c r="N864" s="400"/>
      <c r="O864" s="441">
        <f>Criteria!G83</f>
        <v>0</v>
      </c>
      <c r="P864" s="478"/>
      <c r="Q864" s="389"/>
      <c r="R864" s="416" t="str">
        <f t="shared" si="38"/>
        <v>DELETE</v>
      </c>
    </row>
    <row r="865" spans="2:18" ht="31.5" customHeight="1" x14ac:dyDescent="0.45">
      <c r="B865" s="461"/>
      <c r="C865" s="369"/>
      <c r="D865" s="368">
        <f>Criteria!C84</f>
        <v>0</v>
      </c>
      <c r="M865" s="441">
        <f>Criteria!F84</f>
        <v>0</v>
      </c>
      <c r="N865" s="400"/>
      <c r="O865" s="441">
        <f>Criteria!G84</f>
        <v>0</v>
      </c>
      <c r="P865" s="478"/>
      <c r="Q865" s="389"/>
      <c r="R865" s="416" t="str">
        <f t="shared" si="38"/>
        <v>DELETE</v>
      </c>
    </row>
    <row r="866" spans="2:18" ht="31.5" customHeight="1" x14ac:dyDescent="0.45">
      <c r="B866" s="461"/>
      <c r="C866" s="369"/>
      <c r="D866" s="368">
        <f>Criteria!C85</f>
        <v>0</v>
      </c>
      <c r="M866" s="441">
        <f>Criteria!F85</f>
        <v>0</v>
      </c>
      <c r="N866" s="400"/>
      <c r="O866" s="441">
        <f>Criteria!G85</f>
        <v>0</v>
      </c>
      <c r="P866" s="478"/>
      <c r="Q866" s="389"/>
      <c r="R866" s="416" t="str">
        <f t="shared" si="38"/>
        <v>DELETE</v>
      </c>
    </row>
    <row r="867" spans="2:18" ht="31.5" customHeight="1" x14ac:dyDescent="0.45">
      <c r="B867" s="461"/>
      <c r="C867" s="369"/>
      <c r="D867" s="368">
        <f>Criteria!C86</f>
        <v>0</v>
      </c>
      <c r="M867" s="441">
        <f>Criteria!F86</f>
        <v>0</v>
      </c>
      <c r="N867" s="400"/>
      <c r="O867" s="441">
        <f>Criteria!G86</f>
        <v>0</v>
      </c>
      <c r="P867" s="478"/>
      <c r="Q867" s="389"/>
      <c r="R867" s="416" t="str">
        <f t="shared" si="38"/>
        <v>DELETE</v>
      </c>
    </row>
    <row r="868" spans="2:18" ht="31.5" customHeight="1" x14ac:dyDescent="0.45">
      <c r="B868" s="461"/>
      <c r="C868" s="369"/>
      <c r="D868" s="368">
        <f>Criteria!C87</f>
        <v>0</v>
      </c>
      <c r="M868" s="441">
        <f>Criteria!F87</f>
        <v>0</v>
      </c>
      <c r="N868" s="400"/>
      <c r="O868" s="441">
        <f>Criteria!G87</f>
        <v>0</v>
      </c>
      <c r="P868" s="478"/>
      <c r="Q868" s="389"/>
      <c r="R868" s="416" t="str">
        <f t="shared" si="38"/>
        <v>DELETE</v>
      </c>
    </row>
    <row r="869" spans="2:18" ht="31.5" customHeight="1" x14ac:dyDescent="0.45">
      <c r="B869" s="461"/>
      <c r="C869" s="369"/>
      <c r="D869" s="368">
        <f>Criteria!C88</f>
        <v>0</v>
      </c>
      <c r="M869" s="441">
        <f>Criteria!F88</f>
        <v>0</v>
      </c>
      <c r="N869" s="400"/>
      <c r="O869" s="441">
        <f>Criteria!G88</f>
        <v>0</v>
      </c>
      <c r="P869" s="478"/>
      <c r="Q869" s="389"/>
      <c r="R869" s="416" t="str">
        <f t="shared" si="38"/>
        <v>DELETE</v>
      </c>
    </row>
    <row r="870" spans="2:18" ht="31.5" customHeight="1" x14ac:dyDescent="0.45">
      <c r="B870" s="461"/>
      <c r="C870" s="369"/>
      <c r="D870" s="368">
        <f>Criteria!C89</f>
        <v>0</v>
      </c>
      <c r="M870" s="441">
        <f>Criteria!F89</f>
        <v>0</v>
      </c>
      <c r="N870" s="400"/>
      <c r="O870" s="441">
        <f>Criteria!G89</f>
        <v>0</v>
      </c>
      <c r="P870" s="478"/>
      <c r="Q870" s="389"/>
      <c r="R870" s="416" t="str">
        <f t="shared" si="38"/>
        <v>DELETE</v>
      </c>
    </row>
    <row r="871" spans="2:18" ht="31.5" customHeight="1" x14ac:dyDescent="0.45">
      <c r="B871" s="461"/>
      <c r="C871" s="369"/>
      <c r="D871" s="368">
        <f>Criteria!C90</f>
        <v>0</v>
      </c>
      <c r="M871" s="441">
        <f>Criteria!F90</f>
        <v>0</v>
      </c>
      <c r="N871" s="400"/>
      <c r="O871" s="441">
        <f>Criteria!G90</f>
        <v>0</v>
      </c>
      <c r="P871" s="478"/>
      <c r="Q871" s="389"/>
      <c r="R871" s="416" t="str">
        <f t="shared" si="38"/>
        <v>DELETE</v>
      </c>
    </row>
    <row r="872" spans="2:18" ht="31.5" customHeight="1" x14ac:dyDescent="0.45">
      <c r="B872" s="461"/>
      <c r="C872" s="369"/>
      <c r="D872" s="368">
        <f>Criteria!C91</f>
        <v>0</v>
      </c>
      <c r="M872" s="441">
        <f>Criteria!F91</f>
        <v>0</v>
      </c>
      <c r="N872" s="400"/>
      <c r="O872" s="441">
        <f>Criteria!G91</f>
        <v>0</v>
      </c>
      <c r="P872" s="478"/>
      <c r="Q872" s="389"/>
      <c r="R872" s="416" t="str">
        <f t="shared" si="38"/>
        <v>DELETE</v>
      </c>
    </row>
    <row r="873" spans="2:18" ht="31.5" customHeight="1" x14ac:dyDescent="0.45">
      <c r="B873" s="461"/>
      <c r="C873" s="369"/>
      <c r="D873" s="368">
        <f>Criteria!C92</f>
        <v>0</v>
      </c>
      <c r="M873" s="441">
        <f>Criteria!F92</f>
        <v>0</v>
      </c>
      <c r="N873" s="400"/>
      <c r="O873" s="441">
        <f>Criteria!G92</f>
        <v>0</v>
      </c>
      <c r="P873" s="478"/>
      <c r="Q873" s="389"/>
      <c r="R873" s="416" t="str">
        <f t="shared" si="38"/>
        <v>DELETE</v>
      </c>
    </row>
    <row r="874" spans="2:18" ht="31.5" customHeight="1" x14ac:dyDescent="0.45">
      <c r="B874" s="461"/>
      <c r="C874" s="369"/>
      <c r="D874" s="368">
        <f>Criteria!C93</f>
        <v>0</v>
      </c>
      <c r="M874" s="441">
        <f>Criteria!F93</f>
        <v>0</v>
      </c>
      <c r="N874" s="400"/>
      <c r="O874" s="441">
        <f>Criteria!G93</f>
        <v>0</v>
      </c>
      <c r="P874" s="478"/>
      <c r="Q874" s="389"/>
      <c r="R874" s="416" t="str">
        <f t="shared" si="38"/>
        <v>DELETE</v>
      </c>
    </row>
    <row r="875" spans="2:18" ht="31.5" customHeight="1" x14ac:dyDescent="0.45">
      <c r="B875" s="461"/>
      <c r="C875" s="369"/>
      <c r="D875" s="368">
        <f>Criteria!C94</f>
        <v>0</v>
      </c>
      <c r="M875" s="441">
        <f>Criteria!F94</f>
        <v>0</v>
      </c>
      <c r="N875" s="400"/>
      <c r="O875" s="441">
        <f>Criteria!G94</f>
        <v>0</v>
      </c>
      <c r="P875" s="478"/>
      <c r="Q875" s="389"/>
      <c r="R875" s="416" t="str">
        <f t="shared" si="38"/>
        <v>DELETE</v>
      </c>
    </row>
    <row r="876" spans="2:18" ht="31.5" customHeight="1" x14ac:dyDescent="0.45">
      <c r="B876" s="461"/>
      <c r="C876" s="369"/>
      <c r="D876" s="368">
        <f>Criteria!C95</f>
        <v>0</v>
      </c>
      <c r="M876" s="441">
        <f>Criteria!F95</f>
        <v>0</v>
      </c>
      <c r="N876" s="400"/>
      <c r="O876" s="441">
        <f>Criteria!G95</f>
        <v>0</v>
      </c>
      <c r="P876" s="478"/>
      <c r="Q876" s="389"/>
      <c r="R876" s="416" t="str">
        <f t="shared" si="38"/>
        <v>DELETE</v>
      </c>
    </row>
    <row r="877" spans="2:18" ht="31.5" customHeight="1" x14ac:dyDescent="0.45">
      <c r="B877" s="461"/>
      <c r="C877" s="369"/>
      <c r="D877" s="368">
        <f>Criteria!C96</f>
        <v>0</v>
      </c>
      <c r="M877" s="441">
        <f>Criteria!F96</f>
        <v>0</v>
      </c>
      <c r="N877" s="400"/>
      <c r="O877" s="441">
        <f>Criteria!G96</f>
        <v>0</v>
      </c>
      <c r="P877" s="478"/>
      <c r="Q877" s="389"/>
      <c r="R877" s="416" t="str">
        <f t="shared" si="38"/>
        <v>DELETE</v>
      </c>
    </row>
    <row r="878" spans="2:18" ht="31.5" customHeight="1" x14ac:dyDescent="0.45">
      <c r="B878" s="461"/>
      <c r="C878" s="369"/>
      <c r="D878" s="368">
        <f>Criteria!C97</f>
        <v>0</v>
      </c>
      <c r="M878" s="441">
        <f>Criteria!F97</f>
        <v>0</v>
      </c>
      <c r="N878" s="400"/>
      <c r="O878" s="441">
        <f>Criteria!G97</f>
        <v>0</v>
      </c>
      <c r="P878" s="478"/>
      <c r="Q878" s="389"/>
      <c r="R878" s="416" t="str">
        <f t="shared" si="38"/>
        <v>DELETE</v>
      </c>
    </row>
    <row r="879" spans="2:18" ht="31.5" customHeight="1" x14ac:dyDescent="0.45">
      <c r="B879" s="461"/>
      <c r="C879" s="369"/>
      <c r="D879" s="368">
        <f>Criteria!C98</f>
        <v>0</v>
      </c>
      <c r="M879" s="441">
        <f>Criteria!F98</f>
        <v>0</v>
      </c>
      <c r="N879" s="400"/>
      <c r="O879" s="441">
        <f>Criteria!G98</f>
        <v>0</v>
      </c>
      <c r="P879" s="478"/>
      <c r="Q879" s="389"/>
      <c r="R879" s="416" t="str">
        <f t="shared" si="38"/>
        <v>DELETE</v>
      </c>
    </row>
    <row r="880" spans="2:18" ht="31.5" customHeight="1" x14ac:dyDescent="0.45">
      <c r="B880" s="461"/>
      <c r="C880" s="369"/>
      <c r="D880" s="368">
        <f>Criteria!C99</f>
        <v>0</v>
      </c>
      <c r="M880" s="441">
        <f>Criteria!F99</f>
        <v>0</v>
      </c>
      <c r="N880" s="400"/>
      <c r="O880" s="441">
        <f>Criteria!G99</f>
        <v>0</v>
      </c>
      <c r="P880" s="478"/>
      <c r="Q880" s="389"/>
      <c r="R880" s="416" t="str">
        <f t="shared" si="38"/>
        <v>DELETE</v>
      </c>
    </row>
    <row r="881" spans="2:24" ht="31.5" customHeight="1" x14ac:dyDescent="0.45">
      <c r="B881" s="461"/>
      <c r="C881" s="369"/>
      <c r="D881" s="368">
        <f>Criteria!C100</f>
        <v>0</v>
      </c>
      <c r="M881" s="441">
        <f>Criteria!F100</f>
        <v>0</v>
      </c>
      <c r="N881" s="400"/>
      <c r="O881" s="441">
        <f>Criteria!G100</f>
        <v>0</v>
      </c>
      <c r="P881" s="478"/>
      <c r="Q881" s="389"/>
      <c r="R881" s="416" t="str">
        <f t="shared" si="38"/>
        <v>DELETE</v>
      </c>
    </row>
    <row r="882" spans="2:24" ht="31.5" customHeight="1" x14ac:dyDescent="0.45">
      <c r="B882" s="461"/>
      <c r="C882" s="369"/>
      <c r="D882" s="368">
        <f>Criteria!C101</f>
        <v>0</v>
      </c>
      <c r="M882" s="441">
        <f>Criteria!F101</f>
        <v>0</v>
      </c>
      <c r="N882" s="400"/>
      <c r="O882" s="441">
        <f>Criteria!G101</f>
        <v>0</v>
      </c>
      <c r="P882" s="478"/>
      <c r="Q882" s="389"/>
      <c r="R882" s="416" t="str">
        <f t="shared" si="38"/>
        <v>DELETE</v>
      </c>
    </row>
    <row r="883" spans="2:24" ht="31.5" customHeight="1" x14ac:dyDescent="0.45">
      <c r="B883" s="461"/>
      <c r="C883" s="369"/>
      <c r="D883" s="368">
        <f>Criteria!C102</f>
        <v>0</v>
      </c>
      <c r="M883" s="441">
        <f>Criteria!F102</f>
        <v>0</v>
      </c>
      <c r="N883" s="400"/>
      <c r="O883" s="441">
        <f>Criteria!G102</f>
        <v>0</v>
      </c>
      <c r="P883" s="478"/>
      <c r="Q883" s="389"/>
      <c r="R883" s="416" t="str">
        <f t="shared" si="38"/>
        <v>DELETE</v>
      </c>
    </row>
    <row r="884" spans="2:24" ht="31.5" customHeight="1" x14ac:dyDescent="0.45">
      <c r="B884" s="461"/>
      <c r="C884" s="369"/>
      <c r="D884" s="368">
        <f>Criteria!C103</f>
        <v>0</v>
      </c>
      <c r="M884" s="441">
        <f>Criteria!F103</f>
        <v>0</v>
      </c>
      <c r="N884" s="400"/>
      <c r="O884" s="441">
        <f>Criteria!G103</f>
        <v>0</v>
      </c>
      <c r="P884" s="478"/>
      <c r="Q884" s="389"/>
      <c r="R884" s="416" t="str">
        <f t="shared" si="38"/>
        <v>DELETE</v>
      </c>
    </row>
    <row r="885" spans="2:24" ht="31.5" customHeight="1" x14ac:dyDescent="0.45">
      <c r="B885" s="461"/>
      <c r="C885" s="369"/>
      <c r="D885" s="368">
        <f>Criteria!C104</f>
        <v>0</v>
      </c>
      <c r="M885" s="441">
        <f>Criteria!F104</f>
        <v>0</v>
      </c>
      <c r="N885" s="400"/>
      <c r="O885" s="441">
        <f>Criteria!G104</f>
        <v>0</v>
      </c>
      <c r="P885" s="478"/>
      <c r="Q885" s="389"/>
      <c r="R885" s="416" t="str">
        <f t="shared" si="38"/>
        <v>DELETE</v>
      </c>
    </row>
    <row r="886" spans="2:24" ht="31.5" customHeight="1" x14ac:dyDescent="0.45">
      <c r="B886" s="461"/>
      <c r="C886" s="369"/>
      <c r="D886" s="368">
        <f>Criteria!C105</f>
        <v>0</v>
      </c>
      <c r="M886" s="441">
        <f>Criteria!F105</f>
        <v>0</v>
      </c>
      <c r="N886" s="400"/>
      <c r="O886" s="441">
        <f>Criteria!G105</f>
        <v>0</v>
      </c>
      <c r="P886" s="478"/>
      <c r="Q886" s="389"/>
      <c r="R886" s="416" t="str">
        <f t="shared" si="38"/>
        <v>DELETE</v>
      </c>
    </row>
    <row r="887" spans="2:24" ht="31.5" customHeight="1" x14ac:dyDescent="0.45">
      <c r="B887" s="461"/>
      <c r="C887" s="369"/>
      <c r="D887" s="368">
        <f>Criteria!C106</f>
        <v>0</v>
      </c>
      <c r="M887" s="441">
        <f>Criteria!F106</f>
        <v>0</v>
      </c>
      <c r="N887" s="400"/>
      <c r="O887" s="441">
        <f>Criteria!G106</f>
        <v>0</v>
      </c>
      <c r="P887" s="478"/>
      <c r="Q887" s="389"/>
      <c r="R887" s="416" t="str">
        <f t="shared" si="38"/>
        <v>DELETE</v>
      </c>
    </row>
    <row r="888" spans="2:24" ht="31.5" customHeight="1" x14ac:dyDescent="0.45">
      <c r="B888" s="461"/>
      <c r="C888" s="369"/>
      <c r="D888" s="368">
        <f>Criteria!C107</f>
        <v>0</v>
      </c>
      <c r="M888" s="441">
        <f>Criteria!F107</f>
        <v>0</v>
      </c>
      <c r="N888" s="400"/>
      <c r="O888" s="441">
        <f>Criteria!G107</f>
        <v>0</v>
      </c>
      <c r="P888" s="478"/>
      <c r="Q888" s="389"/>
      <c r="R888" s="416" t="str">
        <f t="shared" si="38"/>
        <v>DELETE</v>
      </c>
    </row>
    <row r="889" spans="2:24" ht="31.5" customHeight="1" x14ac:dyDescent="0.45">
      <c r="B889" s="461"/>
      <c r="C889" s="369"/>
      <c r="D889" s="368">
        <f>Criteria!C108</f>
        <v>0</v>
      </c>
      <c r="M889" s="441">
        <f>Criteria!F108</f>
        <v>0</v>
      </c>
      <c r="N889" s="400"/>
      <c r="O889" s="441">
        <f>Criteria!G108</f>
        <v>0</v>
      </c>
      <c r="P889" s="478"/>
      <c r="Q889" s="389"/>
      <c r="R889" s="416" t="str">
        <f t="shared" si="38"/>
        <v>DELETE</v>
      </c>
    </row>
    <row r="890" spans="2:24" ht="31.5" customHeight="1" x14ac:dyDescent="0.45">
      <c r="B890" s="461"/>
      <c r="C890" s="369"/>
      <c r="D890" s="368">
        <f>Criteria!C109</f>
        <v>0</v>
      </c>
      <c r="M890" s="441">
        <f>Criteria!F109</f>
        <v>0</v>
      </c>
      <c r="N890" s="400"/>
      <c r="O890" s="441">
        <f>Criteria!G109</f>
        <v>0</v>
      </c>
      <c r="P890" s="478"/>
      <c r="Q890" s="389"/>
      <c r="R890" s="416" t="str">
        <f t="shared" si="38"/>
        <v>DELETE</v>
      </c>
    </row>
    <row r="891" spans="2:24" ht="31.5" customHeight="1" x14ac:dyDescent="0.45">
      <c r="B891" s="461"/>
      <c r="C891" s="369"/>
      <c r="D891" s="368">
        <f>Criteria!C110</f>
        <v>0</v>
      </c>
      <c r="M891" s="441">
        <f>Criteria!F110</f>
        <v>0</v>
      </c>
      <c r="N891" s="400"/>
      <c r="O891" s="441">
        <f>Criteria!G110</f>
        <v>0</v>
      </c>
      <c r="P891" s="478"/>
      <c r="Q891" s="389"/>
      <c r="R891" s="416" t="str">
        <f t="shared" si="38"/>
        <v>DELETE</v>
      </c>
    </row>
    <row r="892" spans="2:24" ht="31.5" customHeight="1" x14ac:dyDescent="0.45">
      <c r="B892" s="461"/>
      <c r="C892" s="369"/>
      <c r="D892" s="368">
        <f>Criteria!C111</f>
        <v>0</v>
      </c>
      <c r="M892" s="441">
        <f>Criteria!F111</f>
        <v>0</v>
      </c>
      <c r="N892" s="400"/>
      <c r="O892" s="441">
        <f>Criteria!G111</f>
        <v>0</v>
      </c>
      <c r="P892" s="478"/>
      <c r="Q892" s="389"/>
      <c r="R892" s="416" t="str">
        <f t="shared" si="38"/>
        <v>DELETE</v>
      </c>
    </row>
    <row r="893" spans="2:24" ht="9" customHeight="1" x14ac:dyDescent="0.45">
      <c r="B893" s="461"/>
      <c r="C893" s="369"/>
      <c r="M893" s="438"/>
      <c r="N893" s="392"/>
      <c r="O893" s="438"/>
      <c r="P893" s="478"/>
      <c r="Q893" s="389"/>
      <c r="R893" s="416" t="str">
        <f>R$895</f>
        <v>DELETE</v>
      </c>
    </row>
    <row r="894" spans="2:24" ht="9" customHeight="1" x14ac:dyDescent="0.45">
      <c r="B894" s="461"/>
      <c r="C894" s="369"/>
      <c r="M894" s="441"/>
      <c r="N894" s="400"/>
      <c r="O894" s="441"/>
      <c r="P894" s="478"/>
      <c r="Q894" s="389"/>
      <c r="R894" s="416" t="str">
        <f>R$895</f>
        <v>DELETE</v>
      </c>
    </row>
    <row r="895" spans="2:24" ht="31.5" customHeight="1" x14ac:dyDescent="0.45">
      <c r="B895" s="461"/>
      <c r="C895" s="369"/>
      <c r="M895" s="441">
        <f>SUM(M855:M893)</f>
        <v>0</v>
      </c>
      <c r="N895" s="400"/>
      <c r="O895" s="441">
        <f>SUM(O855:O893)</f>
        <v>0</v>
      </c>
      <c r="P895" s="478"/>
      <c r="Q895" s="389"/>
      <c r="R895" s="416" t="str">
        <f t="shared" ref="R895" si="39">IF(M895=0,IF(O895=0,"DELETE"," ")," ")</f>
        <v>DELETE</v>
      </c>
      <c r="V895" s="417" t="b">
        <f>M895=SUM(M832:M833)</f>
        <v>1</v>
      </c>
      <c r="X895" s="417" t="b">
        <f>O895=SUM(O832:O833)</f>
        <v>1</v>
      </c>
    </row>
    <row r="896" spans="2:24" ht="9" customHeight="1" thickBot="1" x14ac:dyDescent="0.5">
      <c r="B896" s="461"/>
      <c r="C896" s="369"/>
      <c r="M896" s="439"/>
      <c r="N896" s="393"/>
      <c r="O896" s="439"/>
      <c r="P896" s="478"/>
      <c r="Q896" s="389"/>
      <c r="R896" s="416" t="str">
        <f t="shared" ref="R896:R900" si="40">R$895</f>
        <v>DELETE</v>
      </c>
    </row>
    <row r="897" spans="2:18" ht="9" customHeight="1" thickTop="1" x14ac:dyDescent="0.45">
      <c r="B897" s="461"/>
      <c r="C897" s="369"/>
      <c r="M897" s="441"/>
      <c r="N897" s="400"/>
      <c r="O897" s="441"/>
      <c r="P897" s="478"/>
      <c r="Q897" s="389"/>
      <c r="R897" s="416" t="str">
        <f t="shared" si="40"/>
        <v>DELETE</v>
      </c>
    </row>
    <row r="898" spans="2:18" ht="31.5" customHeight="1" x14ac:dyDescent="0.45">
      <c r="B898" s="461"/>
      <c r="C898" s="369"/>
      <c r="M898" s="441"/>
      <c r="N898" s="400"/>
      <c r="O898" s="441"/>
      <c r="P898" s="478"/>
      <c r="Q898" s="389"/>
      <c r="R898" s="416" t="str">
        <f t="shared" si="40"/>
        <v>DELETE</v>
      </c>
    </row>
    <row r="899" spans="2:18" ht="31.5" customHeight="1" x14ac:dyDescent="0.45">
      <c r="B899" s="462"/>
      <c r="C899" s="407"/>
      <c r="D899" s="383"/>
      <c r="E899" s="383"/>
      <c r="F899" s="383"/>
      <c r="G899" s="383"/>
      <c r="H899" s="383"/>
      <c r="I899" s="383"/>
      <c r="J899" s="383"/>
      <c r="K899" s="383"/>
      <c r="L899" s="383"/>
      <c r="M899" s="438"/>
      <c r="N899" s="392"/>
      <c r="O899" s="438"/>
      <c r="P899" s="475"/>
      <c r="Q899" s="398"/>
      <c r="R899" s="416" t="str">
        <f t="shared" si="40"/>
        <v>DELETE</v>
      </c>
    </row>
    <row r="900" spans="2:18" ht="31.5" customHeight="1" x14ac:dyDescent="0.45">
      <c r="B900" s="445"/>
      <c r="C900" s="369"/>
      <c r="M900" s="434"/>
      <c r="N900" s="390"/>
      <c r="O900" s="434"/>
      <c r="R900" s="416" t="str">
        <f t="shared" si="40"/>
        <v>DELETE</v>
      </c>
    </row>
    <row r="901" spans="2:18" ht="31.5" customHeight="1" x14ac:dyDescent="0.45">
      <c r="D901" s="369"/>
      <c r="R901" s="416" t="str">
        <f t="shared" ref="R901:R908" si="41">R$909</f>
        <v>DELETE</v>
      </c>
    </row>
    <row r="902" spans="2:18" ht="31.5" customHeight="1" x14ac:dyDescent="0.45">
      <c r="D902" s="369" t="str">
        <f>Criteria!E9</f>
        <v>ABC TRUST</v>
      </c>
      <c r="O902" s="433" t="s">
        <v>105</v>
      </c>
      <c r="Q902" s="370">
        <f>MAX($Q$114:Q901)+1</f>
        <v>16</v>
      </c>
      <c r="R902" s="416" t="str">
        <f t="shared" si="41"/>
        <v>DELETE</v>
      </c>
    </row>
    <row r="903" spans="2:18" ht="31.5" customHeight="1" x14ac:dyDescent="0.45">
      <c r="D903" s="369" t="str">
        <f>Criteria!E10</f>
        <v>T/A RENTAL PROPERTIES, SEAFRONT RESTAURANT AND SURF SHOP</v>
      </c>
      <c r="R903" s="416" t="str">
        <f>IF(R$909="DELETE","DELETE",IF(D903=0,"DELETE"," "))</f>
        <v>DELETE</v>
      </c>
    </row>
    <row r="904" spans="2:18" ht="31.5" customHeight="1" x14ac:dyDescent="0.45">
      <c r="R904" s="416" t="str">
        <f t="shared" si="41"/>
        <v>DELETE</v>
      </c>
    </row>
    <row r="905" spans="2:18" ht="31.5" customHeight="1" x14ac:dyDescent="0.45">
      <c r="D905" s="369" t="s">
        <v>383</v>
      </c>
      <c r="R905" s="416" t="str">
        <f t="shared" si="41"/>
        <v>DELETE</v>
      </c>
    </row>
    <row r="906" spans="2:18" ht="31.5" customHeight="1" x14ac:dyDescent="0.45">
      <c r="D906" s="369" t="str">
        <f>Criteria!E20</f>
        <v>29 FEBRUARY 2024</v>
      </c>
      <c r="J906" s="368" t="s">
        <v>253</v>
      </c>
      <c r="R906" s="416" t="str">
        <f t="shared" si="41"/>
        <v>DELETE</v>
      </c>
    </row>
    <row r="907" spans="2:18" ht="31.5" customHeight="1" x14ac:dyDescent="0.45">
      <c r="D907" s="369"/>
      <c r="R907" s="416" t="str">
        <f t="shared" si="41"/>
        <v>DELETE</v>
      </c>
    </row>
    <row r="908" spans="2:18" ht="31.5" customHeight="1" x14ac:dyDescent="0.45">
      <c r="B908" s="385"/>
      <c r="C908" s="386"/>
      <c r="D908" s="386"/>
      <c r="E908" s="386"/>
      <c r="F908" s="386"/>
      <c r="G908" s="386"/>
      <c r="H908" s="386"/>
      <c r="I908" s="386"/>
      <c r="J908" s="386"/>
      <c r="K908" s="386"/>
      <c r="L908" s="386"/>
      <c r="M908" s="480"/>
      <c r="N908" s="481"/>
      <c r="O908" s="480"/>
      <c r="P908" s="481"/>
      <c r="Q908" s="387"/>
      <c r="R908" s="416" t="str">
        <f t="shared" si="41"/>
        <v>DELETE</v>
      </c>
    </row>
    <row r="909" spans="2:18" ht="31.5" customHeight="1" x14ac:dyDescent="0.45">
      <c r="B909" s="461">
        <f>MAX($B$431:B908)+1</f>
        <v>9</v>
      </c>
      <c r="C909" s="369" t="s">
        <v>182</v>
      </c>
      <c r="Q909" s="389"/>
      <c r="R909" s="416" t="str">
        <f>IF(O916+O920+O938+O942+O960&gt;0," ","DELETE")</f>
        <v>DELETE</v>
      </c>
    </row>
    <row r="910" spans="2:18" ht="31.5" customHeight="1" x14ac:dyDescent="0.45">
      <c r="B910" s="461"/>
      <c r="G910" s="468"/>
      <c r="H910" s="380"/>
      <c r="I910" s="380"/>
      <c r="J910" s="380" t="s">
        <v>938</v>
      </c>
      <c r="K910" s="380"/>
      <c r="L910" s="380"/>
      <c r="M910" s="433" t="s">
        <v>939</v>
      </c>
      <c r="N910" s="380"/>
      <c r="O910" s="433" t="s">
        <v>388</v>
      </c>
      <c r="P910" s="380"/>
      <c r="Q910" s="389"/>
      <c r="R910" s="416" t="str">
        <f t="shared" ref="R910:R941" si="42">R$909</f>
        <v>DELETE</v>
      </c>
    </row>
    <row r="911" spans="2:18" ht="31.5" customHeight="1" x14ac:dyDescent="0.45">
      <c r="B911" s="461"/>
      <c r="G911" s="468"/>
      <c r="H911" s="380" t="s">
        <v>386</v>
      </c>
      <c r="I911" s="380"/>
      <c r="J911" s="380" t="s">
        <v>1041</v>
      </c>
      <c r="K911" s="380" t="s">
        <v>807</v>
      </c>
      <c r="L911" s="380"/>
      <c r="M911" s="433" t="s">
        <v>940</v>
      </c>
      <c r="N911" s="380"/>
      <c r="O911" s="433"/>
      <c r="P911" s="380"/>
      <c r="Q911" s="389"/>
      <c r="R911" s="416" t="str">
        <f t="shared" si="42"/>
        <v>DELETE</v>
      </c>
    </row>
    <row r="912" spans="2:18" ht="31.5" customHeight="1" x14ac:dyDescent="0.45">
      <c r="B912" s="461"/>
      <c r="G912" s="468"/>
      <c r="H912" s="380" t="s">
        <v>524</v>
      </c>
      <c r="I912" s="380"/>
      <c r="J912" s="380" t="s">
        <v>1040</v>
      </c>
      <c r="K912" s="380" t="s">
        <v>524</v>
      </c>
      <c r="L912" s="380"/>
      <c r="M912" s="433" t="s">
        <v>941</v>
      </c>
      <c r="N912" s="380"/>
      <c r="O912" s="433"/>
      <c r="P912" s="380"/>
      <c r="Q912" s="389"/>
      <c r="R912" s="416" t="str">
        <f t="shared" si="42"/>
        <v>DELETE</v>
      </c>
    </row>
    <row r="913" spans="2:24" ht="31.5" customHeight="1" x14ac:dyDescent="0.45">
      <c r="B913" s="461"/>
      <c r="D913" s="277" t="s">
        <v>205</v>
      </c>
      <c r="G913" s="486">
        <f>Criteria!G22</f>
        <v>44620</v>
      </c>
      <c r="H913" s="263">
        <f>H916-H917</f>
        <v>0</v>
      </c>
      <c r="I913" s="263"/>
      <c r="J913" s="263">
        <f>J916-J917</f>
        <v>0</v>
      </c>
      <c r="K913" s="263">
        <f>K916-K917</f>
        <v>0</v>
      </c>
      <c r="L913" s="263"/>
      <c r="M913" s="263">
        <f>M916-M917</f>
        <v>0</v>
      </c>
      <c r="N913" s="263"/>
      <c r="O913" s="263">
        <f>O916-O917</f>
        <v>0</v>
      </c>
      <c r="P913" s="380"/>
      <c r="Q913" s="389"/>
      <c r="R913" s="416" t="str">
        <f t="shared" si="42"/>
        <v>DELETE</v>
      </c>
      <c r="X913" s="417" t="b">
        <f>O913=SUM(H913:N913)</f>
        <v>1</v>
      </c>
    </row>
    <row r="914" spans="2:24" ht="9" customHeight="1" x14ac:dyDescent="0.45">
      <c r="B914" s="461"/>
      <c r="D914" s="277"/>
      <c r="G914" s="487"/>
      <c r="H914" s="263"/>
      <c r="I914" s="263"/>
      <c r="J914" s="263"/>
      <c r="K914" s="263"/>
      <c r="L914" s="263"/>
      <c r="M914" s="263"/>
      <c r="N914" s="263"/>
      <c r="O914" s="263"/>
      <c r="P914" s="380"/>
      <c r="Q914" s="389"/>
      <c r="R914" s="416" t="str">
        <f t="shared" si="42"/>
        <v>DELETE</v>
      </c>
    </row>
    <row r="915" spans="2:24" ht="9" customHeight="1" x14ac:dyDescent="0.45">
      <c r="B915" s="461"/>
      <c r="D915" s="277"/>
      <c r="G915" s="487"/>
      <c r="H915" s="279"/>
      <c r="I915" s="264"/>
      <c r="J915" s="264"/>
      <c r="K915" s="264"/>
      <c r="L915" s="264"/>
      <c r="M915" s="264"/>
      <c r="N915" s="264"/>
      <c r="O915" s="283"/>
      <c r="P915" s="380"/>
      <c r="Q915" s="389"/>
      <c r="R915" s="416" t="str">
        <f t="shared" si="42"/>
        <v>DELETE</v>
      </c>
    </row>
    <row r="916" spans="2:24" ht="31.5" customHeight="1" x14ac:dyDescent="0.45">
      <c r="B916" s="461"/>
      <c r="D916" s="277" t="s">
        <v>389</v>
      </c>
      <c r="G916" s="468"/>
      <c r="H916" s="280">
        <f>TrialBalance!N240</f>
        <v>0</v>
      </c>
      <c r="I916" s="263"/>
      <c r="J916" s="263">
        <f>TrialBalance!N248</f>
        <v>0</v>
      </c>
      <c r="K916" s="263">
        <f>TrialBalance!N256</f>
        <v>0</v>
      </c>
      <c r="L916" s="263"/>
      <c r="M916" s="263">
        <f>TrialBalance!N264</f>
        <v>0</v>
      </c>
      <c r="N916" s="263"/>
      <c r="O916" s="284">
        <f>SUM(H916:M916)</f>
        <v>0</v>
      </c>
      <c r="P916" s="380"/>
      <c r="Q916" s="389"/>
      <c r="R916" s="416" t="str">
        <f t="shared" si="42"/>
        <v>DELETE</v>
      </c>
    </row>
    <row r="917" spans="2:24" ht="31.5" customHeight="1" x14ac:dyDescent="0.45">
      <c r="B917" s="461"/>
      <c r="D917" s="277" t="s">
        <v>526</v>
      </c>
      <c r="G917" s="468"/>
      <c r="H917" s="280">
        <f>-TrialBalance!N244</f>
        <v>0</v>
      </c>
      <c r="I917" s="263"/>
      <c r="J917" s="263">
        <f>-TrialBalance!N252</f>
        <v>0</v>
      </c>
      <c r="K917" s="263">
        <f>-TrialBalance!N260</f>
        <v>0</v>
      </c>
      <c r="L917" s="263"/>
      <c r="M917" s="263">
        <f>-TrialBalance!N268</f>
        <v>0</v>
      </c>
      <c r="N917" s="263"/>
      <c r="O917" s="284">
        <f>SUM(H917:M917)</f>
        <v>0</v>
      </c>
      <c r="P917" s="380"/>
      <c r="Q917" s="389"/>
      <c r="R917" s="416" t="str">
        <f t="shared" si="42"/>
        <v>DELETE</v>
      </c>
    </row>
    <row r="918" spans="2:24" ht="9" customHeight="1" x14ac:dyDescent="0.45">
      <c r="B918" s="461"/>
      <c r="D918" s="277"/>
      <c r="G918" s="468"/>
      <c r="H918" s="281"/>
      <c r="I918" s="276"/>
      <c r="J918" s="276"/>
      <c r="K918" s="276"/>
      <c r="L918" s="276"/>
      <c r="M918" s="276"/>
      <c r="N918" s="276"/>
      <c r="O918" s="285"/>
      <c r="P918" s="380"/>
      <c r="Q918" s="389"/>
      <c r="R918" s="416" t="str">
        <f t="shared" si="42"/>
        <v>DELETE</v>
      </c>
    </row>
    <row r="919" spans="2:24" ht="9" customHeight="1" x14ac:dyDescent="0.45">
      <c r="B919" s="461"/>
      <c r="D919" s="277"/>
      <c r="G919" s="468"/>
      <c r="H919" s="263"/>
      <c r="I919" s="263"/>
      <c r="J919" s="263"/>
      <c r="K919" s="263"/>
      <c r="L919" s="263"/>
      <c r="M919" s="263"/>
      <c r="N919" s="263"/>
      <c r="O919" s="263"/>
      <c r="P919" s="380"/>
      <c r="Q919" s="389"/>
      <c r="R919" s="416" t="str">
        <f t="shared" si="42"/>
        <v>DELETE</v>
      </c>
    </row>
    <row r="920" spans="2:24" ht="31.5" customHeight="1" x14ac:dyDescent="0.45">
      <c r="B920" s="461"/>
      <c r="D920" s="277" t="s">
        <v>390</v>
      </c>
      <c r="G920" s="468"/>
      <c r="H920" s="263">
        <f>TrialBalance!N241</f>
        <v>0</v>
      </c>
      <c r="I920" s="263"/>
      <c r="J920" s="263">
        <f>TrialBalance!N249</f>
        <v>0</v>
      </c>
      <c r="K920" s="263">
        <f>TrialBalance!N257</f>
        <v>0</v>
      </c>
      <c r="L920" s="263"/>
      <c r="M920" s="263">
        <f>+TrialBalance!N265</f>
        <v>0</v>
      </c>
      <c r="N920" s="263"/>
      <c r="O920" s="263">
        <f>SUM(H920:M920)</f>
        <v>0</v>
      </c>
      <c r="P920" s="380"/>
      <c r="Q920" s="389"/>
      <c r="R920" s="416" t="str">
        <f t="shared" si="42"/>
        <v>DELETE</v>
      </c>
    </row>
    <row r="921" spans="2:24" ht="9" customHeight="1" x14ac:dyDescent="0.45">
      <c r="B921" s="461"/>
      <c r="D921" s="277"/>
      <c r="G921" s="468"/>
      <c r="H921" s="276"/>
      <c r="I921" s="276"/>
      <c r="J921" s="276"/>
      <c r="K921" s="276"/>
      <c r="L921" s="276"/>
      <c r="M921" s="276"/>
      <c r="N921" s="276"/>
      <c r="O921" s="276"/>
      <c r="P921" s="380"/>
      <c r="Q921" s="389"/>
      <c r="R921" s="416" t="str">
        <f t="shared" si="42"/>
        <v>DELETE</v>
      </c>
    </row>
    <row r="922" spans="2:24" ht="9" customHeight="1" x14ac:dyDescent="0.45">
      <c r="B922" s="461"/>
      <c r="D922" s="277"/>
      <c r="G922" s="468"/>
      <c r="H922" s="263"/>
      <c r="I922" s="263"/>
      <c r="J922" s="263"/>
      <c r="K922" s="263"/>
      <c r="L922" s="263"/>
      <c r="M922" s="263"/>
      <c r="N922" s="263"/>
      <c r="O922" s="263"/>
      <c r="P922" s="380"/>
      <c r="Q922" s="389"/>
      <c r="R922" s="416" t="str">
        <f t="shared" si="42"/>
        <v>DELETE</v>
      </c>
    </row>
    <row r="923" spans="2:24" ht="31.5" customHeight="1" x14ac:dyDescent="0.45">
      <c r="B923" s="461"/>
      <c r="D923" s="277"/>
      <c r="G923" s="468"/>
      <c r="H923" s="263">
        <f>H913+H920</f>
        <v>0</v>
      </c>
      <c r="I923" s="263"/>
      <c r="J923" s="263">
        <f>J913+J920</f>
        <v>0</v>
      </c>
      <c r="K923" s="263">
        <f>K913+K920</f>
        <v>0</v>
      </c>
      <c r="L923" s="263"/>
      <c r="M923" s="263">
        <f>M913+M920</f>
        <v>0</v>
      </c>
      <c r="N923" s="263"/>
      <c r="O923" s="263">
        <f>O913+O920</f>
        <v>0</v>
      </c>
      <c r="P923" s="380"/>
      <c r="Q923" s="389"/>
      <c r="R923" s="416" t="str">
        <f t="shared" si="42"/>
        <v>DELETE</v>
      </c>
    </row>
    <row r="924" spans="2:24" ht="31.5" customHeight="1" x14ac:dyDescent="0.45">
      <c r="B924" s="461"/>
      <c r="D924" s="277" t="s">
        <v>170</v>
      </c>
      <c r="G924" s="468"/>
      <c r="H924" s="263">
        <f>H927-H928</f>
        <v>0</v>
      </c>
      <c r="I924" s="263"/>
      <c r="J924" s="263">
        <f>J927-J928</f>
        <v>0</v>
      </c>
      <c r="K924" s="263">
        <f>K927-K928</f>
        <v>0</v>
      </c>
      <c r="L924" s="263"/>
      <c r="M924" s="263">
        <f>M927-M928</f>
        <v>0</v>
      </c>
      <c r="N924" s="263"/>
      <c r="O924" s="263">
        <f>O927-O928</f>
        <v>0</v>
      </c>
      <c r="P924" s="380"/>
      <c r="Q924" s="389"/>
      <c r="R924" s="416" t="str">
        <f t="shared" si="42"/>
        <v>DELETE</v>
      </c>
    </row>
    <row r="925" spans="2:24" ht="9" customHeight="1" x14ac:dyDescent="0.45">
      <c r="B925" s="461"/>
      <c r="D925" s="277"/>
      <c r="G925" s="468"/>
      <c r="H925" s="263"/>
      <c r="I925" s="263"/>
      <c r="J925" s="263"/>
      <c r="K925" s="263"/>
      <c r="L925" s="263"/>
      <c r="M925" s="263"/>
      <c r="N925" s="263"/>
      <c r="O925" s="263"/>
      <c r="P925" s="380"/>
      <c r="Q925" s="389"/>
      <c r="R925" s="416" t="str">
        <f t="shared" si="42"/>
        <v>DELETE</v>
      </c>
    </row>
    <row r="926" spans="2:24" ht="9" customHeight="1" x14ac:dyDescent="0.45">
      <c r="B926" s="461"/>
      <c r="D926" s="277"/>
      <c r="G926" s="468"/>
      <c r="H926" s="279"/>
      <c r="I926" s="264"/>
      <c r="J926" s="264"/>
      <c r="K926" s="264"/>
      <c r="L926" s="264"/>
      <c r="M926" s="264"/>
      <c r="N926" s="264"/>
      <c r="O926" s="283"/>
      <c r="P926" s="380"/>
      <c r="Q926" s="389"/>
      <c r="R926" s="416" t="str">
        <f t="shared" si="42"/>
        <v>DELETE</v>
      </c>
    </row>
    <row r="927" spans="2:24" ht="31.5" customHeight="1" x14ac:dyDescent="0.45">
      <c r="B927" s="461"/>
      <c r="D927" s="277" t="s">
        <v>57</v>
      </c>
      <c r="G927" s="468"/>
      <c r="H927" s="280">
        <f>-TrialBalance!N242</f>
        <v>0</v>
      </c>
      <c r="I927" s="263"/>
      <c r="J927" s="263">
        <f>-TrialBalance!N250</f>
        <v>0</v>
      </c>
      <c r="K927" s="263">
        <f>-TrialBalance!N258</f>
        <v>0</v>
      </c>
      <c r="L927" s="263"/>
      <c r="M927" s="263">
        <f>-TrialBalance!N266</f>
        <v>0</v>
      </c>
      <c r="N927" s="263"/>
      <c r="O927" s="284">
        <f>SUM(H927:M927)</f>
        <v>0</v>
      </c>
      <c r="P927" s="380"/>
      <c r="Q927" s="389"/>
      <c r="R927" s="416" t="str">
        <f t="shared" si="42"/>
        <v>DELETE</v>
      </c>
    </row>
    <row r="928" spans="2:24" ht="31.5" customHeight="1" x14ac:dyDescent="0.45">
      <c r="B928" s="461"/>
      <c r="D928" s="277" t="s">
        <v>527</v>
      </c>
      <c r="G928" s="468"/>
      <c r="H928" s="280">
        <f>TrialBalance!N246</f>
        <v>0</v>
      </c>
      <c r="I928" s="263"/>
      <c r="J928" s="263">
        <f>TrialBalance!N254</f>
        <v>0</v>
      </c>
      <c r="K928" s="263">
        <f>TrialBalance!N262</f>
        <v>0</v>
      </c>
      <c r="L928" s="263"/>
      <c r="M928" s="263">
        <f>+TrialBalance!N270</f>
        <v>0</v>
      </c>
      <c r="N928" s="263"/>
      <c r="O928" s="284">
        <f>SUM(H928:M928)</f>
        <v>0</v>
      </c>
      <c r="P928" s="380"/>
      <c r="Q928" s="389"/>
      <c r="R928" s="416" t="str">
        <f t="shared" si="42"/>
        <v>DELETE</v>
      </c>
    </row>
    <row r="929" spans="2:24" ht="9" customHeight="1" x14ac:dyDescent="0.45">
      <c r="B929" s="461"/>
      <c r="D929" s="277"/>
      <c r="G929" s="468"/>
      <c r="H929" s="281"/>
      <c r="I929" s="276"/>
      <c r="J929" s="276"/>
      <c r="K929" s="276"/>
      <c r="L929" s="276"/>
      <c r="M929" s="276"/>
      <c r="N929" s="276"/>
      <c r="O929" s="285"/>
      <c r="P929" s="380"/>
      <c r="Q929" s="389"/>
      <c r="R929" s="416" t="str">
        <f t="shared" si="42"/>
        <v>DELETE</v>
      </c>
    </row>
    <row r="930" spans="2:24" ht="9" customHeight="1" x14ac:dyDescent="0.45">
      <c r="B930" s="461"/>
      <c r="D930" s="277"/>
      <c r="G930" s="468"/>
      <c r="H930" s="263"/>
      <c r="I930" s="263"/>
      <c r="J930" s="263"/>
      <c r="K930" s="263"/>
      <c r="L930" s="263"/>
      <c r="M930" s="263"/>
      <c r="N930" s="263"/>
      <c r="O930" s="263"/>
      <c r="P930" s="380"/>
      <c r="Q930" s="389"/>
      <c r="R930" s="416" t="str">
        <f t="shared" si="42"/>
        <v>DELETE</v>
      </c>
    </row>
    <row r="931" spans="2:24" ht="31.5" customHeight="1" x14ac:dyDescent="0.45">
      <c r="B931" s="461"/>
      <c r="D931" s="277" t="s">
        <v>378</v>
      </c>
      <c r="G931" s="468"/>
      <c r="H931" s="263">
        <f>TrialBalance!N245</f>
        <v>0</v>
      </c>
      <c r="I931" s="263"/>
      <c r="J931" s="263">
        <f>TrialBalance!N253</f>
        <v>0</v>
      </c>
      <c r="K931" s="263">
        <f>TrialBalance!N261</f>
        <v>0</v>
      </c>
      <c r="L931" s="263"/>
      <c r="M931" s="263">
        <f>+TrialBalance!N269</f>
        <v>0</v>
      </c>
      <c r="N931" s="263"/>
      <c r="O931" s="263">
        <f>SUM(H931:M931)</f>
        <v>0</v>
      </c>
      <c r="P931" s="380"/>
      <c r="Q931" s="389"/>
      <c r="R931" s="416" t="str">
        <f t="shared" si="42"/>
        <v>DELETE</v>
      </c>
    </row>
    <row r="932" spans="2:24" ht="9" customHeight="1" x14ac:dyDescent="0.45">
      <c r="B932" s="461"/>
      <c r="D932" s="277"/>
      <c r="G932" s="468"/>
      <c r="H932" s="276"/>
      <c r="I932" s="276"/>
      <c r="J932" s="276"/>
      <c r="K932" s="276"/>
      <c r="L932" s="276"/>
      <c r="M932" s="276"/>
      <c r="N932" s="276"/>
      <c r="O932" s="276"/>
      <c r="P932" s="380"/>
      <c r="Q932" s="389"/>
      <c r="R932" s="416" t="str">
        <f t="shared" si="42"/>
        <v>DELETE</v>
      </c>
    </row>
    <row r="933" spans="2:24" ht="9" customHeight="1" x14ac:dyDescent="0.45">
      <c r="B933" s="461"/>
      <c r="D933" s="277"/>
      <c r="G933" s="468"/>
      <c r="H933" s="263"/>
      <c r="I933" s="263"/>
      <c r="J933" s="263"/>
      <c r="K933" s="263"/>
      <c r="L933" s="263"/>
      <c r="M933" s="263"/>
      <c r="N933" s="263"/>
      <c r="O933" s="263"/>
      <c r="P933" s="380"/>
      <c r="Q933" s="389"/>
      <c r="R933" s="416" t="str">
        <f t="shared" si="42"/>
        <v>DELETE</v>
      </c>
    </row>
    <row r="934" spans="2:24" ht="31.5" customHeight="1" x14ac:dyDescent="0.45">
      <c r="B934" s="461"/>
      <c r="D934" s="277" t="s">
        <v>205</v>
      </c>
      <c r="G934" s="486">
        <f>Criteria!G21</f>
        <v>44985</v>
      </c>
      <c r="H934" s="282">
        <f>H913+H920-H924+H931</f>
        <v>0</v>
      </c>
      <c r="I934" s="282"/>
      <c r="J934" s="282">
        <f>J913+J920-J924+J931</f>
        <v>0</v>
      </c>
      <c r="K934" s="282">
        <f>K913+K920-K924+K931</f>
        <v>0</v>
      </c>
      <c r="L934" s="282"/>
      <c r="M934" s="282">
        <f>M913+M920-M924+M931</f>
        <v>0</v>
      </c>
      <c r="N934" s="282"/>
      <c r="O934" s="282">
        <f>O913+O920-O924+O931</f>
        <v>0</v>
      </c>
      <c r="P934" s="380"/>
      <c r="Q934" s="389"/>
      <c r="R934" s="416" t="str">
        <f t="shared" si="42"/>
        <v>DELETE</v>
      </c>
      <c r="X934" s="417" t="b">
        <f>O934=SUM(H934:N934)</f>
        <v>1</v>
      </c>
    </row>
    <row r="935" spans="2:24" ht="9" customHeight="1" thickBot="1" x14ac:dyDescent="0.5">
      <c r="B935" s="461"/>
      <c r="D935" s="277"/>
      <c r="G935" s="487"/>
      <c r="H935" s="265"/>
      <c r="I935" s="265"/>
      <c r="J935" s="265"/>
      <c r="K935" s="265"/>
      <c r="L935" s="265"/>
      <c r="M935" s="265"/>
      <c r="N935" s="265"/>
      <c r="O935" s="265"/>
      <c r="P935" s="380"/>
      <c r="Q935" s="389"/>
      <c r="R935" s="416" t="str">
        <f t="shared" si="42"/>
        <v>DELETE</v>
      </c>
    </row>
    <row r="936" spans="2:24" ht="9" customHeight="1" thickTop="1" x14ac:dyDescent="0.45">
      <c r="B936" s="461"/>
      <c r="D936" s="277"/>
      <c r="G936" s="487"/>
      <c r="H936" s="263"/>
      <c r="I936" s="263"/>
      <c r="J936" s="263"/>
      <c r="K936" s="263"/>
      <c r="L936" s="263"/>
      <c r="M936" s="263"/>
      <c r="N936" s="263"/>
      <c r="O936" s="263"/>
      <c r="P936" s="380"/>
      <c r="Q936" s="389"/>
      <c r="R936" s="416" t="str">
        <f t="shared" si="42"/>
        <v>DELETE</v>
      </c>
    </row>
    <row r="937" spans="2:24" ht="9" customHeight="1" x14ac:dyDescent="0.45">
      <c r="B937" s="461"/>
      <c r="D937" s="277"/>
      <c r="G937" s="487"/>
      <c r="H937" s="279"/>
      <c r="I937" s="264"/>
      <c r="J937" s="264"/>
      <c r="K937" s="264"/>
      <c r="L937" s="264"/>
      <c r="M937" s="264"/>
      <c r="N937" s="264"/>
      <c r="O937" s="283"/>
      <c r="P937" s="380"/>
      <c r="Q937" s="389"/>
      <c r="R937" s="416" t="str">
        <f t="shared" si="42"/>
        <v>DELETE</v>
      </c>
    </row>
    <row r="938" spans="2:24" ht="31.5" customHeight="1" x14ac:dyDescent="0.45">
      <c r="B938" s="461"/>
      <c r="D938" s="277" t="s">
        <v>389</v>
      </c>
      <c r="G938" s="468"/>
      <c r="H938" s="280">
        <f>H916+H920-H927</f>
        <v>0</v>
      </c>
      <c r="I938" s="275"/>
      <c r="J938" s="275">
        <f>J916+J920-J927</f>
        <v>0</v>
      </c>
      <c r="K938" s="275">
        <f>K916+K920-K927</f>
        <v>0</v>
      </c>
      <c r="L938" s="275"/>
      <c r="M938" s="275">
        <f>M916+M920-M927</f>
        <v>0</v>
      </c>
      <c r="N938" s="275"/>
      <c r="O938" s="284">
        <f>O916+O920-O927</f>
        <v>0</v>
      </c>
      <c r="P938" s="380"/>
      <c r="Q938" s="389"/>
      <c r="R938" s="416" t="str">
        <f t="shared" si="42"/>
        <v>DELETE</v>
      </c>
      <c r="X938" s="417" t="b">
        <f>O938=SUM(H938:N938)</f>
        <v>1</v>
      </c>
    </row>
    <row r="939" spans="2:24" ht="31.5" customHeight="1" x14ac:dyDescent="0.45">
      <c r="B939" s="461"/>
      <c r="D939" s="277" t="s">
        <v>526</v>
      </c>
      <c r="G939" s="468"/>
      <c r="H939" s="280">
        <f>H917-H928-H931</f>
        <v>0</v>
      </c>
      <c r="I939" s="275"/>
      <c r="J939" s="275">
        <f>J917-J928-J931</f>
        <v>0</v>
      </c>
      <c r="K939" s="275">
        <f>K917-K928-K931</f>
        <v>0</v>
      </c>
      <c r="L939" s="275"/>
      <c r="M939" s="275">
        <f>M917-M928-M931</f>
        <v>0</v>
      </c>
      <c r="N939" s="275"/>
      <c r="O939" s="284">
        <f>O917-O928-O931</f>
        <v>0</v>
      </c>
      <c r="P939" s="380"/>
      <c r="Q939" s="389"/>
      <c r="R939" s="416" t="str">
        <f t="shared" si="42"/>
        <v>DELETE</v>
      </c>
      <c r="X939" s="417" t="b">
        <f>O939=SUM(H939:N939)</f>
        <v>1</v>
      </c>
    </row>
    <row r="940" spans="2:24" ht="9" customHeight="1" x14ac:dyDescent="0.45">
      <c r="B940" s="461"/>
      <c r="D940" s="277"/>
      <c r="G940" s="468"/>
      <c r="H940" s="281"/>
      <c r="I940" s="276"/>
      <c r="J940" s="276"/>
      <c r="K940" s="276"/>
      <c r="L940" s="276"/>
      <c r="M940" s="276"/>
      <c r="N940" s="276"/>
      <c r="O940" s="285"/>
      <c r="P940" s="380"/>
      <c r="Q940" s="389"/>
      <c r="R940" s="416" t="str">
        <f t="shared" si="42"/>
        <v>DELETE</v>
      </c>
    </row>
    <row r="941" spans="2:24" ht="9" customHeight="1" x14ac:dyDescent="0.45">
      <c r="B941" s="461"/>
      <c r="D941" s="277"/>
      <c r="G941" s="468"/>
      <c r="H941" s="263"/>
      <c r="I941" s="263"/>
      <c r="J941" s="263"/>
      <c r="K941" s="263"/>
      <c r="L941" s="263"/>
      <c r="M941" s="263"/>
      <c r="N941" s="263"/>
      <c r="O941" s="263"/>
      <c r="P941" s="380"/>
      <c r="Q941" s="389"/>
      <c r="R941" s="416" t="str">
        <f t="shared" si="42"/>
        <v>DELETE</v>
      </c>
    </row>
    <row r="942" spans="2:24" ht="31.5" customHeight="1" x14ac:dyDescent="0.45">
      <c r="B942" s="461"/>
      <c r="D942" s="277" t="s">
        <v>390</v>
      </c>
      <c r="G942" s="468"/>
      <c r="H942" s="263">
        <f>TrialBalance!L241</f>
        <v>0</v>
      </c>
      <c r="I942" s="263"/>
      <c r="J942" s="263">
        <f>TrialBalance!L249</f>
        <v>0</v>
      </c>
      <c r="K942" s="263">
        <f>TrialBalance!L257</f>
        <v>0</v>
      </c>
      <c r="L942" s="263"/>
      <c r="M942" s="263">
        <f>+TrialBalance!L265</f>
        <v>0</v>
      </c>
      <c r="N942" s="263"/>
      <c r="O942" s="263">
        <f>SUM(H942:M942)</f>
        <v>0</v>
      </c>
      <c r="P942" s="380"/>
      <c r="Q942" s="389"/>
      <c r="R942" s="416" t="str">
        <f t="shared" ref="R942:R962" si="43">R$909</f>
        <v>DELETE</v>
      </c>
      <c r="X942" s="417" t="b">
        <f>O934=O938-O939</f>
        <v>1</v>
      </c>
    </row>
    <row r="943" spans="2:24" ht="9" customHeight="1" x14ac:dyDescent="0.45">
      <c r="B943" s="461"/>
      <c r="D943" s="277"/>
      <c r="G943" s="468"/>
      <c r="H943" s="276"/>
      <c r="I943" s="276"/>
      <c r="J943" s="276"/>
      <c r="K943" s="276"/>
      <c r="L943" s="276"/>
      <c r="M943" s="276"/>
      <c r="N943" s="276"/>
      <c r="O943" s="276"/>
      <c r="P943" s="380"/>
      <c r="Q943" s="389"/>
      <c r="R943" s="416" t="str">
        <f t="shared" si="43"/>
        <v>DELETE</v>
      </c>
    </row>
    <row r="944" spans="2:24" ht="9" customHeight="1" x14ac:dyDescent="0.45">
      <c r="B944" s="461"/>
      <c r="D944" s="277"/>
      <c r="G944" s="468"/>
      <c r="H944" s="263"/>
      <c r="I944" s="263"/>
      <c r="J944" s="263"/>
      <c r="K944" s="263"/>
      <c r="L944" s="263"/>
      <c r="M944" s="263"/>
      <c r="N944" s="263"/>
      <c r="O944" s="263"/>
      <c r="P944" s="380"/>
      <c r="Q944" s="389"/>
      <c r="R944" s="416" t="str">
        <f t="shared" si="43"/>
        <v>DELETE</v>
      </c>
    </row>
    <row r="945" spans="2:22" ht="31.5" customHeight="1" x14ac:dyDescent="0.45">
      <c r="B945" s="461"/>
      <c r="D945" s="277"/>
      <c r="G945" s="468"/>
      <c r="H945" s="263">
        <f>+H934+H942</f>
        <v>0</v>
      </c>
      <c r="I945" s="263"/>
      <c r="J945" s="263">
        <f>+J934+J942</f>
        <v>0</v>
      </c>
      <c r="K945" s="263">
        <f>+K934+K942</f>
        <v>0</v>
      </c>
      <c r="L945" s="263"/>
      <c r="M945" s="263">
        <f>+M934+M942</f>
        <v>0</v>
      </c>
      <c r="N945" s="263"/>
      <c r="O945" s="263">
        <f>+O934+O942</f>
        <v>0</v>
      </c>
      <c r="P945" s="380"/>
      <c r="Q945" s="389"/>
      <c r="R945" s="416" t="str">
        <f t="shared" si="43"/>
        <v>DELETE</v>
      </c>
    </row>
    <row r="946" spans="2:22" ht="31.5" customHeight="1" x14ac:dyDescent="0.45">
      <c r="B946" s="461"/>
      <c r="D946" s="277" t="s">
        <v>170</v>
      </c>
      <c r="G946" s="468"/>
      <c r="H946" s="263">
        <f>H949-H950</f>
        <v>0</v>
      </c>
      <c r="I946" s="263"/>
      <c r="J946" s="263">
        <f>J949-J950</f>
        <v>0</v>
      </c>
      <c r="K946" s="263">
        <f>K949-K950</f>
        <v>0</v>
      </c>
      <c r="L946" s="263"/>
      <c r="M946" s="263">
        <f>M949-M950</f>
        <v>0</v>
      </c>
      <c r="N946" s="263"/>
      <c r="O946" s="263">
        <f>O949-O950</f>
        <v>0</v>
      </c>
      <c r="P946" s="380"/>
      <c r="Q946" s="389"/>
      <c r="R946" s="416" t="str">
        <f t="shared" si="43"/>
        <v>DELETE</v>
      </c>
    </row>
    <row r="947" spans="2:22" ht="9" customHeight="1" x14ac:dyDescent="0.45">
      <c r="B947" s="461"/>
      <c r="D947" s="277"/>
      <c r="G947" s="468"/>
      <c r="H947" s="263"/>
      <c r="I947" s="263"/>
      <c r="J947" s="263"/>
      <c r="K947" s="263"/>
      <c r="L947" s="263"/>
      <c r="M947" s="263"/>
      <c r="N947" s="263"/>
      <c r="O947" s="263"/>
      <c r="P947" s="380"/>
      <c r="Q947" s="389"/>
      <c r="R947" s="416" t="str">
        <f t="shared" si="43"/>
        <v>DELETE</v>
      </c>
    </row>
    <row r="948" spans="2:22" ht="9" customHeight="1" x14ac:dyDescent="0.45">
      <c r="B948" s="461"/>
      <c r="D948" s="277"/>
      <c r="G948" s="468"/>
      <c r="H948" s="279"/>
      <c r="I948" s="264"/>
      <c r="J948" s="264"/>
      <c r="K948" s="264"/>
      <c r="L948" s="264"/>
      <c r="M948" s="264"/>
      <c r="N948" s="264"/>
      <c r="O948" s="283"/>
      <c r="P948" s="380"/>
      <c r="Q948" s="389"/>
      <c r="R948" s="416" t="str">
        <f t="shared" si="43"/>
        <v>DELETE</v>
      </c>
    </row>
    <row r="949" spans="2:22" ht="31.5" customHeight="1" x14ac:dyDescent="0.45">
      <c r="B949" s="461"/>
      <c r="D949" s="277" t="s">
        <v>57</v>
      </c>
      <c r="G949" s="468"/>
      <c r="H949" s="280">
        <f>-TrialBalance!L242</f>
        <v>0</v>
      </c>
      <c r="I949" s="263"/>
      <c r="J949" s="263">
        <f>-TrialBalance!L250</f>
        <v>0</v>
      </c>
      <c r="K949" s="263">
        <f>-TrialBalance!L258</f>
        <v>0</v>
      </c>
      <c r="L949" s="263"/>
      <c r="M949" s="263">
        <f>-TrialBalance!L266</f>
        <v>0</v>
      </c>
      <c r="N949" s="263"/>
      <c r="O949" s="284">
        <f>SUM(H949:M949)</f>
        <v>0</v>
      </c>
      <c r="P949" s="380"/>
      <c r="Q949" s="389"/>
      <c r="R949" s="416" t="str">
        <f t="shared" si="43"/>
        <v>DELETE</v>
      </c>
    </row>
    <row r="950" spans="2:22" ht="31.5" customHeight="1" x14ac:dyDescent="0.45">
      <c r="B950" s="461"/>
      <c r="D950" s="277" t="s">
        <v>527</v>
      </c>
      <c r="G950" s="468"/>
      <c r="H950" s="280">
        <f>TrialBalance!L246</f>
        <v>0</v>
      </c>
      <c r="I950" s="263"/>
      <c r="J950" s="263">
        <f>TrialBalance!L254</f>
        <v>0</v>
      </c>
      <c r="K950" s="263">
        <f>TrialBalance!L262</f>
        <v>0</v>
      </c>
      <c r="L950" s="263"/>
      <c r="M950" s="263">
        <f>+TrialBalance!L270</f>
        <v>0</v>
      </c>
      <c r="N950" s="263"/>
      <c r="O950" s="284">
        <f>SUM(H950:M950)</f>
        <v>0</v>
      </c>
      <c r="P950" s="380"/>
      <c r="Q950" s="389"/>
      <c r="R950" s="416" t="str">
        <f t="shared" si="43"/>
        <v>DELETE</v>
      </c>
    </row>
    <row r="951" spans="2:22" ht="9" customHeight="1" x14ac:dyDescent="0.45">
      <c r="B951" s="461"/>
      <c r="D951" s="277"/>
      <c r="G951" s="468"/>
      <c r="H951" s="281"/>
      <c r="I951" s="276"/>
      <c r="J951" s="276"/>
      <c r="K951" s="276"/>
      <c r="L951" s="276"/>
      <c r="M951" s="276"/>
      <c r="N951" s="276"/>
      <c r="O951" s="285"/>
      <c r="P951" s="380"/>
      <c r="Q951" s="389"/>
      <c r="R951" s="416" t="str">
        <f t="shared" si="43"/>
        <v>DELETE</v>
      </c>
    </row>
    <row r="952" spans="2:22" ht="9" customHeight="1" x14ac:dyDescent="0.45">
      <c r="B952" s="461"/>
      <c r="D952" s="277"/>
      <c r="G952" s="468"/>
      <c r="H952" s="263"/>
      <c r="I952" s="263"/>
      <c r="J952" s="263"/>
      <c r="K952" s="263"/>
      <c r="L952" s="263"/>
      <c r="M952" s="263"/>
      <c r="N952" s="263"/>
      <c r="O952" s="263"/>
      <c r="P952" s="380"/>
      <c r="Q952" s="389"/>
      <c r="R952" s="416" t="str">
        <f t="shared" si="43"/>
        <v>DELETE</v>
      </c>
    </row>
    <row r="953" spans="2:22" ht="31.5" customHeight="1" x14ac:dyDescent="0.45">
      <c r="B953" s="461"/>
      <c r="D953" s="277" t="s">
        <v>378</v>
      </c>
      <c r="G953" s="468"/>
      <c r="H953" s="263">
        <f>TrialBalance!L245</f>
        <v>0</v>
      </c>
      <c r="I953" s="263"/>
      <c r="J953" s="263">
        <f>TrialBalance!L253</f>
        <v>0</v>
      </c>
      <c r="K953" s="263">
        <f>TrialBalance!L261</f>
        <v>0</v>
      </c>
      <c r="L953" s="263"/>
      <c r="M953" s="263">
        <f>+TrialBalance!L269</f>
        <v>0</v>
      </c>
      <c r="N953" s="263"/>
      <c r="O953" s="263">
        <f>SUM(H953:M953)</f>
        <v>0</v>
      </c>
      <c r="P953" s="380"/>
      <c r="Q953" s="389"/>
      <c r="R953" s="416" t="str">
        <f t="shared" si="43"/>
        <v>DELETE</v>
      </c>
    </row>
    <row r="954" spans="2:22" ht="9" customHeight="1" x14ac:dyDescent="0.45">
      <c r="B954" s="461"/>
      <c r="D954" s="277"/>
      <c r="G954" s="468"/>
      <c r="H954" s="276"/>
      <c r="I954" s="276"/>
      <c r="J954" s="276"/>
      <c r="K954" s="276"/>
      <c r="L954" s="276"/>
      <c r="M954" s="276"/>
      <c r="N954" s="276"/>
      <c r="O954" s="276"/>
      <c r="P954" s="380"/>
      <c r="Q954" s="389"/>
      <c r="R954" s="416" t="str">
        <f t="shared" si="43"/>
        <v>DELETE</v>
      </c>
    </row>
    <row r="955" spans="2:22" ht="9" customHeight="1" x14ac:dyDescent="0.45">
      <c r="B955" s="461"/>
      <c r="D955" s="277"/>
      <c r="G955" s="468"/>
      <c r="H955" s="263"/>
      <c r="I955" s="263"/>
      <c r="J955" s="263"/>
      <c r="K955" s="263"/>
      <c r="L955" s="263"/>
      <c r="M955" s="263"/>
      <c r="N955" s="263"/>
      <c r="O955" s="263"/>
      <c r="P955" s="380"/>
      <c r="Q955" s="389"/>
      <c r="R955" s="416" t="str">
        <f t="shared" si="43"/>
        <v>DELETE</v>
      </c>
    </row>
    <row r="956" spans="2:22" ht="31.5" customHeight="1" x14ac:dyDescent="0.45">
      <c r="B956" s="461"/>
      <c r="D956" s="277" t="s">
        <v>205</v>
      </c>
      <c r="G956" s="486">
        <f>Criteria!G20</f>
        <v>45351</v>
      </c>
      <c r="H956" s="282">
        <f>+H934+H942-H946+H953</f>
        <v>0</v>
      </c>
      <c r="I956" s="282"/>
      <c r="J956" s="282">
        <f>+J934+J942-J946+J953</f>
        <v>0</v>
      </c>
      <c r="K956" s="282">
        <f>+K934+K942-K946+K953</f>
        <v>0</v>
      </c>
      <c r="L956" s="282"/>
      <c r="M956" s="282">
        <f>+M934+M942-M946+M953</f>
        <v>0</v>
      </c>
      <c r="N956" s="282"/>
      <c r="O956" s="282">
        <f>+O934+O942-O946+O953</f>
        <v>0</v>
      </c>
      <c r="P956" s="378"/>
      <c r="Q956" s="389"/>
      <c r="R956" s="416" t="str">
        <f t="shared" si="43"/>
        <v>DELETE</v>
      </c>
      <c r="V956" s="417" t="b">
        <f>O956=SUM(H956:N956)</f>
        <v>1</v>
      </c>
    </row>
    <row r="957" spans="2:22" ht="9" customHeight="1" thickBot="1" x14ac:dyDescent="0.5">
      <c r="B957" s="461"/>
      <c r="D957" s="277"/>
      <c r="G957" s="487"/>
      <c r="H957" s="265"/>
      <c r="I957" s="265"/>
      <c r="J957" s="265"/>
      <c r="K957" s="265"/>
      <c r="L957" s="265"/>
      <c r="M957" s="265"/>
      <c r="N957" s="265"/>
      <c r="O957" s="265"/>
      <c r="P957" s="380"/>
      <c r="Q957" s="389"/>
      <c r="R957" s="416" t="str">
        <f t="shared" si="43"/>
        <v>DELETE</v>
      </c>
    </row>
    <row r="958" spans="2:22" ht="9" customHeight="1" thickTop="1" x14ac:dyDescent="0.45">
      <c r="B958" s="461"/>
      <c r="D958" s="277"/>
      <c r="G958" s="487"/>
      <c r="H958" s="263"/>
      <c r="I958" s="263"/>
      <c r="J958" s="263"/>
      <c r="K958" s="263"/>
      <c r="L958" s="263"/>
      <c r="M958" s="263"/>
      <c r="N958" s="263"/>
      <c r="O958" s="263"/>
      <c r="P958" s="380"/>
      <c r="Q958" s="389"/>
      <c r="R958" s="416" t="str">
        <f t="shared" si="43"/>
        <v>DELETE</v>
      </c>
    </row>
    <row r="959" spans="2:22" ht="9" customHeight="1" x14ac:dyDescent="0.45">
      <c r="B959" s="461"/>
      <c r="D959" s="277"/>
      <c r="G959" s="487"/>
      <c r="H959" s="279"/>
      <c r="I959" s="264"/>
      <c r="J959" s="264"/>
      <c r="K959" s="264"/>
      <c r="L959" s="264"/>
      <c r="M959" s="264"/>
      <c r="N959" s="264"/>
      <c r="O959" s="283"/>
      <c r="P959" s="380"/>
      <c r="Q959" s="389"/>
      <c r="R959" s="416" t="str">
        <f t="shared" si="43"/>
        <v>DELETE</v>
      </c>
    </row>
    <row r="960" spans="2:22" ht="31.5" customHeight="1" x14ac:dyDescent="0.45">
      <c r="B960" s="461"/>
      <c r="D960" s="277" t="s">
        <v>389</v>
      </c>
      <c r="G960" s="468"/>
      <c r="H960" s="280">
        <f>H938+H942-H949</f>
        <v>0</v>
      </c>
      <c r="I960" s="275"/>
      <c r="J960" s="275">
        <f>J938+J942-J949</f>
        <v>0</v>
      </c>
      <c r="K960" s="275">
        <f>K938+K942-K949</f>
        <v>0</v>
      </c>
      <c r="L960" s="275"/>
      <c r="M960" s="275">
        <f>M938+M942-M949</f>
        <v>0</v>
      </c>
      <c r="N960" s="275"/>
      <c r="O960" s="284">
        <f>O938+O942-O949</f>
        <v>0</v>
      </c>
      <c r="P960" s="380"/>
      <c r="Q960" s="389"/>
      <c r="R960" s="416" t="str">
        <f t="shared" si="43"/>
        <v>DELETE</v>
      </c>
      <c r="V960" s="417" t="b">
        <f>O960=SUM(H960:N960)</f>
        <v>1</v>
      </c>
    </row>
    <row r="961" spans="2:22" ht="31.5" customHeight="1" x14ac:dyDescent="0.45">
      <c r="B961" s="461"/>
      <c r="D961" s="277" t="s">
        <v>526</v>
      </c>
      <c r="G961" s="468"/>
      <c r="H961" s="280">
        <f>H939-H950-H953</f>
        <v>0</v>
      </c>
      <c r="I961" s="275"/>
      <c r="J961" s="275">
        <f>J939-J950-J953</f>
        <v>0</v>
      </c>
      <c r="K961" s="275">
        <f>K939-K950-K953</f>
        <v>0</v>
      </c>
      <c r="L961" s="275"/>
      <c r="M961" s="275">
        <f>M939-M950-M953</f>
        <v>0</v>
      </c>
      <c r="N961" s="275"/>
      <c r="O961" s="284">
        <f>O939-O950-O953</f>
        <v>0</v>
      </c>
      <c r="P961" s="380"/>
      <c r="Q961" s="389"/>
      <c r="R961" s="416" t="str">
        <f t="shared" si="43"/>
        <v>DELETE</v>
      </c>
      <c r="V961" s="417" t="b">
        <f>O961=SUM(H961:N961)</f>
        <v>1</v>
      </c>
    </row>
    <row r="962" spans="2:22" ht="9" customHeight="1" x14ac:dyDescent="0.45">
      <c r="B962" s="461"/>
      <c r="G962" s="468"/>
      <c r="H962" s="281"/>
      <c r="I962" s="276"/>
      <c r="J962" s="276"/>
      <c r="K962" s="276"/>
      <c r="L962" s="276"/>
      <c r="M962" s="276"/>
      <c r="N962" s="276"/>
      <c r="O962" s="285"/>
      <c r="P962" s="380"/>
      <c r="Q962" s="389"/>
      <c r="R962" s="416" t="str">
        <f t="shared" si="43"/>
        <v>DELETE</v>
      </c>
    </row>
    <row r="963" spans="2:22" ht="31.5" customHeight="1" x14ac:dyDescent="0.45">
      <c r="B963" s="461"/>
      <c r="G963" s="468"/>
      <c r="H963" s="390"/>
      <c r="I963" s="390"/>
      <c r="J963" s="390"/>
      <c r="K963" s="390"/>
      <c r="L963" s="390"/>
      <c r="M963" s="434"/>
      <c r="N963" s="390"/>
      <c r="O963" s="434"/>
      <c r="P963" s="380"/>
      <c r="Q963" s="389"/>
      <c r="R963" s="416" t="str">
        <f t="shared" ref="R963:R965" si="44">R$909</f>
        <v>DELETE</v>
      </c>
    </row>
    <row r="964" spans="2:22" ht="31.5" customHeight="1" x14ac:dyDescent="0.45">
      <c r="B964" s="462"/>
      <c r="C964" s="383"/>
      <c r="D964" s="383"/>
      <c r="E964" s="383"/>
      <c r="F964" s="383"/>
      <c r="G964" s="383"/>
      <c r="H964" s="405"/>
      <c r="I964" s="405"/>
      <c r="J964" s="405"/>
      <c r="K964" s="405"/>
      <c r="L964" s="405"/>
      <c r="M964" s="482"/>
      <c r="N964" s="483"/>
      <c r="O964" s="482"/>
      <c r="P964" s="475"/>
      <c r="Q964" s="398"/>
      <c r="R964" s="416" t="str">
        <f t="shared" si="44"/>
        <v>DELETE</v>
      </c>
    </row>
    <row r="965" spans="2:22" ht="31.5" customHeight="1" x14ac:dyDescent="0.45">
      <c r="B965" s="445"/>
      <c r="R965" s="416" t="str">
        <f t="shared" si="44"/>
        <v>DELETE</v>
      </c>
    </row>
    <row r="966" spans="2:22" ht="31.5" customHeight="1" x14ac:dyDescent="0.45">
      <c r="B966" s="431"/>
      <c r="R966" s="416" t="str">
        <f t="shared" ref="R966:R975" si="45">R$976</f>
        <v>DELETE</v>
      </c>
    </row>
    <row r="967" spans="2:22" ht="31.5" customHeight="1" x14ac:dyDescent="0.45">
      <c r="B967" s="431"/>
      <c r="D967" s="369" t="str">
        <f>Criteria!E9</f>
        <v>ABC TRUST</v>
      </c>
      <c r="O967" s="433" t="s">
        <v>105</v>
      </c>
      <c r="Q967" s="370">
        <f>MAX($Q$114:Q966)+1</f>
        <v>17</v>
      </c>
      <c r="R967" s="416" t="str">
        <f t="shared" si="45"/>
        <v>DELETE</v>
      </c>
    </row>
    <row r="968" spans="2:22" ht="31.5" customHeight="1" x14ac:dyDescent="0.45">
      <c r="B968" s="431"/>
      <c r="D968" s="369" t="str">
        <f>Criteria!E10</f>
        <v>T/A RENTAL PROPERTIES, SEAFRONT RESTAURANT AND SURF SHOP</v>
      </c>
      <c r="R968" s="416" t="str">
        <f>IF(R$976="DELETE","DELETE",IF(D968=0,"DELETE"," "))</f>
        <v>DELETE</v>
      </c>
    </row>
    <row r="969" spans="2:22" ht="31.5" customHeight="1" x14ac:dyDescent="0.45">
      <c r="B969" s="431"/>
      <c r="R969" s="416" t="str">
        <f t="shared" si="45"/>
        <v>DELETE</v>
      </c>
    </row>
    <row r="970" spans="2:22" ht="31.5" customHeight="1" x14ac:dyDescent="0.45">
      <c r="B970" s="431"/>
      <c r="D970" s="369" t="s">
        <v>383</v>
      </c>
      <c r="R970" s="416" t="str">
        <f t="shared" si="45"/>
        <v>DELETE</v>
      </c>
    </row>
    <row r="971" spans="2:22" ht="31.5" customHeight="1" x14ac:dyDescent="0.45">
      <c r="B971" s="431"/>
      <c r="D971" s="369" t="str">
        <f>Criteria!E20</f>
        <v>29 FEBRUARY 2024</v>
      </c>
      <c r="J971" s="368" t="s">
        <v>253</v>
      </c>
      <c r="R971" s="416" t="str">
        <f t="shared" si="45"/>
        <v>DELETE</v>
      </c>
    </row>
    <row r="972" spans="2:22" ht="31.5" customHeight="1" x14ac:dyDescent="0.45">
      <c r="B972" s="431"/>
      <c r="R972" s="416" t="str">
        <f t="shared" si="45"/>
        <v>DELETE</v>
      </c>
    </row>
    <row r="973" spans="2:22" ht="31.5" customHeight="1" x14ac:dyDescent="0.45">
      <c r="B973" s="463"/>
      <c r="C973" s="386"/>
      <c r="D973" s="386"/>
      <c r="E973" s="386"/>
      <c r="F973" s="386"/>
      <c r="G973" s="386"/>
      <c r="H973" s="386"/>
      <c r="I973" s="386"/>
      <c r="J973" s="386"/>
      <c r="K973" s="386"/>
      <c r="L973" s="386"/>
      <c r="M973" s="480"/>
      <c r="N973" s="481"/>
      <c r="O973" s="480"/>
      <c r="P973" s="481"/>
      <c r="Q973" s="387"/>
      <c r="R973" s="416" t="str">
        <f t="shared" si="45"/>
        <v>DELETE</v>
      </c>
    </row>
    <row r="974" spans="2:22" ht="31.5" customHeight="1" x14ac:dyDescent="0.45">
      <c r="B974" s="461"/>
      <c r="C974" s="369"/>
      <c r="M974" s="448">
        <f>Criteria!E22</f>
        <v>2024</v>
      </c>
      <c r="N974" s="409"/>
      <c r="O974" s="448">
        <f>Criteria!E27</f>
        <v>2023</v>
      </c>
      <c r="P974" s="478"/>
      <c r="Q974" s="389"/>
      <c r="R974" s="416" t="str">
        <f t="shared" si="45"/>
        <v>DELETE</v>
      </c>
    </row>
    <row r="975" spans="2:22" ht="31.5" customHeight="1" x14ac:dyDescent="0.45">
      <c r="B975" s="461"/>
      <c r="C975" s="369"/>
      <c r="M975" s="448"/>
      <c r="N975" s="409"/>
      <c r="O975" s="448"/>
      <c r="P975" s="478"/>
      <c r="Q975" s="389"/>
      <c r="R975" s="416" t="str">
        <f t="shared" si="45"/>
        <v>DELETE</v>
      </c>
    </row>
    <row r="976" spans="2:22" ht="30.75" customHeight="1" x14ac:dyDescent="0.45">
      <c r="B976" s="461">
        <f>MAX($B$431:B975)+1</f>
        <v>10</v>
      </c>
      <c r="C976" s="369" t="s">
        <v>1049</v>
      </c>
      <c r="M976" s="477"/>
      <c r="N976" s="478"/>
      <c r="O976" s="477"/>
      <c r="P976" s="478"/>
      <c r="Q976" s="389"/>
      <c r="R976" s="416" t="str">
        <f>IF(M1041+O1041=0,"DELETE"," ")</f>
        <v>DELETE</v>
      </c>
    </row>
    <row r="977" spans="2:24" ht="31.5" hidden="1" customHeight="1" x14ac:dyDescent="0.45">
      <c r="B977" s="461"/>
      <c r="C977" s="368">
        <f>B976</f>
        <v>10</v>
      </c>
      <c r="M977" s="477"/>
      <c r="N977" s="478"/>
      <c r="O977" s="477"/>
      <c r="P977" s="478"/>
      <c r="Q977" s="389"/>
      <c r="R977" s="416" t="str">
        <f>R$976</f>
        <v>DELETE</v>
      </c>
    </row>
    <row r="978" spans="2:24" ht="31.5" customHeight="1" x14ac:dyDescent="0.45">
      <c r="B978" s="461"/>
      <c r="C978" s="261">
        <f>MAX(C976:C977)+0.1</f>
        <v>10.1</v>
      </c>
      <c r="D978" s="368" t="s">
        <v>1118</v>
      </c>
      <c r="M978" s="441"/>
      <c r="N978" s="400"/>
      <c r="O978" s="441"/>
      <c r="P978" s="478"/>
      <c r="Q978" s="389"/>
      <c r="R978" s="416" t="str">
        <f>IF(O992+M992=0,"DELETE"," ")</f>
        <v>DELETE</v>
      </c>
    </row>
    <row r="979" spans="2:24" ht="31.5" customHeight="1" x14ac:dyDescent="0.45">
      <c r="B979" s="461"/>
      <c r="C979" s="36"/>
      <c r="D979" s="368" t="s">
        <v>1074</v>
      </c>
      <c r="H979" s="372"/>
      <c r="J979" s="372"/>
      <c r="K979" s="466"/>
      <c r="M979" s="441">
        <f>SUM(S982:S984)</f>
        <v>0</v>
      </c>
      <c r="N979" s="400"/>
      <c r="O979" s="441">
        <f>SUM(U982:U984)</f>
        <v>0</v>
      </c>
      <c r="P979" s="478"/>
      <c r="Q979" s="389"/>
      <c r="R979" s="416" t="str">
        <f>R$978</f>
        <v>DELETE</v>
      </c>
      <c r="V979" s="417" t="b">
        <f>M979=O992</f>
        <v>1</v>
      </c>
    </row>
    <row r="980" spans="2:24" ht="9" customHeight="1" x14ac:dyDescent="0.45">
      <c r="B980" s="461"/>
      <c r="C980" s="36"/>
      <c r="M980" s="441"/>
      <c r="N980" s="400"/>
      <c r="O980" s="441"/>
      <c r="P980" s="478"/>
      <c r="Q980" s="389"/>
      <c r="R980" s="416" t="str">
        <f t="shared" ref="R980:R1000" si="46">R$978</f>
        <v>DELETE</v>
      </c>
    </row>
    <row r="981" spans="2:24" ht="9" customHeight="1" x14ac:dyDescent="0.45">
      <c r="B981" s="461"/>
      <c r="C981" s="36"/>
      <c r="M981" s="435"/>
      <c r="N981" s="391"/>
      <c r="O981" s="450"/>
      <c r="P981" s="478"/>
      <c r="Q981" s="389"/>
      <c r="R981" s="416" t="str">
        <f t="shared" si="46"/>
        <v>DELETE</v>
      </c>
    </row>
    <row r="982" spans="2:24" ht="31.5" customHeight="1" x14ac:dyDescent="0.45">
      <c r="B982" s="461"/>
      <c r="C982" s="36"/>
      <c r="D982" s="368" t="s">
        <v>389</v>
      </c>
      <c r="M982" s="436">
        <f>TrialBalance!L273</f>
        <v>0</v>
      </c>
      <c r="N982" s="400"/>
      <c r="O982" s="451">
        <f>TrialBalance!N273</f>
        <v>0</v>
      </c>
      <c r="P982" s="478"/>
      <c r="Q982" s="389"/>
      <c r="R982" s="416" t="str">
        <f t="shared" si="46"/>
        <v>DELETE</v>
      </c>
      <c r="S982" s="421">
        <f>M982</f>
        <v>0</v>
      </c>
      <c r="U982" s="421">
        <f>O982</f>
        <v>0</v>
      </c>
      <c r="V982" s="417" t="b">
        <f>M982=O996</f>
        <v>1</v>
      </c>
    </row>
    <row r="983" spans="2:24" ht="31.5" customHeight="1" x14ac:dyDescent="0.45">
      <c r="B983" s="461"/>
      <c r="C983" s="36"/>
      <c r="D983" s="368" t="s">
        <v>1119</v>
      </c>
      <c r="M983" s="436">
        <f>-TrialBalance!L276</f>
        <v>0</v>
      </c>
      <c r="N983" s="400"/>
      <c r="O983" s="451">
        <f>-TrialBalance!N276</f>
        <v>0</v>
      </c>
      <c r="P983" s="478"/>
      <c r="Q983" s="389"/>
      <c r="R983" s="416" t="str">
        <f t="shared" si="46"/>
        <v>DELETE</v>
      </c>
      <c r="S983" s="421">
        <f>-M983</f>
        <v>0</v>
      </c>
      <c r="U983" s="421">
        <f>-O983</f>
        <v>0</v>
      </c>
      <c r="V983" s="417" t="b">
        <f>M983=O997</f>
        <v>1</v>
      </c>
    </row>
    <row r="984" spans="2:24" ht="31.5" customHeight="1" x14ac:dyDescent="0.45">
      <c r="B984" s="461"/>
      <c r="C984" s="36"/>
      <c r="D984" s="368" t="s">
        <v>1120</v>
      </c>
      <c r="M984" s="436">
        <f>-TrialBalance!L279</f>
        <v>0</v>
      </c>
      <c r="N984" s="400"/>
      <c r="O984" s="451">
        <f>-TrialBalance!N279</f>
        <v>0</v>
      </c>
      <c r="P984" s="478"/>
      <c r="Q984" s="389"/>
      <c r="R984" s="416" t="str">
        <f>IF(M984+O984=0,"DELETE"," ")</f>
        <v>DELETE</v>
      </c>
      <c r="S984" s="421">
        <f>-M984</f>
        <v>0</v>
      </c>
      <c r="U984" s="421">
        <f>-O984</f>
        <v>0</v>
      </c>
      <c r="V984" s="417" t="b">
        <f>M984=O998</f>
        <v>1</v>
      </c>
    </row>
    <row r="985" spans="2:24" ht="9" customHeight="1" x14ac:dyDescent="0.45">
      <c r="B985" s="461"/>
      <c r="C985" s="36"/>
      <c r="M985" s="437"/>
      <c r="N985" s="392"/>
      <c r="O985" s="452"/>
      <c r="P985" s="478"/>
      <c r="Q985" s="389"/>
      <c r="R985" s="416" t="str">
        <f t="shared" si="46"/>
        <v>DELETE</v>
      </c>
    </row>
    <row r="986" spans="2:24" ht="9" customHeight="1" x14ac:dyDescent="0.45">
      <c r="B986" s="461"/>
      <c r="C986" s="36"/>
      <c r="M986" s="441"/>
      <c r="N986" s="400"/>
      <c r="O986" s="441"/>
      <c r="P986" s="478"/>
      <c r="Q986" s="389"/>
      <c r="R986" s="416" t="str">
        <f t="shared" si="46"/>
        <v>DELETE</v>
      </c>
    </row>
    <row r="987" spans="2:24" ht="31.5" customHeight="1" x14ac:dyDescent="0.45">
      <c r="B987" s="461"/>
      <c r="C987" s="36"/>
      <c r="D987" s="368" t="s">
        <v>385</v>
      </c>
      <c r="M987" s="441">
        <f>TrialBalance!L274</f>
        <v>0</v>
      </c>
      <c r="N987" s="400"/>
      <c r="O987" s="441">
        <f>TrialBalance!N274</f>
        <v>0</v>
      </c>
      <c r="P987" s="478"/>
      <c r="Q987" s="389"/>
      <c r="R987" s="416" t="str">
        <f t="shared" si="46"/>
        <v>DELETE</v>
      </c>
      <c r="S987" s="421">
        <f>M987</f>
        <v>0</v>
      </c>
      <c r="U987" s="421">
        <f>O987</f>
        <v>0</v>
      </c>
    </row>
    <row r="988" spans="2:24" ht="31.5" customHeight="1" x14ac:dyDescent="0.45">
      <c r="B988" s="461"/>
      <c r="C988" s="36"/>
      <c r="D988" s="368" t="s">
        <v>1121</v>
      </c>
      <c r="M988" s="441">
        <f>TrialBalance!L277</f>
        <v>0</v>
      </c>
      <c r="N988" s="400"/>
      <c r="O988" s="441">
        <f>TrialBalance!N277</f>
        <v>0</v>
      </c>
      <c r="P988" s="478"/>
      <c r="Q988" s="389"/>
      <c r="R988" s="416" t="str">
        <f t="shared" si="46"/>
        <v>DELETE</v>
      </c>
      <c r="S988" s="421">
        <f t="shared" ref="S988:U989" si="47">M988</f>
        <v>0</v>
      </c>
      <c r="U988" s="421">
        <f t="shared" si="47"/>
        <v>0</v>
      </c>
    </row>
    <row r="989" spans="2:24" ht="31.5" customHeight="1" x14ac:dyDescent="0.45">
      <c r="B989" s="461"/>
      <c r="C989" s="36"/>
      <c r="D989" s="368" t="s">
        <v>1122</v>
      </c>
      <c r="M989" s="441">
        <f>TrialBalance!L280</f>
        <v>0</v>
      </c>
      <c r="N989" s="400"/>
      <c r="O989" s="441">
        <f>TrialBalance!N280</f>
        <v>0</v>
      </c>
      <c r="P989" s="478"/>
      <c r="Q989" s="389"/>
      <c r="R989" s="416" t="str">
        <f>IF(M989+O989=0,"DELETE"," ")</f>
        <v>DELETE</v>
      </c>
      <c r="S989" s="421">
        <f t="shared" si="47"/>
        <v>0</v>
      </c>
      <c r="U989" s="421">
        <f t="shared" si="47"/>
        <v>0</v>
      </c>
    </row>
    <row r="990" spans="2:24" ht="9" customHeight="1" x14ac:dyDescent="0.45">
      <c r="B990" s="461"/>
      <c r="C990" s="36"/>
      <c r="M990" s="438"/>
      <c r="N990" s="392"/>
      <c r="O990" s="438"/>
      <c r="P990" s="478"/>
      <c r="Q990" s="389"/>
      <c r="R990" s="416" t="str">
        <f t="shared" si="46"/>
        <v>DELETE</v>
      </c>
    </row>
    <row r="991" spans="2:24" ht="9" customHeight="1" x14ac:dyDescent="0.45">
      <c r="B991" s="461"/>
      <c r="C991" s="36"/>
      <c r="M991" s="441"/>
      <c r="N991" s="400"/>
      <c r="O991" s="441"/>
      <c r="P991" s="478"/>
      <c r="Q991" s="389"/>
      <c r="R991" s="416" t="str">
        <f t="shared" si="46"/>
        <v>DELETE</v>
      </c>
    </row>
    <row r="992" spans="2:24" ht="31.5" customHeight="1" x14ac:dyDescent="0.45">
      <c r="B992" s="461"/>
      <c r="C992" s="36"/>
      <c r="D992" s="368" t="s">
        <v>1078</v>
      </c>
      <c r="M992" s="441">
        <f>SUM(S996:S998)</f>
        <v>0</v>
      </c>
      <c r="N992" s="400"/>
      <c r="O992" s="441">
        <f>SUM(U996:U998)</f>
        <v>0</v>
      </c>
      <c r="P992" s="478"/>
      <c r="Q992" s="389"/>
      <c r="R992" s="416" t="str">
        <f t="shared" si="46"/>
        <v>DELETE</v>
      </c>
      <c r="V992" s="417" t="b">
        <f>M992=SUM(S981:S991)</f>
        <v>1</v>
      </c>
      <c r="X992" s="417" t="b">
        <f>O992=SUM(U981:U991)</f>
        <v>1</v>
      </c>
    </row>
    <row r="993" spans="2:21" ht="9" customHeight="1" thickBot="1" x14ac:dyDescent="0.5">
      <c r="B993" s="461"/>
      <c r="C993" s="36"/>
      <c r="M993" s="439"/>
      <c r="N993" s="393"/>
      <c r="O993" s="439"/>
      <c r="P993" s="478"/>
      <c r="Q993" s="389"/>
      <c r="R993" s="416" t="str">
        <f t="shared" si="46"/>
        <v>DELETE</v>
      </c>
    </row>
    <row r="994" spans="2:21" ht="9" customHeight="1" thickTop="1" x14ac:dyDescent="0.45">
      <c r="B994" s="461"/>
      <c r="C994" s="36"/>
      <c r="M994" s="441"/>
      <c r="N994" s="400"/>
      <c r="O994" s="441"/>
      <c r="P994" s="478"/>
      <c r="Q994" s="389"/>
      <c r="R994" s="416" t="str">
        <f t="shared" si="46"/>
        <v>DELETE</v>
      </c>
    </row>
    <row r="995" spans="2:21" ht="9" customHeight="1" x14ac:dyDescent="0.45">
      <c r="B995" s="461"/>
      <c r="C995" s="36"/>
      <c r="M995" s="435"/>
      <c r="N995" s="391"/>
      <c r="O995" s="450"/>
      <c r="P995" s="478"/>
      <c r="Q995" s="389"/>
      <c r="R995" s="416" t="str">
        <f t="shared" si="46"/>
        <v>DELETE</v>
      </c>
    </row>
    <row r="996" spans="2:21" ht="31.5" customHeight="1" x14ac:dyDescent="0.45">
      <c r="B996" s="461"/>
      <c r="C996" s="36"/>
      <c r="D996" s="368" t="s">
        <v>389</v>
      </c>
      <c r="M996" s="436">
        <f>TrialBalance!L273+TrialBalance!L274</f>
        <v>0</v>
      </c>
      <c r="N996" s="400"/>
      <c r="O996" s="451">
        <f>TrialBalance!N273+TrialBalance!N274</f>
        <v>0</v>
      </c>
      <c r="P996" s="478"/>
      <c r="Q996" s="389"/>
      <c r="R996" s="416" t="str">
        <f t="shared" si="46"/>
        <v>DELETE</v>
      </c>
      <c r="S996" s="421">
        <f>M996</f>
        <v>0</v>
      </c>
      <c r="U996" s="421">
        <f>O996</f>
        <v>0</v>
      </c>
    </row>
    <row r="997" spans="2:21" ht="31.5" customHeight="1" x14ac:dyDescent="0.45">
      <c r="B997" s="461"/>
      <c r="C997" s="36"/>
      <c r="D997" s="368" t="s">
        <v>1119</v>
      </c>
      <c r="M997" s="436">
        <f>-TrialBalance!L276-TrialBalance!L277</f>
        <v>0</v>
      </c>
      <c r="N997" s="400"/>
      <c r="O997" s="451">
        <f>-TrialBalance!N276-TrialBalance!N277</f>
        <v>0</v>
      </c>
      <c r="P997" s="478"/>
      <c r="Q997" s="389"/>
      <c r="R997" s="416" t="str">
        <f t="shared" si="46"/>
        <v>DELETE</v>
      </c>
      <c r="S997" s="421">
        <f>-M997</f>
        <v>0</v>
      </c>
      <c r="U997" s="421">
        <f>-O997</f>
        <v>0</v>
      </c>
    </row>
    <row r="998" spans="2:21" ht="31.5" customHeight="1" x14ac:dyDescent="0.45">
      <c r="B998" s="461"/>
      <c r="C998" s="36"/>
      <c r="D998" s="368" t="s">
        <v>1120</v>
      </c>
      <c r="M998" s="436">
        <f>-TrialBalance!L279-TrialBalance!L280</f>
        <v>0</v>
      </c>
      <c r="N998" s="400"/>
      <c r="O998" s="451">
        <f>-TrialBalance!N279-TrialBalance!N280</f>
        <v>0</v>
      </c>
      <c r="P998" s="478"/>
      <c r="Q998" s="389"/>
      <c r="R998" s="416" t="str">
        <f>IF(M998+O998=0,"DELETE"," ")</f>
        <v>DELETE</v>
      </c>
      <c r="S998" s="421">
        <f>-M998</f>
        <v>0</v>
      </c>
      <c r="U998" s="421">
        <f>-O998</f>
        <v>0</v>
      </c>
    </row>
    <row r="999" spans="2:21" ht="9" customHeight="1" x14ac:dyDescent="0.45">
      <c r="B999" s="461"/>
      <c r="C999" s="36"/>
      <c r="M999" s="437"/>
      <c r="N999" s="392"/>
      <c r="O999" s="452"/>
      <c r="P999" s="478"/>
      <c r="Q999" s="389"/>
      <c r="R999" s="416" t="str">
        <f t="shared" si="46"/>
        <v>DELETE</v>
      </c>
    </row>
    <row r="1000" spans="2:21" ht="9" customHeight="1" x14ac:dyDescent="0.45">
      <c r="B1000" s="461"/>
      <c r="C1000" s="36"/>
      <c r="M1000" s="441"/>
      <c r="N1000" s="400"/>
      <c r="O1000" s="441"/>
      <c r="P1000" s="478"/>
      <c r="Q1000" s="389"/>
      <c r="R1000" s="416" t="str">
        <f t="shared" si="46"/>
        <v>DELETE</v>
      </c>
    </row>
    <row r="1001" spans="2:21" ht="31.5" customHeight="1" x14ac:dyDescent="0.45">
      <c r="B1001" s="461"/>
      <c r="C1001" s="36"/>
      <c r="M1001" s="441"/>
      <c r="N1001" s="400"/>
      <c r="O1001" s="441"/>
      <c r="P1001" s="478"/>
      <c r="Q1001" s="389"/>
      <c r="R1001" s="416" t="str">
        <f>IF(R978="DELETE","DELETE",IF(R1015="DELETE","DELETE"," "))</f>
        <v>DELETE</v>
      </c>
    </row>
    <row r="1002" spans="2:21" ht="31.5" customHeight="1" x14ac:dyDescent="0.45">
      <c r="B1002" s="461"/>
      <c r="C1002" s="36"/>
      <c r="M1002" s="441"/>
      <c r="N1002" s="400"/>
      <c r="O1002" s="441"/>
      <c r="P1002" s="478"/>
      <c r="Q1002" s="389"/>
      <c r="R1002" s="416" t="str">
        <f>R$1001</f>
        <v>DELETE</v>
      </c>
    </row>
    <row r="1003" spans="2:21" ht="31.5" customHeight="1" x14ac:dyDescent="0.45">
      <c r="B1003" s="462"/>
      <c r="C1003" s="267"/>
      <c r="D1003" s="383"/>
      <c r="E1003" s="383"/>
      <c r="F1003" s="383"/>
      <c r="G1003" s="383"/>
      <c r="H1003" s="383"/>
      <c r="I1003" s="383"/>
      <c r="J1003" s="383"/>
      <c r="K1003" s="383"/>
      <c r="L1003" s="383"/>
      <c r="M1003" s="438"/>
      <c r="N1003" s="392"/>
      <c r="O1003" s="438"/>
      <c r="P1003" s="475"/>
      <c r="Q1003" s="398"/>
      <c r="R1003" s="416" t="str">
        <f t="shared" ref="R1003:R1004" si="48">R$1001</f>
        <v>DELETE</v>
      </c>
    </row>
    <row r="1004" spans="2:21" ht="31.5" customHeight="1" x14ac:dyDescent="0.45">
      <c r="B1004" s="445"/>
      <c r="C1004" s="36"/>
      <c r="M1004" s="441"/>
      <c r="N1004" s="400"/>
      <c r="O1004" s="441"/>
      <c r="P1004" s="478"/>
      <c r="R1004" s="416" t="str">
        <f t="shared" si="48"/>
        <v>DELETE</v>
      </c>
    </row>
    <row r="1005" spans="2:21" ht="31.5" customHeight="1" x14ac:dyDescent="0.45">
      <c r="B1005" s="445"/>
      <c r="C1005" s="36"/>
      <c r="M1005" s="441"/>
      <c r="N1005" s="400"/>
      <c r="O1005" s="441"/>
      <c r="P1005" s="478"/>
      <c r="R1005" s="416" t="str">
        <f>IF(R1015="DELETE","DELETE",IF(R978="DELETE","DELETE"," "))</f>
        <v>DELETE</v>
      </c>
    </row>
    <row r="1006" spans="2:21" ht="31.5" customHeight="1" x14ac:dyDescent="0.45">
      <c r="B1006" s="445"/>
      <c r="C1006" s="36"/>
      <c r="D1006" s="369" t="str">
        <f>Criteria!E9</f>
        <v>ABC TRUST</v>
      </c>
      <c r="O1006" s="433" t="s">
        <v>105</v>
      </c>
      <c r="Q1006" s="370">
        <f>MAX($Q$114:Q1005)+1</f>
        <v>18</v>
      </c>
      <c r="R1006" s="416" t="str">
        <f>R$1005</f>
        <v>DELETE</v>
      </c>
    </row>
    <row r="1007" spans="2:21" ht="31.5" customHeight="1" x14ac:dyDescent="0.45">
      <c r="B1007" s="445"/>
      <c r="C1007" s="36"/>
      <c r="D1007" s="369" t="str">
        <f>Criteria!E10</f>
        <v>T/A RENTAL PROPERTIES, SEAFRONT RESTAURANT AND SURF SHOP</v>
      </c>
      <c r="R1007" s="416" t="str">
        <f>IF(R$1005="DELETE","DELETE",IF(D1007=0,"DELETE"," "))</f>
        <v>DELETE</v>
      </c>
    </row>
    <row r="1008" spans="2:21" ht="31.5" customHeight="1" x14ac:dyDescent="0.45">
      <c r="B1008" s="445"/>
      <c r="C1008" s="36"/>
      <c r="R1008" s="416" t="str">
        <f t="shared" ref="R1008:R1014" si="49">R$1005</f>
        <v>DELETE</v>
      </c>
    </row>
    <row r="1009" spans="2:22" ht="31.5" customHeight="1" x14ac:dyDescent="0.45">
      <c r="B1009" s="445"/>
      <c r="C1009" s="36"/>
      <c r="D1009" s="369" t="s">
        <v>383</v>
      </c>
      <c r="R1009" s="416" t="str">
        <f t="shared" si="49"/>
        <v>DELETE</v>
      </c>
    </row>
    <row r="1010" spans="2:22" ht="31.5" customHeight="1" x14ac:dyDescent="0.45">
      <c r="B1010" s="445"/>
      <c r="C1010" s="36"/>
      <c r="D1010" s="369" t="str">
        <f>Criteria!E20</f>
        <v>29 FEBRUARY 2024</v>
      </c>
      <c r="J1010" s="368" t="s">
        <v>253</v>
      </c>
      <c r="R1010" s="416" t="str">
        <f t="shared" si="49"/>
        <v>DELETE</v>
      </c>
    </row>
    <row r="1011" spans="2:22" ht="31.5" customHeight="1" x14ac:dyDescent="0.45">
      <c r="B1011" s="445"/>
      <c r="C1011" s="36"/>
      <c r="M1011" s="441"/>
      <c r="N1011" s="400"/>
      <c r="O1011" s="441"/>
      <c r="P1011" s="478"/>
      <c r="R1011" s="416" t="str">
        <f t="shared" si="49"/>
        <v>DELETE</v>
      </c>
    </row>
    <row r="1012" spans="2:22" ht="31.5" customHeight="1" x14ac:dyDescent="0.45">
      <c r="B1012" s="465"/>
      <c r="C1012" s="268"/>
      <c r="D1012" s="386"/>
      <c r="E1012" s="386"/>
      <c r="F1012" s="386"/>
      <c r="G1012" s="386"/>
      <c r="H1012" s="386"/>
      <c r="I1012" s="386"/>
      <c r="J1012" s="386"/>
      <c r="K1012" s="386"/>
      <c r="L1012" s="386"/>
      <c r="M1012" s="446"/>
      <c r="N1012" s="391"/>
      <c r="O1012" s="446"/>
      <c r="P1012" s="481"/>
      <c r="Q1012" s="387"/>
      <c r="R1012" s="416" t="str">
        <f t="shared" si="49"/>
        <v>DELETE</v>
      </c>
    </row>
    <row r="1013" spans="2:22" ht="31.5" customHeight="1" x14ac:dyDescent="0.45">
      <c r="B1013" s="461"/>
      <c r="C1013" s="36"/>
      <c r="M1013" s="448">
        <f>Criteria!E22</f>
        <v>2024</v>
      </c>
      <c r="N1013" s="409"/>
      <c r="O1013" s="448">
        <f>Criteria!E27</f>
        <v>2023</v>
      </c>
      <c r="P1013" s="478"/>
      <c r="Q1013" s="389"/>
      <c r="R1013" s="416" t="str">
        <f t="shared" si="49"/>
        <v>DELETE</v>
      </c>
    </row>
    <row r="1014" spans="2:22" ht="31.5" customHeight="1" x14ac:dyDescent="0.45">
      <c r="B1014" s="461"/>
      <c r="C1014" s="36"/>
      <c r="M1014" s="441"/>
      <c r="N1014" s="400"/>
      <c r="O1014" s="441"/>
      <c r="P1014" s="478"/>
      <c r="Q1014" s="389"/>
      <c r="R1014" s="416" t="str">
        <f t="shared" si="49"/>
        <v>DELETE</v>
      </c>
    </row>
    <row r="1015" spans="2:22" ht="31.5" customHeight="1" x14ac:dyDescent="0.45">
      <c r="B1015" s="461"/>
      <c r="C1015" s="261">
        <f>MAX(C976:C1014)+0.1</f>
        <v>10.199999999999999</v>
      </c>
      <c r="D1015" s="368" t="s">
        <v>1123</v>
      </c>
      <c r="M1015" s="441"/>
      <c r="N1015" s="400"/>
      <c r="O1015" s="441"/>
      <c r="P1015" s="478"/>
      <c r="Q1015" s="389"/>
      <c r="R1015" s="416" t="str">
        <f>IF(O1029+M1029=0,"DELETE"," ")</f>
        <v>DELETE</v>
      </c>
    </row>
    <row r="1016" spans="2:22" ht="31.5" customHeight="1" x14ac:dyDescent="0.45">
      <c r="B1016" s="461"/>
      <c r="C1016" s="261"/>
      <c r="D1016" s="368" t="s">
        <v>1074</v>
      </c>
      <c r="H1016" s="372"/>
      <c r="J1016" s="372"/>
      <c r="K1016" s="466"/>
      <c r="M1016" s="441">
        <f>SUM(S1019:S1021)</f>
        <v>0</v>
      </c>
      <c r="N1016" s="400"/>
      <c r="O1016" s="441">
        <f>SUM(U1019:U1021)</f>
        <v>0</v>
      </c>
      <c r="P1016" s="478"/>
      <c r="Q1016" s="389"/>
      <c r="R1016" s="416" t="str">
        <f>R$1015</f>
        <v>DELETE</v>
      </c>
      <c r="V1016" s="417" t="b">
        <f>M1016=O1029</f>
        <v>1</v>
      </c>
    </row>
    <row r="1017" spans="2:22" ht="9" customHeight="1" x14ac:dyDescent="0.45">
      <c r="B1017" s="461"/>
      <c r="C1017" s="261"/>
      <c r="M1017" s="441"/>
      <c r="N1017" s="400"/>
      <c r="O1017" s="441"/>
      <c r="P1017" s="478"/>
      <c r="Q1017" s="389"/>
      <c r="R1017" s="416" t="str">
        <f t="shared" ref="R1017:R1038" si="50">R$1015</f>
        <v>DELETE</v>
      </c>
    </row>
    <row r="1018" spans="2:22" ht="9" customHeight="1" x14ac:dyDescent="0.45">
      <c r="B1018" s="461"/>
      <c r="C1018" s="261"/>
      <c r="M1018" s="435"/>
      <c r="N1018" s="391"/>
      <c r="O1018" s="450"/>
      <c r="P1018" s="478"/>
      <c r="Q1018" s="389"/>
      <c r="R1018" s="416" t="str">
        <f t="shared" si="50"/>
        <v>DELETE</v>
      </c>
    </row>
    <row r="1019" spans="2:22" ht="31.5" customHeight="1" x14ac:dyDescent="0.45">
      <c r="B1019" s="461"/>
      <c r="C1019" s="261"/>
      <c r="D1019" s="368" t="s">
        <v>389</v>
      </c>
      <c r="M1019" s="436">
        <f>TrialBalance!L282</f>
        <v>0</v>
      </c>
      <c r="N1019" s="400"/>
      <c r="O1019" s="451">
        <f>TrialBalance!N282</f>
        <v>0</v>
      </c>
      <c r="P1019" s="478"/>
      <c r="Q1019" s="389"/>
      <c r="R1019" s="416" t="str">
        <f t="shared" si="50"/>
        <v>DELETE</v>
      </c>
      <c r="S1019" s="421">
        <f>M1019</f>
        <v>0</v>
      </c>
      <c r="U1019" s="421">
        <f>O1019</f>
        <v>0</v>
      </c>
      <c r="V1019" s="417" t="b">
        <f>M1019=O1033</f>
        <v>1</v>
      </c>
    </row>
    <row r="1020" spans="2:22" ht="31.5" customHeight="1" x14ac:dyDescent="0.45">
      <c r="B1020" s="461"/>
      <c r="C1020" s="261"/>
      <c r="D1020" s="368" t="s">
        <v>1119</v>
      </c>
      <c r="M1020" s="436">
        <f>-TrialBalance!L285</f>
        <v>0</v>
      </c>
      <c r="N1020" s="400"/>
      <c r="O1020" s="451">
        <f>-TrialBalance!N285</f>
        <v>0</v>
      </c>
      <c r="P1020" s="478"/>
      <c r="Q1020" s="389"/>
      <c r="R1020" s="416" t="str">
        <f t="shared" si="50"/>
        <v>DELETE</v>
      </c>
      <c r="S1020" s="421">
        <f>-M1020</f>
        <v>0</v>
      </c>
      <c r="U1020" s="421">
        <f>-O1020</f>
        <v>0</v>
      </c>
      <c r="V1020" s="417" t="b">
        <f>M1020=O1034</f>
        <v>1</v>
      </c>
    </row>
    <row r="1021" spans="2:22" ht="31.5" customHeight="1" x14ac:dyDescent="0.45">
      <c r="B1021" s="461"/>
      <c r="C1021" s="261"/>
      <c r="D1021" s="368" t="s">
        <v>1120</v>
      </c>
      <c r="M1021" s="436">
        <f>-TrialBalance!L288</f>
        <v>0</v>
      </c>
      <c r="N1021" s="400"/>
      <c r="O1021" s="451">
        <f>-TrialBalance!N288</f>
        <v>0</v>
      </c>
      <c r="P1021" s="478"/>
      <c r="Q1021" s="389"/>
      <c r="R1021" s="416" t="str">
        <f>IF(M1021+O1021=0,"DELETE"," ")</f>
        <v>DELETE</v>
      </c>
      <c r="S1021" s="421">
        <f>-M1021</f>
        <v>0</v>
      </c>
      <c r="U1021" s="421">
        <f>-O1021</f>
        <v>0</v>
      </c>
      <c r="V1021" s="417" t="b">
        <f>M1021=O1035</f>
        <v>1</v>
      </c>
    </row>
    <row r="1022" spans="2:22" ht="9" customHeight="1" x14ac:dyDescent="0.45">
      <c r="B1022" s="461"/>
      <c r="C1022" s="261"/>
      <c r="M1022" s="437"/>
      <c r="N1022" s="392"/>
      <c r="O1022" s="452"/>
      <c r="P1022" s="478"/>
      <c r="Q1022" s="389"/>
      <c r="R1022" s="416" t="str">
        <f t="shared" si="50"/>
        <v>DELETE</v>
      </c>
    </row>
    <row r="1023" spans="2:22" ht="9" customHeight="1" x14ac:dyDescent="0.45">
      <c r="B1023" s="461"/>
      <c r="C1023" s="261"/>
      <c r="M1023" s="441"/>
      <c r="N1023" s="400"/>
      <c r="O1023" s="441"/>
      <c r="P1023" s="478"/>
      <c r="Q1023" s="389"/>
      <c r="R1023" s="416" t="str">
        <f t="shared" si="50"/>
        <v>DELETE</v>
      </c>
    </row>
    <row r="1024" spans="2:22" ht="31.5" customHeight="1" x14ac:dyDescent="0.45">
      <c r="B1024" s="461"/>
      <c r="C1024" s="261"/>
      <c r="D1024" s="368" t="s">
        <v>385</v>
      </c>
      <c r="M1024" s="441">
        <f>TrialBalance!L283</f>
        <v>0</v>
      </c>
      <c r="N1024" s="400"/>
      <c r="O1024" s="441">
        <f>TrialBalance!N283</f>
        <v>0</v>
      </c>
      <c r="P1024" s="478"/>
      <c r="Q1024" s="389"/>
      <c r="R1024" s="416" t="str">
        <f t="shared" si="50"/>
        <v>DELETE</v>
      </c>
      <c r="S1024" s="421">
        <f>M1024</f>
        <v>0</v>
      </c>
      <c r="U1024" s="421">
        <f>O1024</f>
        <v>0</v>
      </c>
    </row>
    <row r="1025" spans="2:24" ht="31.5" customHeight="1" x14ac:dyDescent="0.45">
      <c r="B1025" s="461"/>
      <c r="C1025" s="261"/>
      <c r="D1025" s="368" t="s">
        <v>1121</v>
      </c>
      <c r="M1025" s="441">
        <f>TrialBalance!L286</f>
        <v>0</v>
      </c>
      <c r="N1025" s="400"/>
      <c r="O1025" s="441">
        <f>TrialBalance!N286</f>
        <v>0</v>
      </c>
      <c r="P1025" s="478"/>
      <c r="Q1025" s="389"/>
      <c r="R1025" s="416" t="str">
        <f t="shared" si="50"/>
        <v>DELETE</v>
      </c>
      <c r="S1025" s="421">
        <f t="shared" ref="S1025:U1026" si="51">M1025</f>
        <v>0</v>
      </c>
      <c r="U1025" s="421">
        <f t="shared" si="51"/>
        <v>0</v>
      </c>
    </row>
    <row r="1026" spans="2:24" ht="31.5" customHeight="1" x14ac:dyDescent="0.45">
      <c r="B1026" s="461"/>
      <c r="C1026" s="261"/>
      <c r="D1026" s="368" t="s">
        <v>1122</v>
      </c>
      <c r="M1026" s="441">
        <f>TrialBalance!L289</f>
        <v>0</v>
      </c>
      <c r="N1026" s="400"/>
      <c r="O1026" s="441">
        <f>TrialBalance!N289</f>
        <v>0</v>
      </c>
      <c r="P1026" s="478"/>
      <c r="Q1026" s="389"/>
      <c r="R1026" s="416" t="str">
        <f>IF(M1026+O1026=0,"DELETE"," ")</f>
        <v>DELETE</v>
      </c>
      <c r="S1026" s="421">
        <f t="shared" si="51"/>
        <v>0</v>
      </c>
      <c r="U1026" s="421">
        <f t="shared" si="51"/>
        <v>0</v>
      </c>
    </row>
    <row r="1027" spans="2:24" ht="9" customHeight="1" x14ac:dyDescent="0.45">
      <c r="B1027" s="461"/>
      <c r="C1027" s="261"/>
      <c r="M1027" s="438"/>
      <c r="N1027" s="392"/>
      <c r="O1027" s="438"/>
      <c r="P1027" s="478"/>
      <c r="Q1027" s="389"/>
      <c r="R1027" s="416" t="str">
        <f t="shared" si="50"/>
        <v>DELETE</v>
      </c>
    </row>
    <row r="1028" spans="2:24" ht="9" customHeight="1" x14ac:dyDescent="0.45">
      <c r="B1028" s="461"/>
      <c r="C1028" s="261"/>
      <c r="M1028" s="441"/>
      <c r="N1028" s="400"/>
      <c r="O1028" s="441"/>
      <c r="P1028" s="478"/>
      <c r="Q1028" s="389"/>
      <c r="R1028" s="416" t="str">
        <f t="shared" si="50"/>
        <v>DELETE</v>
      </c>
    </row>
    <row r="1029" spans="2:24" ht="31.5" customHeight="1" x14ac:dyDescent="0.45">
      <c r="B1029" s="461"/>
      <c r="C1029" s="261"/>
      <c r="D1029" s="368" t="s">
        <v>1078</v>
      </c>
      <c r="M1029" s="441">
        <f>SUM(S1033:S1035)</f>
        <v>0</v>
      </c>
      <c r="N1029" s="400"/>
      <c r="O1029" s="441">
        <f>SUM(U1033:U1035)</f>
        <v>0</v>
      </c>
      <c r="P1029" s="478"/>
      <c r="Q1029" s="389"/>
      <c r="R1029" s="416" t="str">
        <f t="shared" si="50"/>
        <v>DELETE</v>
      </c>
      <c r="V1029" s="417" t="b">
        <f>M1029=SUM(S1018:S1027)</f>
        <v>1</v>
      </c>
      <c r="X1029" s="417" t="b">
        <f>O1029=SUM(U1018:U1027)</f>
        <v>1</v>
      </c>
    </row>
    <row r="1030" spans="2:24" ht="9" customHeight="1" thickBot="1" x14ac:dyDescent="0.5">
      <c r="B1030" s="461"/>
      <c r="C1030" s="261"/>
      <c r="M1030" s="439"/>
      <c r="N1030" s="393"/>
      <c r="O1030" s="439"/>
      <c r="P1030" s="478"/>
      <c r="Q1030" s="389"/>
      <c r="R1030" s="416" t="str">
        <f t="shared" si="50"/>
        <v>DELETE</v>
      </c>
    </row>
    <row r="1031" spans="2:24" ht="9" customHeight="1" thickTop="1" x14ac:dyDescent="0.45">
      <c r="B1031" s="461"/>
      <c r="C1031" s="261"/>
      <c r="M1031" s="441"/>
      <c r="N1031" s="400"/>
      <c r="O1031" s="441"/>
      <c r="P1031" s="478"/>
      <c r="Q1031" s="389"/>
      <c r="R1031" s="416" t="str">
        <f t="shared" si="50"/>
        <v>DELETE</v>
      </c>
    </row>
    <row r="1032" spans="2:24" ht="9" customHeight="1" x14ac:dyDescent="0.45">
      <c r="B1032" s="461"/>
      <c r="C1032" s="261"/>
      <c r="M1032" s="435"/>
      <c r="N1032" s="391"/>
      <c r="O1032" s="450"/>
      <c r="P1032" s="478"/>
      <c r="Q1032" s="389"/>
      <c r="R1032" s="416" t="str">
        <f t="shared" si="50"/>
        <v>DELETE</v>
      </c>
    </row>
    <row r="1033" spans="2:24" ht="31.5" customHeight="1" x14ac:dyDescent="0.45">
      <c r="B1033" s="461"/>
      <c r="C1033" s="261"/>
      <c r="D1033" s="368" t="s">
        <v>389</v>
      </c>
      <c r="M1033" s="436">
        <f>TrialBalance!L282+TrialBalance!L283</f>
        <v>0</v>
      </c>
      <c r="N1033" s="400"/>
      <c r="O1033" s="451">
        <f>TrialBalance!N282+TrialBalance!N283</f>
        <v>0</v>
      </c>
      <c r="P1033" s="478"/>
      <c r="Q1033" s="389"/>
      <c r="R1033" s="416" t="str">
        <f t="shared" si="50"/>
        <v>DELETE</v>
      </c>
      <c r="S1033" s="421">
        <f>M1033</f>
        <v>0</v>
      </c>
      <c r="U1033" s="421">
        <f>O1033</f>
        <v>0</v>
      </c>
    </row>
    <row r="1034" spans="2:24" ht="31.5" customHeight="1" x14ac:dyDescent="0.45">
      <c r="B1034" s="461"/>
      <c r="C1034" s="261"/>
      <c r="D1034" s="368" t="s">
        <v>1119</v>
      </c>
      <c r="M1034" s="436">
        <f>-TrialBalance!L285-TrialBalance!L286</f>
        <v>0</v>
      </c>
      <c r="N1034" s="400"/>
      <c r="O1034" s="451">
        <f>-TrialBalance!N285-TrialBalance!N286</f>
        <v>0</v>
      </c>
      <c r="P1034" s="478"/>
      <c r="Q1034" s="389"/>
      <c r="R1034" s="416" t="str">
        <f t="shared" si="50"/>
        <v>DELETE</v>
      </c>
      <c r="S1034" s="421">
        <f>-M1034</f>
        <v>0</v>
      </c>
      <c r="U1034" s="421">
        <f>-O1034</f>
        <v>0</v>
      </c>
    </row>
    <row r="1035" spans="2:24" ht="31.5" customHeight="1" x14ac:dyDescent="0.45">
      <c r="B1035" s="461"/>
      <c r="C1035" s="261"/>
      <c r="D1035" s="368" t="s">
        <v>1120</v>
      </c>
      <c r="M1035" s="436">
        <f>-TrialBalance!L288-TrialBalance!L289</f>
        <v>0</v>
      </c>
      <c r="N1035" s="400"/>
      <c r="O1035" s="451">
        <f>-TrialBalance!N288-TrialBalance!N289</f>
        <v>0</v>
      </c>
      <c r="P1035" s="478"/>
      <c r="Q1035" s="389"/>
      <c r="R1035" s="416" t="str">
        <f>IF(M1035+O1035=0,"DELETE"," ")</f>
        <v>DELETE</v>
      </c>
      <c r="S1035" s="421">
        <f>-M1035</f>
        <v>0</v>
      </c>
      <c r="U1035" s="421">
        <f>-O1035</f>
        <v>0</v>
      </c>
    </row>
    <row r="1036" spans="2:24" ht="9" customHeight="1" x14ac:dyDescent="0.45">
      <c r="B1036" s="461"/>
      <c r="C1036" s="261"/>
      <c r="M1036" s="437"/>
      <c r="N1036" s="392"/>
      <c r="O1036" s="452"/>
      <c r="P1036" s="478"/>
      <c r="Q1036" s="389"/>
      <c r="R1036" s="416" t="str">
        <f t="shared" si="50"/>
        <v>DELETE</v>
      </c>
    </row>
    <row r="1037" spans="2:24" ht="9" customHeight="1" x14ac:dyDescent="0.45">
      <c r="B1037" s="461"/>
      <c r="C1037" s="261"/>
      <c r="M1037" s="441"/>
      <c r="N1037" s="400"/>
      <c r="O1037" s="441"/>
      <c r="P1037" s="478"/>
      <c r="Q1037" s="389"/>
      <c r="R1037" s="416" t="str">
        <f t="shared" si="50"/>
        <v>DELETE</v>
      </c>
    </row>
    <row r="1038" spans="2:24" ht="31.5" customHeight="1" x14ac:dyDescent="0.45">
      <c r="B1038" s="461"/>
      <c r="C1038" s="261"/>
      <c r="M1038" s="441"/>
      <c r="N1038" s="400"/>
      <c r="O1038" s="441"/>
      <c r="P1038" s="478"/>
      <c r="Q1038" s="389"/>
      <c r="R1038" s="416" t="str">
        <f t="shared" si="50"/>
        <v>DELETE</v>
      </c>
    </row>
    <row r="1039" spans="2:24" ht="9" customHeight="1" x14ac:dyDescent="0.45">
      <c r="B1039" s="461"/>
      <c r="C1039" s="261"/>
      <c r="M1039" s="438"/>
      <c r="N1039" s="392"/>
      <c r="O1039" s="438"/>
      <c r="P1039" s="478"/>
      <c r="Q1039" s="389"/>
      <c r="R1039" s="416" t="str">
        <f t="shared" ref="R1039:R1047" si="52">R$976</f>
        <v>DELETE</v>
      </c>
    </row>
    <row r="1040" spans="2:24" ht="9" customHeight="1" x14ac:dyDescent="0.45">
      <c r="B1040" s="461"/>
      <c r="C1040" s="261"/>
      <c r="M1040" s="441"/>
      <c r="N1040" s="400"/>
      <c r="O1040" s="441"/>
      <c r="P1040" s="478"/>
      <c r="Q1040" s="389"/>
      <c r="R1040" s="416" t="str">
        <f t="shared" si="52"/>
        <v>DELETE</v>
      </c>
    </row>
    <row r="1041" spans="2:18" ht="31.5" customHeight="1" x14ac:dyDescent="0.45">
      <c r="B1041" s="461"/>
      <c r="C1041" s="261"/>
      <c r="D1041" s="368" t="s">
        <v>388</v>
      </c>
      <c r="M1041" s="441">
        <f>SUM(TrialBalance!L273:L289)</f>
        <v>0</v>
      </c>
      <c r="N1041" s="400"/>
      <c r="O1041" s="441">
        <f>SUM(TrialBalance!N273:N289)</f>
        <v>0</v>
      </c>
      <c r="P1041" s="478"/>
      <c r="Q1041" s="389"/>
      <c r="R1041" s="416" t="str">
        <f t="shared" si="52"/>
        <v>DELETE</v>
      </c>
    </row>
    <row r="1042" spans="2:18" ht="9" customHeight="1" thickBot="1" x14ac:dyDescent="0.5">
      <c r="B1042" s="461"/>
      <c r="C1042" s="261"/>
      <c r="M1042" s="439"/>
      <c r="N1042" s="393"/>
      <c r="O1042" s="439"/>
      <c r="P1042" s="478"/>
      <c r="Q1042" s="389"/>
      <c r="R1042" s="416" t="str">
        <f t="shared" si="52"/>
        <v>DELETE</v>
      </c>
    </row>
    <row r="1043" spans="2:18" ht="9" customHeight="1" thickTop="1" x14ac:dyDescent="0.45">
      <c r="B1043" s="461"/>
      <c r="C1043" s="261"/>
      <c r="M1043" s="441"/>
      <c r="N1043" s="400"/>
      <c r="O1043" s="441"/>
      <c r="P1043" s="478"/>
      <c r="Q1043" s="389"/>
      <c r="R1043" s="416" t="str">
        <f t="shared" si="52"/>
        <v>DELETE</v>
      </c>
    </row>
    <row r="1044" spans="2:18" ht="31.5" customHeight="1" x14ac:dyDescent="0.45">
      <c r="B1044" s="461"/>
      <c r="C1044" s="369"/>
      <c r="M1044" s="441"/>
      <c r="N1044" s="400"/>
      <c r="O1044" s="441"/>
      <c r="P1044" s="478"/>
      <c r="Q1044" s="389"/>
      <c r="R1044" s="416" t="str">
        <f t="shared" si="52"/>
        <v>DELETE</v>
      </c>
    </row>
    <row r="1045" spans="2:18" ht="31.5" customHeight="1" x14ac:dyDescent="0.45">
      <c r="B1045" s="461"/>
      <c r="C1045" s="369"/>
      <c r="M1045" s="441"/>
      <c r="N1045" s="400"/>
      <c r="O1045" s="441"/>
      <c r="P1045" s="478"/>
      <c r="Q1045" s="389"/>
      <c r="R1045" s="416" t="str">
        <f t="shared" si="52"/>
        <v>DELETE</v>
      </c>
    </row>
    <row r="1046" spans="2:18" ht="31.5" customHeight="1" x14ac:dyDescent="0.45">
      <c r="B1046" s="462"/>
      <c r="C1046" s="407"/>
      <c r="D1046" s="383"/>
      <c r="E1046" s="383"/>
      <c r="F1046" s="383"/>
      <c r="G1046" s="383"/>
      <c r="H1046" s="383"/>
      <c r="I1046" s="383"/>
      <c r="J1046" s="383"/>
      <c r="K1046" s="383"/>
      <c r="L1046" s="383"/>
      <c r="M1046" s="438"/>
      <c r="N1046" s="392"/>
      <c r="O1046" s="438"/>
      <c r="P1046" s="475"/>
      <c r="Q1046" s="398"/>
      <c r="R1046" s="416" t="str">
        <f t="shared" si="52"/>
        <v>DELETE</v>
      </c>
    </row>
    <row r="1047" spans="2:18" ht="31.5" customHeight="1" x14ac:dyDescent="0.45">
      <c r="B1047" s="431"/>
      <c r="R1047" s="416" t="str">
        <f t="shared" si="52"/>
        <v>DELETE</v>
      </c>
    </row>
    <row r="1048" spans="2:18" ht="31.5" customHeight="1" x14ac:dyDescent="0.45">
      <c r="B1048" s="431"/>
      <c r="R1048" s="416" t="str">
        <f>R$1066</f>
        <v>DELETE</v>
      </c>
    </row>
    <row r="1049" spans="2:18" ht="31.5" customHeight="1" x14ac:dyDescent="0.45">
      <c r="B1049" s="431"/>
      <c r="D1049" s="369" t="str">
        <f>Criteria!E9</f>
        <v>ABC TRUST</v>
      </c>
      <c r="O1049" s="433" t="s">
        <v>105</v>
      </c>
      <c r="Q1049" s="370">
        <f>MAX($Q$114:Q1048)+1</f>
        <v>19</v>
      </c>
      <c r="R1049" s="416" t="str">
        <f t="shared" ref="R1049:R1058" si="53">R$1066</f>
        <v>DELETE</v>
      </c>
    </row>
    <row r="1050" spans="2:18" ht="31.5" customHeight="1" x14ac:dyDescent="0.45">
      <c r="B1050" s="431"/>
      <c r="D1050" s="369" t="str">
        <f>Criteria!E10</f>
        <v>T/A RENTAL PROPERTIES, SEAFRONT RESTAURANT AND SURF SHOP</v>
      </c>
      <c r="R1050" s="416" t="str">
        <f>IF(R$1066="DELETE","DELETE",IF(D1050=0,"DELETE"," "))</f>
        <v>DELETE</v>
      </c>
    </row>
    <row r="1051" spans="2:18" ht="31.5" customHeight="1" x14ac:dyDescent="0.45">
      <c r="B1051" s="431"/>
      <c r="R1051" s="416" t="str">
        <f t="shared" si="53"/>
        <v>DELETE</v>
      </c>
    </row>
    <row r="1052" spans="2:18" ht="31.5" customHeight="1" x14ac:dyDescent="0.45">
      <c r="B1052" s="431"/>
      <c r="D1052" s="369" t="s">
        <v>383</v>
      </c>
      <c r="R1052" s="416" t="str">
        <f t="shared" si="53"/>
        <v>DELETE</v>
      </c>
    </row>
    <row r="1053" spans="2:18" ht="31.5" customHeight="1" x14ac:dyDescent="0.45">
      <c r="B1053" s="431"/>
      <c r="D1053" s="369" t="str">
        <f>Criteria!E20</f>
        <v>29 FEBRUARY 2024</v>
      </c>
      <c r="J1053" s="368" t="s">
        <v>253</v>
      </c>
      <c r="R1053" s="416" t="str">
        <f t="shared" si="53"/>
        <v>DELETE</v>
      </c>
    </row>
    <row r="1054" spans="2:18" ht="31.5" customHeight="1" x14ac:dyDescent="0.45">
      <c r="B1054" s="431"/>
      <c r="R1054" s="416" t="str">
        <f t="shared" si="53"/>
        <v>DELETE</v>
      </c>
    </row>
    <row r="1055" spans="2:18" ht="31.5" customHeight="1" x14ac:dyDescent="0.45">
      <c r="B1055" s="463"/>
      <c r="C1055" s="386"/>
      <c r="D1055" s="386"/>
      <c r="E1055" s="386"/>
      <c r="F1055" s="386"/>
      <c r="G1055" s="386"/>
      <c r="H1055" s="386"/>
      <c r="I1055" s="386"/>
      <c r="J1055" s="386"/>
      <c r="K1055" s="386"/>
      <c r="L1055" s="386"/>
      <c r="M1055" s="480"/>
      <c r="N1055" s="481"/>
      <c r="O1055" s="480"/>
      <c r="P1055" s="481"/>
      <c r="Q1055" s="387"/>
      <c r="R1055" s="416" t="str">
        <f t="shared" si="53"/>
        <v>DELETE</v>
      </c>
    </row>
    <row r="1056" spans="2:18" ht="31.5" customHeight="1" x14ac:dyDescent="0.45">
      <c r="B1056" s="464"/>
      <c r="M1056" s="430">
        <f>Criteria!E22</f>
        <v>2024</v>
      </c>
      <c r="N1056" s="379"/>
      <c r="O1056" s="430">
        <f>Criteria!E27</f>
        <v>2023</v>
      </c>
      <c r="Q1056" s="389"/>
      <c r="R1056" s="416" t="str">
        <f t="shared" si="53"/>
        <v>DELETE</v>
      </c>
    </row>
    <row r="1057" spans="2:18" ht="31.5" customHeight="1" x14ac:dyDescent="0.45">
      <c r="B1057" s="464"/>
      <c r="Q1057" s="389"/>
      <c r="R1057" s="416" t="str">
        <f t="shared" si="53"/>
        <v>DELETE</v>
      </c>
    </row>
    <row r="1058" spans="2:18" ht="31.5" customHeight="1" x14ac:dyDescent="0.45">
      <c r="B1058" s="461">
        <f>MAX($B$431:B1057)+1</f>
        <v>11</v>
      </c>
      <c r="C1058" s="369" t="str">
        <f>IF(COUNTIF(TrialBalance!N292:N296,"&gt;0")&gt;1,"LISTED INVESTMENTS",IF(COUNTIF(TrialBalance!L292:L296,"&gt;0")&gt;1,"LISTED INVESTMENTS","LISTED INVESTMENT"))</f>
        <v>LISTED INVESTMENT</v>
      </c>
      <c r="M1058" s="479"/>
      <c r="N1058" s="469"/>
      <c r="O1058" s="479"/>
      <c r="Q1058" s="389"/>
      <c r="R1058" s="416" t="str">
        <f t="shared" si="53"/>
        <v>DELETE</v>
      </c>
    </row>
    <row r="1059" spans="2:18" ht="31.5" customHeight="1" x14ac:dyDescent="0.45">
      <c r="B1059" s="461"/>
      <c r="C1059" s="369"/>
      <c r="D1059" s="368">
        <f>TrialBalance!C292</f>
        <v>0</v>
      </c>
      <c r="M1059" s="434">
        <f>TrialBalance!L292</f>
        <v>0</v>
      </c>
      <c r="N1059" s="390"/>
      <c r="O1059" s="434">
        <f>TrialBalance!N292</f>
        <v>0</v>
      </c>
      <c r="Q1059" s="389"/>
      <c r="R1059" s="416" t="str">
        <f>IF(M1059+O1059=0,"DELETE"," ")</f>
        <v>DELETE</v>
      </c>
    </row>
    <row r="1060" spans="2:18" ht="31.5" customHeight="1" x14ac:dyDescent="0.45">
      <c r="B1060" s="461"/>
      <c r="C1060" s="369"/>
      <c r="D1060" s="368">
        <f>TrialBalance!C293</f>
        <v>0</v>
      </c>
      <c r="M1060" s="434">
        <f>TrialBalance!L293</f>
        <v>0</v>
      </c>
      <c r="N1060" s="390"/>
      <c r="O1060" s="434">
        <f>TrialBalance!N293</f>
        <v>0</v>
      </c>
      <c r="Q1060" s="389"/>
      <c r="R1060" s="416" t="str">
        <f>IF(M1060+O1060=0,"DELETE"," ")</f>
        <v>DELETE</v>
      </c>
    </row>
    <row r="1061" spans="2:18" ht="31.5" customHeight="1" x14ac:dyDescent="0.45">
      <c r="B1061" s="461"/>
      <c r="C1061" s="369"/>
      <c r="D1061" s="368">
        <f>TrialBalance!C294</f>
        <v>0</v>
      </c>
      <c r="M1061" s="434">
        <f>TrialBalance!L294</f>
        <v>0</v>
      </c>
      <c r="N1061" s="390"/>
      <c r="O1061" s="434">
        <f>TrialBalance!N294</f>
        <v>0</v>
      </c>
      <c r="Q1061" s="389"/>
      <c r="R1061" s="416" t="str">
        <f>IF(M1061+O1061=0,"DELETE"," ")</f>
        <v>DELETE</v>
      </c>
    </row>
    <row r="1062" spans="2:18" ht="31.5" customHeight="1" x14ac:dyDescent="0.45">
      <c r="B1062" s="461"/>
      <c r="C1062" s="369"/>
      <c r="D1062" s="368">
        <f>TrialBalance!C295</f>
        <v>0</v>
      </c>
      <c r="M1062" s="434">
        <f>TrialBalance!L295</f>
        <v>0</v>
      </c>
      <c r="N1062" s="390"/>
      <c r="O1062" s="434">
        <f>TrialBalance!N295</f>
        <v>0</v>
      </c>
      <c r="Q1062" s="389"/>
      <c r="R1062" s="416" t="str">
        <f>IF(M1062+O1062=0,"DELETE"," ")</f>
        <v>DELETE</v>
      </c>
    </row>
    <row r="1063" spans="2:18" ht="31.5" customHeight="1" x14ac:dyDescent="0.45">
      <c r="B1063" s="461"/>
      <c r="C1063" s="369"/>
      <c r="D1063" s="368">
        <f>TrialBalance!C296</f>
        <v>0</v>
      </c>
      <c r="M1063" s="434">
        <f>TrialBalance!L296</f>
        <v>0</v>
      </c>
      <c r="N1063" s="390"/>
      <c r="O1063" s="434">
        <f>TrialBalance!N296</f>
        <v>0</v>
      </c>
      <c r="Q1063" s="389"/>
      <c r="R1063" s="416" t="str">
        <f>IF(M1063+O1063=0,"DELETE"," ")</f>
        <v>DELETE</v>
      </c>
    </row>
    <row r="1064" spans="2:18" ht="9" customHeight="1" x14ac:dyDescent="0.45">
      <c r="B1064" s="461"/>
      <c r="C1064" s="369"/>
      <c r="M1064" s="438"/>
      <c r="N1064" s="392"/>
      <c r="O1064" s="438"/>
      <c r="Q1064" s="389"/>
      <c r="R1064" s="416" t="str">
        <f>R1066</f>
        <v>DELETE</v>
      </c>
    </row>
    <row r="1065" spans="2:18" ht="9" customHeight="1" x14ac:dyDescent="0.45">
      <c r="B1065" s="461"/>
      <c r="C1065" s="369"/>
      <c r="M1065" s="434"/>
      <c r="N1065" s="390"/>
      <c r="O1065" s="434"/>
      <c r="Q1065" s="389"/>
      <c r="R1065" s="416" t="str">
        <f>R1066</f>
        <v>DELETE</v>
      </c>
    </row>
    <row r="1066" spans="2:18" ht="31.5" customHeight="1" x14ac:dyDescent="0.45">
      <c r="B1066" s="461"/>
      <c r="C1066" s="369"/>
      <c r="M1066" s="434">
        <f>SUM(M1059:M1065)</f>
        <v>0</v>
      </c>
      <c r="N1066" s="390"/>
      <c r="O1066" s="434">
        <f>SUM(O1059:O1065)</f>
        <v>0</v>
      </c>
      <c r="Q1066" s="389"/>
      <c r="R1066" s="416" t="str">
        <f>IF(M1066+O1066=0,"DELETE"," ")</f>
        <v>DELETE</v>
      </c>
    </row>
    <row r="1067" spans="2:18" ht="9" customHeight="1" thickBot="1" x14ac:dyDescent="0.5">
      <c r="B1067" s="461"/>
      <c r="C1067" s="369"/>
      <c r="M1067" s="439"/>
      <c r="N1067" s="393"/>
      <c r="O1067" s="439"/>
      <c r="Q1067" s="389"/>
      <c r="R1067" s="416" t="str">
        <f>R1066</f>
        <v>DELETE</v>
      </c>
    </row>
    <row r="1068" spans="2:18" ht="9" customHeight="1" thickTop="1" x14ac:dyDescent="0.45">
      <c r="B1068" s="461"/>
      <c r="C1068" s="369"/>
      <c r="M1068" s="441"/>
      <c r="N1068" s="400"/>
      <c r="O1068" s="441"/>
      <c r="Q1068" s="389"/>
      <c r="R1068" s="416" t="str">
        <f>R1067</f>
        <v>DELETE</v>
      </c>
    </row>
    <row r="1069" spans="2:18" ht="31.5" customHeight="1" x14ac:dyDescent="0.45">
      <c r="B1069" s="461"/>
      <c r="C1069" s="369"/>
      <c r="M1069" s="441"/>
      <c r="N1069" s="400"/>
      <c r="O1069" s="441"/>
      <c r="Q1069" s="389"/>
      <c r="R1069" s="416" t="str">
        <f t="shared" ref="R1069:R1071" si="54">R$1066</f>
        <v>DELETE</v>
      </c>
    </row>
    <row r="1070" spans="2:18" ht="31.5" customHeight="1" x14ac:dyDescent="0.45">
      <c r="B1070" s="461"/>
      <c r="C1070" s="369"/>
      <c r="M1070" s="441"/>
      <c r="N1070" s="400"/>
      <c r="O1070" s="441"/>
      <c r="Q1070" s="389"/>
      <c r="R1070" s="416" t="str">
        <f t="shared" si="54"/>
        <v>DELETE</v>
      </c>
    </row>
    <row r="1071" spans="2:18" ht="31.5" customHeight="1" x14ac:dyDescent="0.45">
      <c r="B1071" s="461"/>
      <c r="C1071" s="369"/>
      <c r="M1071" s="441"/>
      <c r="N1071" s="400"/>
      <c r="O1071" s="441"/>
      <c r="Q1071" s="389"/>
      <c r="R1071" s="416" t="str">
        <f t="shared" si="54"/>
        <v>DELETE</v>
      </c>
    </row>
    <row r="1072" spans="2:18" ht="31.5" customHeight="1" x14ac:dyDescent="0.45">
      <c r="B1072" s="462"/>
      <c r="C1072" s="407"/>
      <c r="D1072" s="383"/>
      <c r="E1072" s="383"/>
      <c r="F1072" s="383"/>
      <c r="G1072" s="383"/>
      <c r="H1072" s="383"/>
      <c r="I1072" s="383"/>
      <c r="J1072" s="383"/>
      <c r="K1072" s="383"/>
      <c r="L1072" s="383"/>
      <c r="M1072" s="438"/>
      <c r="N1072" s="392"/>
      <c r="O1072" s="438"/>
      <c r="P1072" s="475"/>
      <c r="Q1072" s="398"/>
      <c r="R1072" s="416" t="str">
        <f>R$1066</f>
        <v>DELETE</v>
      </c>
    </row>
    <row r="1073" spans="2:24" ht="31.5" customHeight="1" x14ac:dyDescent="0.45">
      <c r="B1073" s="445"/>
      <c r="C1073" s="369"/>
      <c r="M1073" s="434"/>
      <c r="N1073" s="390"/>
      <c r="O1073" s="434"/>
      <c r="R1073" s="416" t="str">
        <f>R$1066</f>
        <v>DELETE</v>
      </c>
    </row>
    <row r="1074" spans="2:24" ht="31.5" customHeight="1" x14ac:dyDescent="0.45">
      <c r="B1074" s="445"/>
      <c r="C1074" s="369"/>
      <c r="M1074" s="434"/>
      <c r="N1074" s="390"/>
      <c r="O1074" s="434"/>
      <c r="R1074" s="416" t="str">
        <f>R$1126</f>
        <v>DELETE</v>
      </c>
    </row>
    <row r="1075" spans="2:24" ht="31.5" customHeight="1" x14ac:dyDescent="0.45">
      <c r="B1075" s="431"/>
      <c r="D1075" s="369" t="str">
        <f>Criteria!E9</f>
        <v>ABC TRUST</v>
      </c>
      <c r="O1075" s="433" t="s">
        <v>105</v>
      </c>
      <c r="Q1075" s="370">
        <f>MAX($Q$114:Q1074)+1</f>
        <v>20</v>
      </c>
      <c r="R1075" s="416" t="str">
        <f>R$1126</f>
        <v>DELETE</v>
      </c>
    </row>
    <row r="1076" spans="2:24" ht="31.5" customHeight="1" x14ac:dyDescent="0.45">
      <c r="B1076" s="431"/>
      <c r="D1076" s="369" t="str">
        <f>Criteria!E10</f>
        <v>T/A RENTAL PROPERTIES, SEAFRONT RESTAURANT AND SURF SHOP</v>
      </c>
      <c r="R1076" s="416" t="str">
        <f>IF(R$1126="DELETE","DELETE",IF(D1076=0,"DELETE"," "))</f>
        <v>DELETE</v>
      </c>
    </row>
    <row r="1077" spans="2:24" ht="31.5" customHeight="1" x14ac:dyDescent="0.45">
      <c r="B1077" s="431"/>
      <c r="R1077" s="416" t="str">
        <f t="shared" ref="R1077:R1084" si="55">R$1126</f>
        <v>DELETE</v>
      </c>
    </row>
    <row r="1078" spans="2:24" ht="31.5" customHeight="1" x14ac:dyDescent="0.45">
      <c r="B1078" s="431"/>
      <c r="D1078" s="369" t="s">
        <v>383</v>
      </c>
      <c r="R1078" s="416" t="str">
        <f t="shared" si="55"/>
        <v>DELETE</v>
      </c>
    </row>
    <row r="1079" spans="2:24" ht="31.5" customHeight="1" x14ac:dyDescent="0.45">
      <c r="B1079" s="431"/>
      <c r="D1079" s="369" t="str">
        <f>Criteria!E20</f>
        <v>29 FEBRUARY 2024</v>
      </c>
      <c r="J1079" s="368" t="s">
        <v>253</v>
      </c>
      <c r="R1079" s="416" t="str">
        <f t="shared" si="55"/>
        <v>DELETE</v>
      </c>
    </row>
    <row r="1080" spans="2:24" ht="31.5" customHeight="1" x14ac:dyDescent="0.45">
      <c r="B1080" s="431"/>
      <c r="R1080" s="416" t="str">
        <f t="shared" si="55"/>
        <v>DELETE</v>
      </c>
    </row>
    <row r="1081" spans="2:24" ht="31.5" customHeight="1" x14ac:dyDescent="0.45">
      <c r="B1081" s="463"/>
      <c r="C1081" s="386"/>
      <c r="D1081" s="386"/>
      <c r="E1081" s="386"/>
      <c r="F1081" s="386"/>
      <c r="G1081" s="386"/>
      <c r="H1081" s="386"/>
      <c r="I1081" s="386"/>
      <c r="J1081" s="386"/>
      <c r="K1081" s="386"/>
      <c r="L1081" s="386"/>
      <c r="M1081" s="480"/>
      <c r="N1081" s="481"/>
      <c r="O1081" s="480"/>
      <c r="P1081" s="481"/>
      <c r="Q1081" s="387"/>
      <c r="R1081" s="416" t="str">
        <f t="shared" si="55"/>
        <v>DELETE</v>
      </c>
    </row>
    <row r="1082" spans="2:24" ht="31.5" customHeight="1" x14ac:dyDescent="0.45">
      <c r="B1082" s="464"/>
      <c r="M1082" s="430">
        <f>Criteria!E22</f>
        <v>2024</v>
      </c>
      <c r="N1082" s="379"/>
      <c r="O1082" s="430">
        <f>Criteria!E27</f>
        <v>2023</v>
      </c>
      <c r="Q1082" s="389"/>
      <c r="R1082" s="416" t="str">
        <f t="shared" si="55"/>
        <v>DELETE</v>
      </c>
    </row>
    <row r="1083" spans="2:24" ht="31.5" customHeight="1" x14ac:dyDescent="0.45">
      <c r="B1083" s="461"/>
      <c r="C1083" s="369"/>
      <c r="M1083" s="434"/>
      <c r="N1083" s="390"/>
      <c r="O1083" s="434"/>
      <c r="Q1083" s="389"/>
      <c r="R1083" s="416" t="str">
        <f t="shared" si="55"/>
        <v>DELETE</v>
      </c>
    </row>
    <row r="1084" spans="2:24" ht="31.5" customHeight="1" x14ac:dyDescent="0.45">
      <c r="B1084" s="461">
        <f>MAX($B$431:B1083)+1</f>
        <v>12</v>
      </c>
      <c r="C1084" s="369" t="str">
        <f>IF(COUNTIF(TrialBalance!N298:N324,"&gt;0")&gt;1,"OTHER INVESTMENTS",IF(COUNTIF(TrialBalance!L298:L324,"&gt;0")&gt;1,"OTHER INVESTMENTS","OTHER INVESTMENT"))</f>
        <v>OTHER INVESTMENT</v>
      </c>
      <c r="D1084" s="372"/>
      <c r="M1084" s="434"/>
      <c r="N1084" s="390"/>
      <c r="O1084" s="434"/>
      <c r="Q1084" s="389"/>
      <c r="R1084" s="416" t="str">
        <f t="shared" si="55"/>
        <v>DELETE</v>
      </c>
      <c r="S1084" s="422"/>
      <c r="T1084" s="422"/>
      <c r="U1084" s="422"/>
      <c r="V1084" s="422"/>
      <c r="W1084" s="422"/>
      <c r="X1084" s="422"/>
    </row>
    <row r="1085" spans="2:24" ht="31.5" customHeight="1" x14ac:dyDescent="0.45">
      <c r="B1085" s="461"/>
      <c r="C1085" s="369"/>
      <c r="D1085" s="368" t="str">
        <f>IF(COUNTIF(TrialBalance!N298:N312,"&gt;0")&gt;1,"Shares in private companies",IF(COUNTIF(TrialBalance!L298:L312,"&gt;0")&gt;1,"Shares in private companies","Shares in a private company"))</f>
        <v>Shares in a private company</v>
      </c>
      <c r="M1085" s="434">
        <f>SUM(M1087:M1103)</f>
        <v>0</v>
      </c>
      <c r="N1085" s="390"/>
      <c r="O1085" s="434">
        <f>SUM(O1087:O1103)</f>
        <v>0</v>
      </c>
      <c r="Q1085" s="389"/>
      <c r="R1085" s="416" t="str">
        <f>IF(M1085+O1085=0,"DELETE"," ")</f>
        <v>DELETE</v>
      </c>
      <c r="S1085" s="422">
        <f>M1085</f>
        <v>0</v>
      </c>
      <c r="T1085" s="422"/>
      <c r="U1085" s="422">
        <f>O1085</f>
        <v>0</v>
      </c>
      <c r="V1085" s="422"/>
      <c r="W1085" s="422"/>
      <c r="X1085" s="422"/>
    </row>
    <row r="1086" spans="2:24" ht="9" customHeight="1" x14ac:dyDescent="0.45">
      <c r="B1086" s="461"/>
      <c r="C1086" s="369"/>
      <c r="M1086" s="434"/>
      <c r="N1086" s="390"/>
      <c r="O1086" s="434"/>
      <c r="Q1086" s="389"/>
      <c r="R1086" s="416" t="str">
        <f>R1085</f>
        <v>DELETE</v>
      </c>
      <c r="S1086" s="422"/>
      <c r="T1086" s="422"/>
      <c r="U1086" s="422"/>
      <c r="V1086" s="422"/>
      <c r="W1086" s="422"/>
      <c r="X1086" s="422"/>
    </row>
    <row r="1087" spans="2:24" ht="9" customHeight="1" x14ac:dyDescent="0.45">
      <c r="B1087" s="461"/>
      <c r="C1087" s="369"/>
      <c r="M1087" s="435"/>
      <c r="N1087" s="391"/>
      <c r="O1087" s="450"/>
      <c r="Q1087" s="389"/>
      <c r="R1087" s="416" t="str">
        <f>R1085</f>
        <v>DELETE</v>
      </c>
      <c r="S1087" s="422"/>
      <c r="T1087" s="422"/>
      <c r="U1087" s="422"/>
      <c r="V1087" s="422"/>
      <c r="W1087" s="422"/>
      <c r="X1087" s="422"/>
    </row>
    <row r="1088" spans="2:24" ht="31.5" customHeight="1" x14ac:dyDescent="0.45">
      <c r="B1088" s="461"/>
      <c r="C1088" s="369"/>
      <c r="D1088" s="368">
        <f>TrialBalance!C298</f>
        <v>0</v>
      </c>
      <c r="M1088" s="436">
        <f>TrialBalance!L298</f>
        <v>0</v>
      </c>
      <c r="N1088" s="400"/>
      <c r="O1088" s="451">
        <f>TrialBalance!N298</f>
        <v>0</v>
      </c>
      <c r="Q1088" s="389"/>
      <c r="R1088" s="416" t="str">
        <f>IF(M1088+O1088=0,"DELETE"," ")</f>
        <v>DELETE</v>
      </c>
    </row>
    <row r="1089" spans="2:18" ht="31.5" customHeight="1" x14ac:dyDescent="0.45">
      <c r="B1089" s="461"/>
      <c r="C1089" s="369"/>
      <c r="D1089" s="368">
        <f>TrialBalance!C299</f>
        <v>0</v>
      </c>
      <c r="M1089" s="436">
        <f>TrialBalance!L299</f>
        <v>0</v>
      </c>
      <c r="N1089" s="400"/>
      <c r="O1089" s="451">
        <f>TrialBalance!N299</f>
        <v>0</v>
      </c>
      <c r="Q1089" s="389"/>
      <c r="R1089" s="416" t="str">
        <f>IF(M1089+O1089=0,"DELETE"," ")</f>
        <v>DELETE</v>
      </c>
    </row>
    <row r="1090" spans="2:18" ht="31.5" customHeight="1" x14ac:dyDescent="0.45">
      <c r="B1090" s="461"/>
      <c r="C1090" s="369"/>
      <c r="D1090" s="368">
        <f>TrialBalance!C300</f>
        <v>0</v>
      </c>
      <c r="M1090" s="436">
        <f>TrialBalance!L300</f>
        <v>0</v>
      </c>
      <c r="N1090" s="400"/>
      <c r="O1090" s="451">
        <f>TrialBalance!N300</f>
        <v>0</v>
      </c>
      <c r="Q1090" s="389"/>
      <c r="R1090" s="416" t="str">
        <f>IF(M1090+O1090=0,"DELETE"," ")</f>
        <v>DELETE</v>
      </c>
    </row>
    <row r="1091" spans="2:18" ht="31.5" customHeight="1" x14ac:dyDescent="0.45">
      <c r="B1091" s="461"/>
      <c r="C1091" s="369"/>
      <c r="D1091" s="368">
        <f>TrialBalance!C301</f>
        <v>0</v>
      </c>
      <c r="M1091" s="436">
        <f>TrialBalance!L301</f>
        <v>0</v>
      </c>
      <c r="N1091" s="400"/>
      <c r="O1091" s="451">
        <f>TrialBalance!N301</f>
        <v>0</v>
      </c>
      <c r="Q1091" s="389"/>
      <c r="R1091" s="416" t="str">
        <f>IF(M1091+O1091=0,"DELETE"," ")</f>
        <v>DELETE</v>
      </c>
    </row>
    <row r="1092" spans="2:18" ht="31.5" customHeight="1" x14ac:dyDescent="0.45">
      <c r="B1092" s="461"/>
      <c r="C1092" s="369"/>
      <c r="D1092" s="368">
        <f>TrialBalance!C302</f>
        <v>0</v>
      </c>
      <c r="M1092" s="436">
        <f>TrialBalance!L302</f>
        <v>0</v>
      </c>
      <c r="N1092" s="400"/>
      <c r="O1092" s="451">
        <f>TrialBalance!N302</f>
        <v>0</v>
      </c>
      <c r="Q1092" s="389"/>
      <c r="R1092" s="416" t="str">
        <f>IF(M1092+O1092=0,"DELETE"," ")</f>
        <v>DELETE</v>
      </c>
    </row>
    <row r="1093" spans="2:18" ht="31.5" customHeight="1" x14ac:dyDescent="0.45">
      <c r="B1093" s="461"/>
      <c r="C1093" s="369"/>
      <c r="D1093" s="368">
        <f>TrialBalance!C303</f>
        <v>0</v>
      </c>
      <c r="M1093" s="436">
        <f>TrialBalance!L303</f>
        <v>0</v>
      </c>
      <c r="N1093" s="400"/>
      <c r="O1093" s="451">
        <f>TrialBalance!N303</f>
        <v>0</v>
      </c>
      <c r="Q1093" s="389"/>
      <c r="R1093" s="416" t="str">
        <f t="shared" ref="R1093:R1102" si="56">IF(M1093+O1093=0,"DELETE"," ")</f>
        <v>DELETE</v>
      </c>
    </row>
    <row r="1094" spans="2:18" ht="31.5" customHeight="1" x14ac:dyDescent="0.45">
      <c r="B1094" s="461"/>
      <c r="C1094" s="369"/>
      <c r="D1094" s="368">
        <f>TrialBalance!C304</f>
        <v>0</v>
      </c>
      <c r="M1094" s="436">
        <f>TrialBalance!L304</f>
        <v>0</v>
      </c>
      <c r="N1094" s="400"/>
      <c r="O1094" s="451">
        <f>TrialBalance!N304</f>
        <v>0</v>
      </c>
      <c r="Q1094" s="389"/>
      <c r="R1094" s="416" t="str">
        <f t="shared" si="56"/>
        <v>DELETE</v>
      </c>
    </row>
    <row r="1095" spans="2:18" ht="31.5" customHeight="1" x14ac:dyDescent="0.45">
      <c r="B1095" s="461"/>
      <c r="C1095" s="369"/>
      <c r="D1095" s="368">
        <f>TrialBalance!C305</f>
        <v>0</v>
      </c>
      <c r="M1095" s="436">
        <f>TrialBalance!L305</f>
        <v>0</v>
      </c>
      <c r="N1095" s="400"/>
      <c r="O1095" s="451">
        <f>TrialBalance!N305</f>
        <v>0</v>
      </c>
      <c r="Q1095" s="389"/>
      <c r="R1095" s="416" t="str">
        <f t="shared" si="56"/>
        <v>DELETE</v>
      </c>
    </row>
    <row r="1096" spans="2:18" ht="31.5" customHeight="1" x14ac:dyDescent="0.45">
      <c r="B1096" s="461"/>
      <c r="C1096" s="369"/>
      <c r="D1096" s="368">
        <f>TrialBalance!C306</f>
        <v>0</v>
      </c>
      <c r="M1096" s="436">
        <f>TrialBalance!L306</f>
        <v>0</v>
      </c>
      <c r="N1096" s="400"/>
      <c r="O1096" s="451">
        <f>TrialBalance!N306</f>
        <v>0</v>
      </c>
      <c r="Q1096" s="389"/>
      <c r="R1096" s="416" t="str">
        <f t="shared" si="56"/>
        <v>DELETE</v>
      </c>
    </row>
    <row r="1097" spans="2:18" ht="31.5" customHeight="1" x14ac:dyDescent="0.45">
      <c r="B1097" s="461"/>
      <c r="C1097" s="369"/>
      <c r="D1097" s="368">
        <f>TrialBalance!C307</f>
        <v>0</v>
      </c>
      <c r="M1097" s="436">
        <f>TrialBalance!L307</f>
        <v>0</v>
      </c>
      <c r="N1097" s="400"/>
      <c r="O1097" s="451">
        <f>TrialBalance!N307</f>
        <v>0</v>
      </c>
      <c r="Q1097" s="389"/>
      <c r="R1097" s="416" t="str">
        <f t="shared" si="56"/>
        <v>DELETE</v>
      </c>
    </row>
    <row r="1098" spans="2:18" ht="31.5" customHeight="1" x14ac:dyDescent="0.45">
      <c r="B1098" s="461"/>
      <c r="C1098" s="369"/>
      <c r="D1098" s="368">
        <f>TrialBalance!C308</f>
        <v>0</v>
      </c>
      <c r="M1098" s="436">
        <f>TrialBalance!L308</f>
        <v>0</v>
      </c>
      <c r="N1098" s="400"/>
      <c r="O1098" s="451">
        <f>TrialBalance!N308</f>
        <v>0</v>
      </c>
      <c r="Q1098" s="389"/>
      <c r="R1098" s="416" t="str">
        <f t="shared" si="56"/>
        <v>DELETE</v>
      </c>
    </row>
    <row r="1099" spans="2:18" ht="31.5" customHeight="1" x14ac:dyDescent="0.45">
      <c r="B1099" s="461"/>
      <c r="C1099" s="369"/>
      <c r="D1099" s="368">
        <f>TrialBalance!C309</f>
        <v>0</v>
      </c>
      <c r="M1099" s="436">
        <f>TrialBalance!L309</f>
        <v>0</v>
      </c>
      <c r="N1099" s="400"/>
      <c r="O1099" s="451">
        <f>TrialBalance!N309</f>
        <v>0</v>
      </c>
      <c r="Q1099" s="389"/>
      <c r="R1099" s="416" t="str">
        <f t="shared" si="56"/>
        <v>DELETE</v>
      </c>
    </row>
    <row r="1100" spans="2:18" ht="31.5" customHeight="1" x14ac:dyDescent="0.45">
      <c r="B1100" s="461"/>
      <c r="C1100" s="369"/>
      <c r="D1100" s="368">
        <f>TrialBalance!C310</f>
        <v>0</v>
      </c>
      <c r="M1100" s="436">
        <f>TrialBalance!L310</f>
        <v>0</v>
      </c>
      <c r="N1100" s="400"/>
      <c r="O1100" s="451">
        <f>TrialBalance!N310</f>
        <v>0</v>
      </c>
      <c r="Q1100" s="389"/>
      <c r="R1100" s="416" t="str">
        <f t="shared" si="56"/>
        <v>DELETE</v>
      </c>
    </row>
    <row r="1101" spans="2:18" ht="31.5" customHeight="1" x14ac:dyDescent="0.45">
      <c r="B1101" s="461"/>
      <c r="C1101" s="369"/>
      <c r="D1101" s="368">
        <f>TrialBalance!C311</f>
        <v>0</v>
      </c>
      <c r="M1101" s="436">
        <f>TrialBalance!L311</f>
        <v>0</v>
      </c>
      <c r="N1101" s="400"/>
      <c r="O1101" s="451">
        <f>TrialBalance!N311</f>
        <v>0</v>
      </c>
      <c r="Q1101" s="389"/>
      <c r="R1101" s="416" t="str">
        <f t="shared" si="56"/>
        <v>DELETE</v>
      </c>
    </row>
    <row r="1102" spans="2:18" ht="31.5" customHeight="1" x14ac:dyDescent="0.45">
      <c r="B1102" s="461"/>
      <c r="C1102" s="369"/>
      <c r="D1102" s="368">
        <f>TrialBalance!C312</f>
        <v>0</v>
      </c>
      <c r="M1102" s="436">
        <f>TrialBalance!L312</f>
        <v>0</v>
      </c>
      <c r="N1102" s="400"/>
      <c r="O1102" s="451">
        <f>TrialBalance!N312</f>
        <v>0</v>
      </c>
      <c r="Q1102" s="389"/>
      <c r="R1102" s="416" t="str">
        <f t="shared" si="56"/>
        <v>DELETE</v>
      </c>
    </row>
    <row r="1103" spans="2:18" ht="9" customHeight="1" x14ac:dyDescent="0.45">
      <c r="B1103" s="461"/>
      <c r="C1103" s="369"/>
      <c r="M1103" s="437"/>
      <c r="N1103" s="392"/>
      <c r="O1103" s="452"/>
      <c r="Q1103" s="389"/>
      <c r="R1103" s="416" t="str">
        <f>R1085</f>
        <v>DELETE</v>
      </c>
    </row>
    <row r="1104" spans="2:18" ht="9" customHeight="1" x14ac:dyDescent="0.45">
      <c r="B1104" s="461"/>
      <c r="C1104" s="369"/>
      <c r="M1104" s="434"/>
      <c r="N1104" s="390"/>
      <c r="O1104" s="434"/>
      <c r="Q1104" s="389"/>
      <c r="R1104" s="416" t="str">
        <f>R1085</f>
        <v>DELETE</v>
      </c>
    </row>
    <row r="1105" spans="2:21" ht="31.5" customHeight="1" x14ac:dyDescent="0.45">
      <c r="B1105" s="461"/>
      <c r="C1105" s="369"/>
      <c r="D1105" s="368" t="str">
        <f>IF(COUNTIF(TrialBalance!N314:N318,"&gt;0")&gt;1,"Member's interest in Close Corporations",IF(COUNTIF(TrialBalance!L314:L318,"&gt;0")&gt;1,"Member's interest in Close Corporations","Member's interest in a Close Corporation"))</f>
        <v>Member's interest in a Close Corporation</v>
      </c>
      <c r="M1105" s="434">
        <f>SUM(M1107:M1113)</f>
        <v>0</v>
      </c>
      <c r="N1105" s="390"/>
      <c r="O1105" s="434">
        <f>SUM(O1107:O1113)</f>
        <v>0</v>
      </c>
      <c r="Q1105" s="389"/>
      <c r="R1105" s="416" t="str">
        <f>IF(M1105+O1105=0,"DELETE"," ")</f>
        <v>DELETE</v>
      </c>
      <c r="S1105" s="422">
        <f>M1105</f>
        <v>0</v>
      </c>
      <c r="T1105" s="422"/>
      <c r="U1105" s="422">
        <f>O1105</f>
        <v>0</v>
      </c>
    </row>
    <row r="1106" spans="2:21" ht="9" customHeight="1" x14ac:dyDescent="0.45">
      <c r="B1106" s="461"/>
      <c r="C1106" s="369"/>
      <c r="M1106" s="434"/>
      <c r="N1106" s="390"/>
      <c r="O1106" s="434"/>
      <c r="Q1106" s="389"/>
      <c r="R1106" s="416" t="str">
        <f>R1105</f>
        <v>DELETE</v>
      </c>
    </row>
    <row r="1107" spans="2:21" ht="9" customHeight="1" x14ac:dyDescent="0.45">
      <c r="B1107" s="461"/>
      <c r="C1107" s="369"/>
      <c r="M1107" s="435"/>
      <c r="N1107" s="391"/>
      <c r="O1107" s="450"/>
      <c r="Q1107" s="389"/>
      <c r="R1107" s="416" t="str">
        <f>R1105</f>
        <v>DELETE</v>
      </c>
    </row>
    <row r="1108" spans="2:21" ht="31.5" customHeight="1" x14ac:dyDescent="0.45">
      <c r="B1108" s="461"/>
      <c r="C1108" s="369"/>
      <c r="D1108" s="368">
        <f>TrialBalance!C314</f>
        <v>0</v>
      </c>
      <c r="M1108" s="436">
        <f>TrialBalance!L314</f>
        <v>0</v>
      </c>
      <c r="N1108" s="400"/>
      <c r="O1108" s="451">
        <f>TrialBalance!N314</f>
        <v>0</v>
      </c>
      <c r="Q1108" s="389"/>
      <c r="R1108" s="416" t="str">
        <f t="shared" ref="R1108" si="57">IF(M1108+O1108=0,"DELETE"," ")</f>
        <v>DELETE</v>
      </c>
    </row>
    <row r="1109" spans="2:21" ht="31.5" customHeight="1" x14ac:dyDescent="0.45">
      <c r="B1109" s="461"/>
      <c r="C1109" s="369"/>
      <c r="D1109" s="368">
        <f>TrialBalance!C315</f>
        <v>0</v>
      </c>
      <c r="M1109" s="436">
        <f>TrialBalance!L315</f>
        <v>0</v>
      </c>
      <c r="N1109" s="400"/>
      <c r="O1109" s="451">
        <f>TrialBalance!N315</f>
        <v>0</v>
      </c>
      <c r="Q1109" s="389"/>
      <c r="R1109" s="416" t="str">
        <f t="shared" ref="R1109:R1112" si="58">IF(M1109+O1109=0,"DELETE"," ")</f>
        <v>DELETE</v>
      </c>
    </row>
    <row r="1110" spans="2:21" ht="31.5" customHeight="1" x14ac:dyDescent="0.45">
      <c r="B1110" s="461"/>
      <c r="C1110" s="369"/>
      <c r="D1110" s="368">
        <f>TrialBalance!C316</f>
        <v>0</v>
      </c>
      <c r="M1110" s="436">
        <f>TrialBalance!L316</f>
        <v>0</v>
      </c>
      <c r="N1110" s="400"/>
      <c r="O1110" s="451">
        <f>TrialBalance!N316</f>
        <v>0</v>
      </c>
      <c r="Q1110" s="389"/>
      <c r="R1110" s="416" t="str">
        <f t="shared" si="58"/>
        <v>DELETE</v>
      </c>
    </row>
    <row r="1111" spans="2:21" ht="31.5" customHeight="1" x14ac:dyDescent="0.45">
      <c r="B1111" s="461"/>
      <c r="C1111" s="369"/>
      <c r="D1111" s="368">
        <f>TrialBalance!C317</f>
        <v>0</v>
      </c>
      <c r="M1111" s="436">
        <f>TrialBalance!L317</f>
        <v>0</v>
      </c>
      <c r="N1111" s="400"/>
      <c r="O1111" s="451">
        <f>TrialBalance!N317</f>
        <v>0</v>
      </c>
      <c r="Q1111" s="389"/>
      <c r="R1111" s="416" t="str">
        <f t="shared" si="58"/>
        <v>DELETE</v>
      </c>
    </row>
    <row r="1112" spans="2:21" ht="31.5" customHeight="1" x14ac:dyDescent="0.45">
      <c r="B1112" s="461"/>
      <c r="C1112" s="369"/>
      <c r="D1112" s="368">
        <f>TrialBalance!C318</f>
        <v>0</v>
      </c>
      <c r="M1112" s="436">
        <f>TrialBalance!L318</f>
        <v>0</v>
      </c>
      <c r="N1112" s="400"/>
      <c r="O1112" s="451">
        <f>TrialBalance!N318</f>
        <v>0</v>
      </c>
      <c r="Q1112" s="389"/>
      <c r="R1112" s="416" t="str">
        <f t="shared" si="58"/>
        <v>DELETE</v>
      </c>
    </row>
    <row r="1113" spans="2:21" ht="9" customHeight="1" x14ac:dyDescent="0.45">
      <c r="B1113" s="461"/>
      <c r="C1113" s="369"/>
      <c r="M1113" s="437"/>
      <c r="N1113" s="392"/>
      <c r="O1113" s="452"/>
      <c r="Q1113" s="389"/>
      <c r="R1113" s="416" t="str">
        <f>R1105</f>
        <v>DELETE</v>
      </c>
    </row>
    <row r="1114" spans="2:21" ht="9" customHeight="1" x14ac:dyDescent="0.45">
      <c r="B1114" s="461"/>
      <c r="C1114" s="369"/>
      <c r="M1114" s="434"/>
      <c r="N1114" s="390"/>
      <c r="O1114" s="434"/>
      <c r="Q1114" s="389"/>
      <c r="R1114" s="416" t="str">
        <f>R1105</f>
        <v>DELETE</v>
      </c>
    </row>
    <row r="1115" spans="2:21" ht="31.5" customHeight="1" x14ac:dyDescent="0.45">
      <c r="B1115" s="461"/>
      <c r="C1115" s="369"/>
      <c r="D1115" s="368" t="str">
        <f>IF(COUNTIF(TrialBalance!N320:N324,"&gt;0")&gt;1,"Other investments",IF(COUNTIF(TrialBalance!L320:L324,"&gt;0")&gt;1,"Other investments","Other investment"))</f>
        <v>Other investment</v>
      </c>
      <c r="M1115" s="434">
        <f>SUM(M1117:M1123)</f>
        <v>0</v>
      </c>
      <c r="N1115" s="390"/>
      <c r="O1115" s="434">
        <f>SUM(O1117:O1123)</f>
        <v>0</v>
      </c>
      <c r="Q1115" s="389"/>
      <c r="R1115" s="416" t="str">
        <f>IF(M1115+O1115=0,"DELETE"," ")</f>
        <v>DELETE</v>
      </c>
      <c r="S1115" s="422">
        <f>M1115</f>
        <v>0</v>
      </c>
      <c r="T1115" s="422"/>
      <c r="U1115" s="422">
        <f>O1115</f>
        <v>0</v>
      </c>
    </row>
    <row r="1116" spans="2:21" ht="9" customHeight="1" x14ac:dyDescent="0.45">
      <c r="B1116" s="461"/>
      <c r="C1116" s="369"/>
      <c r="M1116" s="434"/>
      <c r="N1116" s="390"/>
      <c r="O1116" s="434"/>
      <c r="Q1116" s="389"/>
      <c r="R1116" s="416" t="str">
        <f>R1115</f>
        <v>DELETE</v>
      </c>
    </row>
    <row r="1117" spans="2:21" ht="9" customHeight="1" x14ac:dyDescent="0.45">
      <c r="B1117" s="461"/>
      <c r="C1117" s="369"/>
      <c r="M1117" s="435"/>
      <c r="N1117" s="391"/>
      <c r="O1117" s="450"/>
      <c r="Q1117" s="389"/>
      <c r="R1117" s="416" t="str">
        <f>R1115</f>
        <v>DELETE</v>
      </c>
    </row>
    <row r="1118" spans="2:21" ht="31.5" customHeight="1" x14ac:dyDescent="0.45">
      <c r="B1118" s="461"/>
      <c r="C1118" s="369"/>
      <c r="D1118" s="368">
        <f>TrialBalance!C320</f>
        <v>0</v>
      </c>
      <c r="M1118" s="436">
        <f>TrialBalance!L320</f>
        <v>0</v>
      </c>
      <c r="N1118" s="400"/>
      <c r="O1118" s="451">
        <f>TrialBalance!N320</f>
        <v>0</v>
      </c>
      <c r="Q1118" s="389"/>
      <c r="R1118" s="416" t="str">
        <f t="shared" ref="R1118" si="59">IF(M1118+O1118=0,"DELETE"," ")</f>
        <v>DELETE</v>
      </c>
    </row>
    <row r="1119" spans="2:21" ht="31.5" customHeight="1" x14ac:dyDescent="0.45">
      <c r="B1119" s="461"/>
      <c r="C1119" s="369"/>
      <c r="D1119" s="368">
        <f>TrialBalance!C321</f>
        <v>0</v>
      </c>
      <c r="M1119" s="436">
        <f>TrialBalance!L321</f>
        <v>0</v>
      </c>
      <c r="N1119" s="400"/>
      <c r="O1119" s="451">
        <f>TrialBalance!N321</f>
        <v>0</v>
      </c>
      <c r="Q1119" s="389"/>
      <c r="R1119" s="416" t="str">
        <f t="shared" ref="R1119:R1122" si="60">IF(M1119+O1119=0,"DELETE"," ")</f>
        <v>DELETE</v>
      </c>
    </row>
    <row r="1120" spans="2:21" ht="31.5" customHeight="1" x14ac:dyDescent="0.45">
      <c r="B1120" s="461"/>
      <c r="C1120" s="369"/>
      <c r="D1120" s="368">
        <f>TrialBalance!C322</f>
        <v>0</v>
      </c>
      <c r="M1120" s="436">
        <f>TrialBalance!L322</f>
        <v>0</v>
      </c>
      <c r="N1120" s="400"/>
      <c r="O1120" s="451">
        <f>TrialBalance!N322</f>
        <v>0</v>
      </c>
      <c r="Q1120" s="389"/>
      <c r="R1120" s="416" t="str">
        <f t="shared" si="60"/>
        <v>DELETE</v>
      </c>
    </row>
    <row r="1121" spans="2:24" ht="31.5" customHeight="1" x14ac:dyDescent="0.45">
      <c r="B1121" s="461"/>
      <c r="C1121" s="369"/>
      <c r="D1121" s="368">
        <f>TrialBalance!C323</f>
        <v>0</v>
      </c>
      <c r="M1121" s="436">
        <f>TrialBalance!L323</f>
        <v>0</v>
      </c>
      <c r="N1121" s="400"/>
      <c r="O1121" s="451">
        <f>TrialBalance!N323</f>
        <v>0</v>
      </c>
      <c r="Q1121" s="389"/>
      <c r="R1121" s="416" t="str">
        <f t="shared" si="60"/>
        <v>DELETE</v>
      </c>
    </row>
    <row r="1122" spans="2:24" ht="31.5" customHeight="1" x14ac:dyDescent="0.45">
      <c r="B1122" s="461"/>
      <c r="C1122" s="369"/>
      <c r="D1122" s="368">
        <f>TrialBalance!C324</f>
        <v>0</v>
      </c>
      <c r="M1122" s="436">
        <f>TrialBalance!L324</f>
        <v>0</v>
      </c>
      <c r="N1122" s="400"/>
      <c r="O1122" s="451">
        <f>TrialBalance!N324</f>
        <v>0</v>
      </c>
      <c r="Q1122" s="389"/>
      <c r="R1122" s="416" t="str">
        <f t="shared" si="60"/>
        <v>DELETE</v>
      </c>
    </row>
    <row r="1123" spans="2:24" ht="9" customHeight="1" x14ac:dyDescent="0.45">
      <c r="B1123" s="461"/>
      <c r="C1123" s="369"/>
      <c r="M1123" s="437"/>
      <c r="N1123" s="392"/>
      <c r="O1123" s="452"/>
      <c r="Q1123" s="389"/>
      <c r="R1123" s="416" t="str">
        <f>R1115</f>
        <v>DELETE</v>
      </c>
    </row>
    <row r="1124" spans="2:24" ht="9" customHeight="1" x14ac:dyDescent="0.45">
      <c r="B1124" s="461"/>
      <c r="C1124" s="369"/>
      <c r="M1124" s="447"/>
      <c r="N1124" s="408"/>
      <c r="O1124" s="447"/>
      <c r="Q1124" s="389"/>
      <c r="R1124" s="416" t="str">
        <f>R1126</f>
        <v>DELETE</v>
      </c>
    </row>
    <row r="1125" spans="2:24" ht="9" customHeight="1" x14ac:dyDescent="0.45">
      <c r="B1125" s="461"/>
      <c r="C1125" s="369"/>
      <c r="M1125" s="434"/>
      <c r="N1125" s="390"/>
      <c r="O1125" s="434"/>
      <c r="Q1125" s="389"/>
      <c r="R1125" s="416" t="str">
        <f>R1126</f>
        <v>DELETE</v>
      </c>
    </row>
    <row r="1126" spans="2:24" ht="31.5" customHeight="1" x14ac:dyDescent="0.45">
      <c r="B1126" s="461"/>
      <c r="C1126" s="369"/>
      <c r="M1126" s="434">
        <f>SUM(S1085:S1122)</f>
        <v>0</v>
      </c>
      <c r="N1126" s="390"/>
      <c r="O1126" s="434">
        <f>SUM(U1085:U1122)</f>
        <v>0</v>
      </c>
      <c r="Q1126" s="389"/>
      <c r="R1126" s="416" t="str">
        <f>IF(M1126+O1126=0,"DELETE"," ")</f>
        <v>DELETE</v>
      </c>
      <c r="V1126" s="426"/>
      <c r="W1126" s="426"/>
      <c r="X1126" s="426"/>
    </row>
    <row r="1127" spans="2:24" ht="9" customHeight="1" thickBot="1" x14ac:dyDescent="0.5">
      <c r="B1127" s="461"/>
      <c r="C1127" s="369"/>
      <c r="M1127" s="439"/>
      <c r="N1127" s="393"/>
      <c r="O1127" s="439"/>
      <c r="Q1127" s="389"/>
      <c r="R1127" s="416" t="str">
        <f>R1126</f>
        <v>DELETE</v>
      </c>
    </row>
    <row r="1128" spans="2:24" ht="9" customHeight="1" thickTop="1" x14ac:dyDescent="0.45">
      <c r="B1128" s="461"/>
      <c r="C1128" s="369"/>
      <c r="M1128" s="441"/>
      <c r="N1128" s="400"/>
      <c r="O1128" s="441"/>
      <c r="Q1128" s="389"/>
      <c r="R1128" s="416" t="str">
        <f>R1127</f>
        <v>DELETE</v>
      </c>
    </row>
    <row r="1129" spans="2:24" ht="31.5" customHeight="1" x14ac:dyDescent="0.45">
      <c r="B1129" s="461"/>
      <c r="C1129" s="369"/>
      <c r="M1129" s="434"/>
      <c r="N1129" s="390"/>
      <c r="O1129" s="434"/>
      <c r="Q1129" s="389"/>
      <c r="R1129" s="416" t="str">
        <f t="shared" ref="R1129:R1133" si="61">R$1126</f>
        <v>DELETE</v>
      </c>
    </row>
    <row r="1130" spans="2:24" ht="31.5" customHeight="1" x14ac:dyDescent="0.45">
      <c r="B1130" s="461"/>
      <c r="C1130" s="369"/>
      <c r="M1130" s="434"/>
      <c r="N1130" s="390"/>
      <c r="O1130" s="434"/>
      <c r="Q1130" s="389"/>
      <c r="R1130" s="416" t="str">
        <f t="shared" si="61"/>
        <v>DELETE</v>
      </c>
    </row>
    <row r="1131" spans="2:24" ht="31.5" customHeight="1" x14ac:dyDescent="0.45">
      <c r="B1131" s="461"/>
      <c r="C1131" s="369"/>
      <c r="M1131" s="434"/>
      <c r="N1131" s="390"/>
      <c r="O1131" s="434"/>
      <c r="Q1131" s="389"/>
      <c r="R1131" s="416" t="str">
        <f t="shared" si="61"/>
        <v>DELETE</v>
      </c>
    </row>
    <row r="1132" spans="2:24" ht="31.5" customHeight="1" x14ac:dyDescent="0.45">
      <c r="B1132" s="462"/>
      <c r="C1132" s="407"/>
      <c r="D1132" s="383"/>
      <c r="E1132" s="383"/>
      <c r="F1132" s="383"/>
      <c r="G1132" s="383"/>
      <c r="H1132" s="383"/>
      <c r="I1132" s="383"/>
      <c r="J1132" s="383"/>
      <c r="K1132" s="383"/>
      <c r="L1132" s="383"/>
      <c r="M1132" s="438"/>
      <c r="N1132" s="392"/>
      <c r="O1132" s="438"/>
      <c r="P1132" s="475"/>
      <c r="Q1132" s="398"/>
      <c r="R1132" s="416" t="str">
        <f t="shared" si="61"/>
        <v>DELETE</v>
      </c>
    </row>
    <row r="1133" spans="2:24" ht="31.5" customHeight="1" x14ac:dyDescent="0.45">
      <c r="B1133" s="445"/>
      <c r="C1133" s="369"/>
      <c r="M1133" s="434"/>
      <c r="N1133" s="390"/>
      <c r="O1133" s="434"/>
      <c r="R1133" s="416" t="str">
        <f t="shared" si="61"/>
        <v>DELETE</v>
      </c>
    </row>
    <row r="1134" spans="2:24" ht="31.5" customHeight="1" x14ac:dyDescent="0.45">
      <c r="B1134" s="445"/>
      <c r="C1134" s="369"/>
      <c r="M1134" s="434"/>
      <c r="N1134" s="390"/>
      <c r="O1134" s="434"/>
      <c r="R1134" s="416" t="str">
        <f>R$1150</f>
        <v>DELETE</v>
      </c>
    </row>
    <row r="1135" spans="2:24" ht="31.5" customHeight="1" x14ac:dyDescent="0.45">
      <c r="B1135" s="431"/>
      <c r="D1135" s="369" t="str">
        <f>Criteria!E9</f>
        <v>ABC TRUST</v>
      </c>
      <c r="O1135" s="433" t="s">
        <v>105</v>
      </c>
      <c r="Q1135" s="370">
        <f>MAX($Q$114:Q1134)+1</f>
        <v>21</v>
      </c>
      <c r="R1135" s="416" t="str">
        <f>R$1150</f>
        <v>DELETE</v>
      </c>
    </row>
    <row r="1136" spans="2:24" ht="31.5" customHeight="1" x14ac:dyDescent="0.45">
      <c r="B1136" s="431"/>
      <c r="D1136" s="369" t="str">
        <f>Criteria!E10</f>
        <v>T/A RENTAL PROPERTIES, SEAFRONT RESTAURANT AND SURF SHOP</v>
      </c>
      <c r="R1136" s="416" t="str">
        <f>IF(R$1150="DELETE","DELETE",IF(D1136=0,"DELETE"," "))</f>
        <v>DELETE</v>
      </c>
    </row>
    <row r="1137" spans="2:18" ht="31.5" customHeight="1" x14ac:dyDescent="0.45">
      <c r="B1137" s="431"/>
      <c r="R1137" s="416" t="str">
        <f t="shared" ref="R1137:R1144" si="62">R$1150</f>
        <v>DELETE</v>
      </c>
    </row>
    <row r="1138" spans="2:18" ht="31.5" customHeight="1" x14ac:dyDescent="0.45">
      <c r="B1138" s="431"/>
      <c r="D1138" s="369" t="s">
        <v>383</v>
      </c>
      <c r="R1138" s="416" t="str">
        <f t="shared" si="62"/>
        <v>DELETE</v>
      </c>
    </row>
    <row r="1139" spans="2:18" ht="31.5" customHeight="1" x14ac:dyDescent="0.45">
      <c r="B1139" s="431"/>
      <c r="D1139" s="369" t="str">
        <f>Criteria!E20</f>
        <v>29 FEBRUARY 2024</v>
      </c>
      <c r="J1139" s="368" t="s">
        <v>253</v>
      </c>
      <c r="R1139" s="416" t="str">
        <f t="shared" si="62"/>
        <v>DELETE</v>
      </c>
    </row>
    <row r="1140" spans="2:18" ht="31.5" customHeight="1" x14ac:dyDescent="0.45">
      <c r="B1140" s="431"/>
      <c r="R1140" s="416" t="str">
        <f t="shared" si="62"/>
        <v>DELETE</v>
      </c>
    </row>
    <row r="1141" spans="2:18" ht="31.5" customHeight="1" x14ac:dyDescent="0.45">
      <c r="B1141" s="463"/>
      <c r="C1141" s="386"/>
      <c r="D1141" s="386"/>
      <c r="E1141" s="386"/>
      <c r="F1141" s="386"/>
      <c r="G1141" s="386"/>
      <c r="H1141" s="386"/>
      <c r="I1141" s="386"/>
      <c r="J1141" s="386"/>
      <c r="K1141" s="386"/>
      <c r="L1141" s="386"/>
      <c r="M1141" s="480"/>
      <c r="N1141" s="481"/>
      <c r="O1141" s="480"/>
      <c r="P1141" s="481"/>
      <c r="Q1141" s="387"/>
      <c r="R1141" s="416" t="str">
        <f t="shared" si="62"/>
        <v>DELETE</v>
      </c>
    </row>
    <row r="1142" spans="2:18" ht="31.5" customHeight="1" x14ac:dyDescent="0.45">
      <c r="B1142" s="464"/>
      <c r="M1142" s="448">
        <f>Criteria!E22</f>
        <v>2024</v>
      </c>
      <c r="N1142" s="409"/>
      <c r="O1142" s="448">
        <f>Criteria!E27</f>
        <v>2023</v>
      </c>
      <c r="P1142" s="478"/>
      <c r="Q1142" s="389"/>
      <c r="R1142" s="416" t="str">
        <f t="shared" si="62"/>
        <v>DELETE</v>
      </c>
    </row>
    <row r="1143" spans="2:18" ht="31.5" customHeight="1" x14ac:dyDescent="0.45">
      <c r="B1143" s="461"/>
      <c r="C1143" s="369"/>
      <c r="M1143" s="441"/>
      <c r="N1143" s="400"/>
      <c r="O1143" s="441"/>
      <c r="P1143" s="478"/>
      <c r="Q1143" s="389"/>
      <c r="R1143" s="416" t="str">
        <f t="shared" si="62"/>
        <v>DELETE</v>
      </c>
    </row>
    <row r="1144" spans="2:18" ht="31.5" customHeight="1" x14ac:dyDescent="0.45">
      <c r="B1144" s="461">
        <f>MAX($B$431:B1143)+1</f>
        <v>13</v>
      </c>
      <c r="C1144" s="369" t="s">
        <v>1039</v>
      </c>
      <c r="M1144" s="441"/>
      <c r="N1144" s="400"/>
      <c r="O1144" s="441"/>
      <c r="P1144" s="478"/>
      <c r="Q1144" s="389"/>
      <c r="R1144" s="416" t="str">
        <f t="shared" si="62"/>
        <v>DELETE</v>
      </c>
    </row>
    <row r="1145" spans="2:18" ht="31.5" customHeight="1" x14ac:dyDescent="0.45">
      <c r="B1145" s="461"/>
      <c r="C1145" s="369"/>
      <c r="D1145" s="368">
        <f>TrialBalance!C349</f>
        <v>0</v>
      </c>
      <c r="M1145" s="441">
        <f>TrialBalance!L349</f>
        <v>0</v>
      </c>
      <c r="N1145" s="400"/>
      <c r="O1145" s="441">
        <f>TrialBalance!N349</f>
        <v>0</v>
      </c>
      <c r="P1145" s="478"/>
      <c r="Q1145" s="389"/>
      <c r="R1145" s="416" t="str">
        <f t="shared" ref="R1145:R1147" si="63">IF(M1145+O1145=0,"DELETE"," ")</f>
        <v>DELETE</v>
      </c>
    </row>
    <row r="1146" spans="2:18" ht="31.5" customHeight="1" x14ac:dyDescent="0.45">
      <c r="B1146" s="461"/>
      <c r="C1146" s="369"/>
      <c r="D1146" s="368">
        <f>TrialBalance!C350</f>
        <v>0</v>
      </c>
      <c r="M1146" s="441">
        <f>TrialBalance!L350</f>
        <v>0</v>
      </c>
      <c r="N1146" s="400"/>
      <c r="O1146" s="441">
        <f>TrialBalance!N350</f>
        <v>0</v>
      </c>
      <c r="P1146" s="478"/>
      <c r="Q1146" s="389"/>
      <c r="R1146" s="416" t="str">
        <f t="shared" si="63"/>
        <v>DELETE</v>
      </c>
    </row>
    <row r="1147" spans="2:18" ht="31.5" customHeight="1" x14ac:dyDescent="0.45">
      <c r="B1147" s="461"/>
      <c r="C1147" s="369"/>
      <c r="D1147" s="368">
        <f>TrialBalance!C351</f>
        <v>0</v>
      </c>
      <c r="M1147" s="441">
        <f>TrialBalance!L351</f>
        <v>0</v>
      </c>
      <c r="N1147" s="400"/>
      <c r="O1147" s="441">
        <f>TrialBalance!N351</f>
        <v>0</v>
      </c>
      <c r="P1147" s="478"/>
      <c r="Q1147" s="389"/>
      <c r="R1147" s="416" t="str">
        <f t="shared" si="63"/>
        <v>DELETE</v>
      </c>
    </row>
    <row r="1148" spans="2:18" ht="9" customHeight="1" x14ac:dyDescent="0.45">
      <c r="B1148" s="461"/>
      <c r="C1148" s="369"/>
      <c r="M1148" s="438"/>
      <c r="N1148" s="392"/>
      <c r="O1148" s="438"/>
      <c r="P1148" s="478"/>
      <c r="Q1148" s="389"/>
      <c r="R1148" s="416" t="str">
        <f>R1150</f>
        <v>DELETE</v>
      </c>
    </row>
    <row r="1149" spans="2:18" ht="9" customHeight="1" x14ac:dyDescent="0.45">
      <c r="B1149" s="461"/>
      <c r="C1149" s="369"/>
      <c r="M1149" s="441"/>
      <c r="N1149" s="400"/>
      <c r="O1149" s="441"/>
      <c r="P1149" s="478"/>
      <c r="Q1149" s="389"/>
      <c r="R1149" s="416" t="str">
        <f>R1150</f>
        <v>DELETE</v>
      </c>
    </row>
    <row r="1150" spans="2:18" ht="31.5" customHeight="1" x14ac:dyDescent="0.45">
      <c r="B1150" s="461"/>
      <c r="C1150" s="369"/>
      <c r="M1150" s="441">
        <f>SUM(M1145:M1148)</f>
        <v>0</v>
      </c>
      <c r="N1150" s="400"/>
      <c r="O1150" s="441">
        <f>SUM(O1145:O1148)</f>
        <v>0</v>
      </c>
      <c r="P1150" s="478"/>
      <c r="Q1150" s="389"/>
      <c r="R1150" s="416" t="str">
        <f>IF(M1150+O1150=0,"DELETE"," ")</f>
        <v>DELETE</v>
      </c>
    </row>
    <row r="1151" spans="2:18" ht="9" customHeight="1" thickBot="1" x14ac:dyDescent="0.5">
      <c r="B1151" s="461"/>
      <c r="C1151" s="369"/>
      <c r="M1151" s="439"/>
      <c r="N1151" s="393"/>
      <c r="O1151" s="439"/>
      <c r="P1151" s="478"/>
      <c r="Q1151" s="389"/>
      <c r="R1151" s="416" t="str">
        <f>R1150</f>
        <v>DELETE</v>
      </c>
    </row>
    <row r="1152" spans="2:18" ht="9" customHeight="1" thickTop="1" x14ac:dyDescent="0.45">
      <c r="B1152" s="461"/>
      <c r="C1152" s="369"/>
      <c r="M1152" s="441"/>
      <c r="N1152" s="400"/>
      <c r="O1152" s="441"/>
      <c r="P1152" s="478"/>
      <c r="Q1152" s="389"/>
      <c r="R1152" s="416" t="str">
        <f>R1150</f>
        <v>DELETE</v>
      </c>
    </row>
    <row r="1153" spans="2:21" ht="31.5" customHeight="1" x14ac:dyDescent="0.45">
      <c r="B1153" s="461"/>
      <c r="C1153" s="369"/>
      <c r="M1153" s="441"/>
      <c r="N1153" s="400"/>
      <c r="O1153" s="441"/>
      <c r="P1153" s="478"/>
      <c r="Q1153" s="389"/>
      <c r="R1153" s="416" t="str">
        <f t="shared" ref="R1153:R1156" si="64">R$1150</f>
        <v>DELETE</v>
      </c>
    </row>
    <row r="1154" spans="2:21" ht="31.5" customHeight="1" x14ac:dyDescent="0.45">
      <c r="B1154" s="461"/>
      <c r="C1154" s="369"/>
      <c r="M1154" s="441"/>
      <c r="N1154" s="400"/>
      <c r="O1154" s="441"/>
      <c r="P1154" s="478"/>
      <c r="Q1154" s="389"/>
      <c r="R1154" s="416" t="str">
        <f t="shared" si="64"/>
        <v>DELETE</v>
      </c>
    </row>
    <row r="1155" spans="2:21" ht="31.5" customHeight="1" x14ac:dyDescent="0.45">
      <c r="B1155" s="462"/>
      <c r="C1155" s="407"/>
      <c r="D1155" s="383"/>
      <c r="E1155" s="383"/>
      <c r="F1155" s="383"/>
      <c r="G1155" s="383"/>
      <c r="H1155" s="383"/>
      <c r="I1155" s="383"/>
      <c r="J1155" s="383"/>
      <c r="K1155" s="383"/>
      <c r="L1155" s="383"/>
      <c r="M1155" s="438"/>
      <c r="N1155" s="392"/>
      <c r="O1155" s="438"/>
      <c r="P1155" s="475"/>
      <c r="Q1155" s="398"/>
      <c r="R1155" s="416" t="str">
        <f t="shared" si="64"/>
        <v>DELETE</v>
      </c>
    </row>
    <row r="1156" spans="2:21" ht="31.5" customHeight="1" x14ac:dyDescent="0.45">
      <c r="B1156" s="445"/>
      <c r="C1156" s="369"/>
      <c r="M1156" s="434"/>
      <c r="N1156" s="390"/>
      <c r="O1156" s="434"/>
      <c r="R1156" s="416" t="str">
        <f t="shared" si="64"/>
        <v>DELETE</v>
      </c>
    </row>
    <row r="1157" spans="2:21" ht="31.5" customHeight="1" x14ac:dyDescent="0.45">
      <c r="B1157" s="431"/>
      <c r="M1157" s="479"/>
      <c r="N1157" s="469"/>
      <c r="O1157" s="479"/>
      <c r="R1157" s="416" t="str">
        <f>R$1196</f>
        <v>DELETE</v>
      </c>
    </row>
    <row r="1158" spans="2:21" ht="31.5" customHeight="1" x14ac:dyDescent="0.45">
      <c r="B1158" s="431"/>
      <c r="D1158" s="369" t="str">
        <f>Criteria!E9</f>
        <v>ABC TRUST</v>
      </c>
      <c r="M1158" s="479"/>
      <c r="N1158" s="469"/>
      <c r="O1158" s="434" t="s">
        <v>105</v>
      </c>
      <c r="Q1158" s="370">
        <f>MAX($Q$114:Q1157)+1</f>
        <v>22</v>
      </c>
      <c r="R1158" s="416" t="str">
        <f t="shared" ref="R1158:R1167" si="65">R$1196</f>
        <v>DELETE</v>
      </c>
    </row>
    <row r="1159" spans="2:21" ht="31.5" customHeight="1" x14ac:dyDescent="0.45">
      <c r="B1159" s="431"/>
      <c r="D1159" s="369" t="str">
        <f>Criteria!E10</f>
        <v>T/A RENTAL PROPERTIES, SEAFRONT RESTAURANT AND SURF SHOP</v>
      </c>
      <c r="M1159" s="479"/>
      <c r="N1159" s="469"/>
      <c r="O1159" s="479"/>
      <c r="R1159" s="416" t="str">
        <f>IF(R$1196="DELETE","DELETE",IF(D1159=0,"DELETE"," "))</f>
        <v>DELETE</v>
      </c>
    </row>
    <row r="1160" spans="2:21" ht="31.5" customHeight="1" x14ac:dyDescent="0.45">
      <c r="B1160" s="431"/>
      <c r="M1160" s="479"/>
      <c r="N1160" s="469"/>
      <c r="O1160" s="479"/>
      <c r="R1160" s="416" t="str">
        <f t="shared" si="65"/>
        <v>DELETE</v>
      </c>
    </row>
    <row r="1161" spans="2:21" ht="31.5" customHeight="1" x14ac:dyDescent="0.45">
      <c r="B1161" s="431"/>
      <c r="D1161" s="369" t="s">
        <v>383</v>
      </c>
      <c r="M1161" s="479"/>
      <c r="N1161" s="469"/>
      <c r="O1161" s="479"/>
      <c r="R1161" s="416" t="str">
        <f t="shared" si="65"/>
        <v>DELETE</v>
      </c>
    </row>
    <row r="1162" spans="2:21" ht="31.5" customHeight="1" x14ac:dyDescent="0.45">
      <c r="B1162" s="431"/>
      <c r="D1162" s="369" t="str">
        <f>Criteria!E20</f>
        <v>29 FEBRUARY 2024</v>
      </c>
      <c r="J1162" s="368" t="s">
        <v>253</v>
      </c>
      <c r="M1162" s="479"/>
      <c r="N1162" s="469"/>
      <c r="O1162" s="479"/>
      <c r="R1162" s="416" t="str">
        <f t="shared" si="65"/>
        <v>DELETE</v>
      </c>
    </row>
    <row r="1163" spans="2:21" ht="31.5" customHeight="1" x14ac:dyDescent="0.45">
      <c r="B1163" s="431"/>
      <c r="M1163" s="482"/>
      <c r="N1163" s="483"/>
      <c r="O1163" s="482"/>
      <c r="R1163" s="416" t="str">
        <f t="shared" si="65"/>
        <v>DELETE</v>
      </c>
    </row>
    <row r="1164" spans="2:21" ht="31.5" customHeight="1" x14ac:dyDescent="0.45">
      <c r="B1164" s="463"/>
      <c r="C1164" s="386"/>
      <c r="D1164" s="386"/>
      <c r="E1164" s="386"/>
      <c r="F1164" s="386"/>
      <c r="G1164" s="386"/>
      <c r="H1164" s="386"/>
      <c r="I1164" s="386"/>
      <c r="J1164" s="386"/>
      <c r="K1164" s="386"/>
      <c r="L1164" s="386"/>
      <c r="M1164" s="484"/>
      <c r="N1164" s="485"/>
      <c r="O1164" s="484"/>
      <c r="P1164" s="481"/>
      <c r="Q1164" s="387"/>
      <c r="R1164" s="416" t="str">
        <f t="shared" si="65"/>
        <v>DELETE</v>
      </c>
    </row>
    <row r="1165" spans="2:21" ht="31.5" customHeight="1" x14ac:dyDescent="0.45">
      <c r="B1165" s="461"/>
      <c r="C1165" s="369"/>
      <c r="M1165" s="430">
        <f>Criteria!E22</f>
        <v>2024</v>
      </c>
      <c r="N1165" s="379"/>
      <c r="O1165" s="430">
        <f>Criteria!E27</f>
        <v>2023</v>
      </c>
      <c r="Q1165" s="389"/>
      <c r="R1165" s="416" t="str">
        <f t="shared" si="65"/>
        <v>DELETE</v>
      </c>
    </row>
    <row r="1166" spans="2:21" ht="31.5" customHeight="1" x14ac:dyDescent="0.45">
      <c r="B1166" s="461"/>
      <c r="C1166" s="369"/>
      <c r="M1166" s="434"/>
      <c r="N1166" s="390"/>
      <c r="O1166" s="434"/>
      <c r="Q1166" s="389"/>
      <c r="R1166" s="416" t="str">
        <f t="shared" si="65"/>
        <v>DELETE</v>
      </c>
    </row>
    <row r="1167" spans="2:21" ht="31.5" customHeight="1" x14ac:dyDescent="0.45">
      <c r="B1167" s="461">
        <f>MAX($B$431:B1166)+1</f>
        <v>14</v>
      </c>
      <c r="C1167" s="369" t="str">
        <f>IF(COUNTIF(TrialBalance!N326:N347,"&gt;0")&gt;1,"NON - CURRENT RECEIVABLES",IF(COUNTIF(TrialBalance!L326:L347,"&gt;0")&gt;1,"NON - CURRENT RECEIVABLES","NON - CURRENT RECEIVABLE"))</f>
        <v>NON - CURRENT RECEIVABLE</v>
      </c>
      <c r="M1167" s="434"/>
      <c r="N1167" s="390"/>
      <c r="O1167" s="434"/>
      <c r="Q1167" s="389"/>
      <c r="R1167" s="416" t="str">
        <f t="shared" si="65"/>
        <v>DELETE</v>
      </c>
    </row>
    <row r="1168" spans="2:21" ht="31.5" customHeight="1" x14ac:dyDescent="0.45">
      <c r="B1168" s="461"/>
      <c r="C1168" s="369"/>
      <c r="D1168" s="368" t="str">
        <f>IF(COUNTIF(O1171:O1178,"&gt;0")&gt;1,"Interest bearing non - current receivables",IF(COUNTIF(M1171:M1178,"&gt;0")&gt;1,"Interest bearing non - current receivables","Interest bearing non - current receivable"))</f>
        <v>Interest bearing non - current receivable</v>
      </c>
      <c r="M1168" s="434">
        <f>SUM(M1170:M1179)</f>
        <v>0</v>
      </c>
      <c r="N1168" s="390"/>
      <c r="O1168" s="434">
        <f>SUM(O1170:O1179)</f>
        <v>0</v>
      </c>
      <c r="Q1168" s="389"/>
      <c r="R1168" s="416" t="str">
        <f>IF(M1168+O1168=0,"DELETE"," ")</f>
        <v>DELETE</v>
      </c>
      <c r="S1168" s="421">
        <f>M1168</f>
        <v>0</v>
      </c>
      <c r="U1168" s="421">
        <f>O1168</f>
        <v>0</v>
      </c>
    </row>
    <row r="1169" spans="2:21" ht="9" customHeight="1" x14ac:dyDescent="0.45">
      <c r="B1169" s="461"/>
      <c r="C1169" s="369"/>
      <c r="M1169" s="434"/>
      <c r="N1169" s="390"/>
      <c r="O1169" s="434"/>
      <c r="Q1169" s="389"/>
      <c r="R1169" s="416" t="str">
        <f>R1168</f>
        <v>DELETE</v>
      </c>
    </row>
    <row r="1170" spans="2:21" ht="9" customHeight="1" x14ac:dyDescent="0.45">
      <c r="B1170" s="461"/>
      <c r="C1170" s="369"/>
      <c r="M1170" s="435"/>
      <c r="N1170" s="391"/>
      <c r="O1170" s="450"/>
      <c r="Q1170" s="389"/>
      <c r="R1170" s="416" t="str">
        <f>R1169</f>
        <v>DELETE</v>
      </c>
    </row>
    <row r="1171" spans="2:21" ht="31.5" customHeight="1" x14ac:dyDescent="0.45">
      <c r="B1171" s="461"/>
      <c r="C1171" s="369"/>
      <c r="D1171" s="368">
        <f>TrialBalance!C327</f>
        <v>0</v>
      </c>
      <c r="M1171" s="436">
        <f>TrialBalance!L327</f>
        <v>0</v>
      </c>
      <c r="N1171" s="400"/>
      <c r="O1171" s="451">
        <f>TrialBalance!N327</f>
        <v>0</v>
      </c>
      <c r="Q1171" s="389"/>
      <c r="R1171" s="416" t="str">
        <f t="shared" ref="R1171:R1192" si="66">IF(M1171+O1171=0,"DELETE"," ")</f>
        <v>DELETE</v>
      </c>
    </row>
    <row r="1172" spans="2:21" ht="31.5" customHeight="1" x14ac:dyDescent="0.45">
      <c r="B1172" s="461"/>
      <c r="C1172" s="369"/>
      <c r="D1172" s="368">
        <f>TrialBalance!C328</f>
        <v>0</v>
      </c>
      <c r="M1172" s="436">
        <f>TrialBalance!L328</f>
        <v>0</v>
      </c>
      <c r="N1172" s="400"/>
      <c r="O1172" s="451">
        <f>TrialBalance!N328</f>
        <v>0</v>
      </c>
      <c r="Q1172" s="389"/>
      <c r="R1172" s="416" t="str">
        <f t="shared" ref="R1172:R1173" si="67">IF(M1172+O1172=0,"DELETE"," ")</f>
        <v>DELETE</v>
      </c>
    </row>
    <row r="1173" spans="2:21" ht="31.5" customHeight="1" x14ac:dyDescent="0.45">
      <c r="B1173" s="461"/>
      <c r="C1173" s="369"/>
      <c r="D1173" s="368">
        <f>TrialBalance!C329</f>
        <v>0</v>
      </c>
      <c r="M1173" s="436">
        <f>TrialBalance!L329</f>
        <v>0</v>
      </c>
      <c r="N1173" s="400"/>
      <c r="O1173" s="451">
        <f>TrialBalance!N329</f>
        <v>0</v>
      </c>
      <c r="Q1173" s="389"/>
      <c r="R1173" s="416" t="str">
        <f t="shared" si="67"/>
        <v>DELETE</v>
      </c>
    </row>
    <row r="1174" spans="2:21" ht="31.5" customHeight="1" x14ac:dyDescent="0.45">
      <c r="B1174" s="461"/>
      <c r="C1174" s="369"/>
      <c r="D1174" s="368">
        <f>TrialBalance!C330</f>
        <v>0</v>
      </c>
      <c r="M1174" s="436">
        <f>TrialBalance!L330</f>
        <v>0</v>
      </c>
      <c r="N1174" s="400"/>
      <c r="O1174" s="451">
        <f>TrialBalance!N330</f>
        <v>0</v>
      </c>
      <c r="Q1174" s="389"/>
      <c r="R1174" s="416" t="str">
        <f t="shared" si="66"/>
        <v>DELETE</v>
      </c>
    </row>
    <row r="1175" spans="2:21" ht="31.5" customHeight="1" x14ac:dyDescent="0.45">
      <c r="B1175" s="461"/>
      <c r="C1175" s="369"/>
      <c r="D1175" s="368">
        <f>TrialBalance!C338</f>
        <v>0</v>
      </c>
      <c r="M1175" s="436">
        <f>TrialBalance!L338</f>
        <v>0</v>
      </c>
      <c r="N1175" s="400"/>
      <c r="O1175" s="451">
        <f>TrialBalance!N338</f>
        <v>0</v>
      </c>
      <c r="Q1175" s="389"/>
      <c r="R1175" s="416" t="str">
        <f t="shared" si="66"/>
        <v>DELETE</v>
      </c>
    </row>
    <row r="1176" spans="2:21" ht="31.5" customHeight="1" x14ac:dyDescent="0.45">
      <c r="B1176" s="461"/>
      <c r="C1176" s="369"/>
      <c r="D1176" s="368">
        <f>TrialBalance!C339</f>
        <v>0</v>
      </c>
      <c r="M1176" s="436">
        <f>TrialBalance!L339</f>
        <v>0</v>
      </c>
      <c r="N1176" s="400"/>
      <c r="O1176" s="451">
        <f>TrialBalance!N339</f>
        <v>0</v>
      </c>
      <c r="Q1176" s="389"/>
      <c r="R1176" s="416" t="str">
        <f t="shared" si="66"/>
        <v>DELETE</v>
      </c>
    </row>
    <row r="1177" spans="2:21" ht="31.5" customHeight="1" x14ac:dyDescent="0.45">
      <c r="B1177" s="461"/>
      <c r="C1177" s="369"/>
      <c r="D1177" s="368">
        <f>TrialBalance!C340</f>
        <v>0</v>
      </c>
      <c r="M1177" s="436">
        <f>TrialBalance!L340</f>
        <v>0</v>
      </c>
      <c r="N1177" s="400"/>
      <c r="O1177" s="451">
        <f>TrialBalance!N340</f>
        <v>0</v>
      </c>
      <c r="Q1177" s="389"/>
      <c r="R1177" s="416" t="str">
        <f t="shared" ref="R1177" si="68">IF(M1177+O1177=0,"DELETE"," ")</f>
        <v>DELETE</v>
      </c>
    </row>
    <row r="1178" spans="2:21" ht="31.5" customHeight="1" x14ac:dyDescent="0.45">
      <c r="B1178" s="461"/>
      <c r="C1178" s="369"/>
      <c r="D1178" s="368">
        <f>TrialBalance!C341</f>
        <v>0</v>
      </c>
      <c r="M1178" s="436">
        <f>TrialBalance!L341</f>
        <v>0</v>
      </c>
      <c r="N1178" s="400"/>
      <c r="O1178" s="451">
        <f>TrialBalance!N341</f>
        <v>0</v>
      </c>
      <c r="Q1178" s="389"/>
      <c r="R1178" s="416" t="str">
        <f t="shared" si="66"/>
        <v>DELETE</v>
      </c>
    </row>
    <row r="1179" spans="2:21" ht="9" customHeight="1" x14ac:dyDescent="0.45">
      <c r="B1179" s="461"/>
      <c r="C1179" s="369"/>
      <c r="M1179" s="437"/>
      <c r="N1179" s="392"/>
      <c r="O1179" s="452"/>
      <c r="Q1179" s="389"/>
      <c r="R1179" s="416" t="str">
        <f>R1168</f>
        <v>DELETE</v>
      </c>
    </row>
    <row r="1180" spans="2:21" ht="9" customHeight="1" x14ac:dyDescent="0.45">
      <c r="B1180" s="461"/>
      <c r="C1180" s="369"/>
      <c r="M1180" s="434"/>
      <c r="N1180" s="390"/>
      <c r="O1180" s="434"/>
      <c r="Q1180" s="389"/>
      <c r="R1180" s="416" t="str">
        <f>R1179</f>
        <v>DELETE</v>
      </c>
    </row>
    <row r="1181" spans="2:21" ht="31.5" customHeight="1" x14ac:dyDescent="0.45">
      <c r="B1181" s="461"/>
      <c r="C1181" s="369"/>
      <c r="D1181" s="368" t="str">
        <f>IF(COUNTIF(O1184:O1192,"&gt;0")&gt;1,"Interest free non - current receivables",IF(COUNTIF(M1184:M1192,"&gt;0")&gt;1,"Interest free non - current receivables","Interest free non - current receivable"))</f>
        <v>Interest free non - current receivable</v>
      </c>
      <c r="M1181" s="434">
        <f>SUM(M1183:M1193)</f>
        <v>0</v>
      </c>
      <c r="N1181" s="390"/>
      <c r="O1181" s="434">
        <f>SUM(O1183:O1193)</f>
        <v>0</v>
      </c>
      <c r="Q1181" s="389"/>
      <c r="R1181" s="416" t="str">
        <f>IF(M1181+O1181=0,"DELETE"," ")</f>
        <v>DELETE</v>
      </c>
      <c r="S1181" s="421">
        <f>M1181</f>
        <v>0</v>
      </c>
      <c r="U1181" s="421">
        <f>O1181</f>
        <v>0</v>
      </c>
    </row>
    <row r="1182" spans="2:21" ht="9" customHeight="1" x14ac:dyDescent="0.45">
      <c r="B1182" s="461"/>
      <c r="C1182" s="369"/>
      <c r="M1182" s="434"/>
      <c r="N1182" s="390"/>
      <c r="O1182" s="434"/>
      <c r="Q1182" s="389"/>
      <c r="R1182" s="416" t="str">
        <f>R1181</f>
        <v>DELETE</v>
      </c>
    </row>
    <row r="1183" spans="2:21" ht="9" customHeight="1" x14ac:dyDescent="0.45">
      <c r="B1183" s="461"/>
      <c r="C1183" s="369"/>
      <c r="M1183" s="435"/>
      <c r="N1183" s="391"/>
      <c r="O1183" s="450"/>
      <c r="Q1183" s="389"/>
      <c r="R1183" s="416" t="str">
        <f>R1182</f>
        <v>DELETE</v>
      </c>
    </row>
    <row r="1184" spans="2:21" ht="31.5" customHeight="1" x14ac:dyDescent="0.45">
      <c r="B1184" s="461"/>
      <c r="C1184" s="369"/>
      <c r="D1184" s="368">
        <f>TrialBalance!C332</f>
        <v>0</v>
      </c>
      <c r="M1184" s="436">
        <f>TrialBalance!L332</f>
        <v>0</v>
      </c>
      <c r="N1184" s="400"/>
      <c r="O1184" s="451">
        <f>TrialBalance!N332</f>
        <v>0</v>
      </c>
      <c r="Q1184" s="389"/>
      <c r="R1184" s="416" t="str">
        <f t="shared" si="66"/>
        <v>DELETE</v>
      </c>
    </row>
    <row r="1185" spans="2:18" ht="31.5" customHeight="1" x14ac:dyDescent="0.45">
      <c r="B1185" s="461"/>
      <c r="C1185" s="369"/>
      <c r="D1185" s="368">
        <f>TrialBalance!C333</f>
        <v>0</v>
      </c>
      <c r="M1185" s="436">
        <f>TrialBalance!L333</f>
        <v>0</v>
      </c>
      <c r="N1185" s="400"/>
      <c r="O1185" s="451">
        <f>TrialBalance!N333</f>
        <v>0</v>
      </c>
      <c r="Q1185" s="389"/>
      <c r="R1185" s="416" t="str">
        <f t="shared" ref="R1185" si="69">IF(M1185+O1185=0,"DELETE"," ")</f>
        <v>DELETE</v>
      </c>
    </row>
    <row r="1186" spans="2:18" ht="31.5" customHeight="1" x14ac:dyDescent="0.45">
      <c r="B1186" s="461"/>
      <c r="C1186" s="369"/>
      <c r="D1186" s="368">
        <f>TrialBalance!C334</f>
        <v>0</v>
      </c>
      <c r="M1186" s="436">
        <f>TrialBalance!L334</f>
        <v>0</v>
      </c>
      <c r="N1186" s="400"/>
      <c r="O1186" s="451">
        <f>TrialBalance!N334</f>
        <v>0</v>
      </c>
      <c r="Q1186" s="389"/>
      <c r="R1186" s="416" t="str">
        <f t="shared" si="66"/>
        <v>DELETE</v>
      </c>
    </row>
    <row r="1187" spans="2:18" ht="31.5" customHeight="1" x14ac:dyDescent="0.45">
      <c r="B1187" s="461"/>
      <c r="C1187" s="369"/>
      <c r="D1187" s="368">
        <f>TrialBalance!C335</f>
        <v>0</v>
      </c>
      <c r="M1187" s="436">
        <f>TrialBalance!L335</f>
        <v>0</v>
      </c>
      <c r="N1187" s="400"/>
      <c r="O1187" s="451">
        <f>TrialBalance!N335</f>
        <v>0</v>
      </c>
      <c r="Q1187" s="389"/>
      <c r="R1187" s="416" t="str">
        <f t="shared" si="66"/>
        <v>DELETE</v>
      </c>
    </row>
    <row r="1188" spans="2:18" ht="31.5" customHeight="1" x14ac:dyDescent="0.45">
      <c r="B1188" s="461"/>
      <c r="C1188" s="369"/>
      <c r="D1188" s="368">
        <f>TrialBalance!C343</f>
        <v>0</v>
      </c>
      <c r="M1188" s="436">
        <f>TrialBalance!L343</f>
        <v>0</v>
      </c>
      <c r="N1188" s="400"/>
      <c r="O1188" s="451">
        <f>TrialBalance!N343</f>
        <v>0</v>
      </c>
      <c r="Q1188" s="389"/>
      <c r="R1188" s="416" t="str">
        <f t="shared" si="66"/>
        <v>DELETE</v>
      </c>
    </row>
    <row r="1189" spans="2:18" ht="31.5" customHeight="1" x14ac:dyDescent="0.45">
      <c r="B1189" s="461"/>
      <c r="C1189" s="369"/>
      <c r="D1189" s="368">
        <f>TrialBalance!C344</f>
        <v>0</v>
      </c>
      <c r="M1189" s="436">
        <f>TrialBalance!L344</f>
        <v>0</v>
      </c>
      <c r="N1189" s="400"/>
      <c r="O1189" s="451">
        <f>TrialBalance!N344</f>
        <v>0</v>
      </c>
      <c r="Q1189" s="389"/>
      <c r="R1189" s="416" t="str">
        <f t="shared" si="66"/>
        <v>DELETE</v>
      </c>
    </row>
    <row r="1190" spans="2:18" ht="31.5" customHeight="1" x14ac:dyDescent="0.45">
      <c r="B1190" s="461"/>
      <c r="C1190" s="369"/>
      <c r="D1190" s="368">
        <f>TrialBalance!C345</f>
        <v>0</v>
      </c>
      <c r="M1190" s="436">
        <f>TrialBalance!L345</f>
        <v>0</v>
      </c>
      <c r="N1190" s="400"/>
      <c r="O1190" s="451">
        <f>TrialBalance!N345</f>
        <v>0</v>
      </c>
      <c r="Q1190" s="389"/>
      <c r="R1190" s="416" t="str">
        <f t="shared" si="66"/>
        <v>DELETE</v>
      </c>
    </row>
    <row r="1191" spans="2:18" ht="31.5" customHeight="1" x14ac:dyDescent="0.45">
      <c r="B1191" s="461"/>
      <c r="C1191" s="369"/>
      <c r="D1191" s="368">
        <f>TrialBalance!C346</f>
        <v>0</v>
      </c>
      <c r="M1191" s="436">
        <f>TrialBalance!L346</f>
        <v>0</v>
      </c>
      <c r="N1191" s="400"/>
      <c r="O1191" s="451">
        <f>TrialBalance!N346</f>
        <v>0</v>
      </c>
      <c r="Q1191" s="389"/>
      <c r="R1191" s="416" t="str">
        <f t="shared" si="66"/>
        <v>DELETE</v>
      </c>
    </row>
    <row r="1192" spans="2:18" ht="31.5" customHeight="1" x14ac:dyDescent="0.45">
      <c r="B1192" s="461"/>
      <c r="C1192" s="369"/>
      <c r="D1192" s="368">
        <f>TrialBalance!C347</f>
        <v>0</v>
      </c>
      <c r="M1192" s="436">
        <f>TrialBalance!L347</f>
        <v>0</v>
      </c>
      <c r="N1192" s="400"/>
      <c r="O1192" s="451">
        <f>TrialBalance!N347</f>
        <v>0</v>
      </c>
      <c r="Q1192" s="389"/>
      <c r="R1192" s="416" t="str">
        <f t="shared" si="66"/>
        <v>DELETE</v>
      </c>
    </row>
    <row r="1193" spans="2:18" ht="9" customHeight="1" x14ac:dyDescent="0.45">
      <c r="B1193" s="461"/>
      <c r="C1193" s="369"/>
      <c r="M1193" s="437"/>
      <c r="N1193" s="392"/>
      <c r="O1193" s="452"/>
      <c r="Q1193" s="389"/>
      <c r="R1193" s="416" t="str">
        <f>R1181</f>
        <v>DELETE</v>
      </c>
    </row>
    <row r="1194" spans="2:18" ht="9" customHeight="1" x14ac:dyDescent="0.45">
      <c r="B1194" s="461"/>
      <c r="C1194" s="369"/>
      <c r="M1194" s="438"/>
      <c r="N1194" s="392"/>
      <c r="O1194" s="438"/>
      <c r="Q1194" s="389"/>
      <c r="R1194" s="416" t="str">
        <f t="shared" ref="R1194" si="70">R$1196</f>
        <v>DELETE</v>
      </c>
    </row>
    <row r="1195" spans="2:18" ht="9" customHeight="1" x14ac:dyDescent="0.45">
      <c r="B1195" s="461"/>
      <c r="C1195" s="369"/>
      <c r="M1195" s="434"/>
      <c r="N1195" s="390"/>
      <c r="O1195" s="434"/>
      <c r="Q1195" s="389"/>
      <c r="R1195" s="416" t="str">
        <f>R$1196</f>
        <v>DELETE</v>
      </c>
    </row>
    <row r="1196" spans="2:18" ht="31.5" customHeight="1" x14ac:dyDescent="0.45">
      <c r="B1196" s="461"/>
      <c r="C1196" s="369"/>
      <c r="M1196" s="434">
        <f>SUM(S1168:S1194)</f>
        <v>0</v>
      </c>
      <c r="N1196" s="390"/>
      <c r="O1196" s="434">
        <f>SUM(U1168:U1194)</f>
        <v>0</v>
      </c>
      <c r="Q1196" s="389"/>
      <c r="R1196" s="416" t="str">
        <f>IF(M1196+O1196=0,"DELETE"," ")</f>
        <v>DELETE</v>
      </c>
    </row>
    <row r="1197" spans="2:18" ht="9" customHeight="1" thickBot="1" x14ac:dyDescent="0.5">
      <c r="B1197" s="461"/>
      <c r="C1197" s="369"/>
      <c r="M1197" s="439"/>
      <c r="N1197" s="393"/>
      <c r="O1197" s="439"/>
      <c r="Q1197" s="389"/>
      <c r="R1197" s="416" t="str">
        <f t="shared" ref="R1197:R1202" si="71">R$1196</f>
        <v>DELETE</v>
      </c>
    </row>
    <row r="1198" spans="2:18" ht="9" customHeight="1" thickTop="1" x14ac:dyDescent="0.45">
      <c r="B1198" s="461"/>
      <c r="C1198" s="369"/>
      <c r="M1198" s="441"/>
      <c r="N1198" s="400"/>
      <c r="O1198" s="441"/>
      <c r="Q1198" s="389"/>
      <c r="R1198" s="416" t="str">
        <f t="shared" si="71"/>
        <v>DELETE</v>
      </c>
    </row>
    <row r="1199" spans="2:18" ht="31.5" customHeight="1" x14ac:dyDescent="0.45">
      <c r="B1199" s="461"/>
      <c r="C1199" s="369"/>
      <c r="M1199" s="434"/>
      <c r="N1199" s="390"/>
      <c r="O1199" s="434"/>
      <c r="Q1199" s="389"/>
      <c r="R1199" s="416" t="str">
        <f t="shared" si="71"/>
        <v>DELETE</v>
      </c>
    </row>
    <row r="1200" spans="2:18" ht="31.5" customHeight="1" x14ac:dyDescent="0.45">
      <c r="B1200" s="461"/>
      <c r="C1200" s="369"/>
      <c r="M1200" s="434"/>
      <c r="N1200" s="390"/>
      <c r="O1200" s="434"/>
      <c r="Q1200" s="389"/>
      <c r="R1200" s="416" t="str">
        <f t="shared" si="71"/>
        <v>DELETE</v>
      </c>
    </row>
    <row r="1201" spans="2:18" ht="31.5" customHeight="1" x14ac:dyDescent="0.45">
      <c r="B1201" s="462"/>
      <c r="C1201" s="407"/>
      <c r="D1201" s="383"/>
      <c r="E1201" s="383"/>
      <c r="F1201" s="383"/>
      <c r="G1201" s="383"/>
      <c r="H1201" s="383"/>
      <c r="I1201" s="383"/>
      <c r="J1201" s="383"/>
      <c r="K1201" s="383"/>
      <c r="L1201" s="383"/>
      <c r="M1201" s="438"/>
      <c r="N1201" s="392"/>
      <c r="O1201" s="438"/>
      <c r="P1201" s="475"/>
      <c r="Q1201" s="398"/>
      <c r="R1201" s="416" t="str">
        <f t="shared" si="71"/>
        <v>DELETE</v>
      </c>
    </row>
    <row r="1202" spans="2:18" ht="31.5" customHeight="1" x14ac:dyDescent="0.45">
      <c r="B1202" s="431"/>
      <c r="M1202" s="479"/>
      <c r="N1202" s="469"/>
      <c r="O1202" s="479"/>
      <c r="R1202" s="416" t="str">
        <f t="shared" si="71"/>
        <v>DELETE</v>
      </c>
    </row>
    <row r="1203" spans="2:18" ht="31.5" customHeight="1" x14ac:dyDescent="0.45">
      <c r="B1203" s="431"/>
      <c r="M1203" s="479"/>
      <c r="N1203" s="469"/>
      <c r="O1203" s="479"/>
      <c r="R1203" s="416" t="str">
        <f>R$1221</f>
        <v>DELETE</v>
      </c>
    </row>
    <row r="1204" spans="2:18" ht="31.5" customHeight="1" x14ac:dyDescent="0.45">
      <c r="B1204" s="431"/>
      <c r="D1204" s="369" t="str">
        <f>Criteria!E9</f>
        <v>ABC TRUST</v>
      </c>
      <c r="M1204" s="479"/>
      <c r="N1204" s="469"/>
      <c r="O1204" s="434" t="s">
        <v>105</v>
      </c>
      <c r="Q1204" s="370">
        <f>MAX($Q$114:Q1203)+1</f>
        <v>23</v>
      </c>
      <c r="R1204" s="416" t="str">
        <f t="shared" ref="R1204:R1214" si="72">R$1221</f>
        <v>DELETE</v>
      </c>
    </row>
    <row r="1205" spans="2:18" ht="31.5" customHeight="1" x14ac:dyDescent="0.45">
      <c r="B1205" s="431"/>
      <c r="D1205" s="369" t="str">
        <f>Criteria!E10</f>
        <v>T/A RENTAL PROPERTIES, SEAFRONT RESTAURANT AND SURF SHOP</v>
      </c>
      <c r="M1205" s="479"/>
      <c r="N1205" s="469"/>
      <c r="O1205" s="479"/>
      <c r="R1205" s="416" t="str">
        <f>IF(R$1221="DELETE","DELETE",IF(D1205=0,"DELETE"," "))</f>
        <v>DELETE</v>
      </c>
    </row>
    <row r="1206" spans="2:18" ht="31.5" customHeight="1" x14ac:dyDescent="0.45">
      <c r="B1206" s="431"/>
      <c r="M1206" s="479"/>
      <c r="N1206" s="469"/>
      <c r="O1206" s="479"/>
      <c r="R1206" s="416" t="str">
        <f t="shared" si="72"/>
        <v>DELETE</v>
      </c>
    </row>
    <row r="1207" spans="2:18" ht="31.5" customHeight="1" x14ac:dyDescent="0.45">
      <c r="B1207" s="431"/>
      <c r="D1207" s="369" t="s">
        <v>383</v>
      </c>
      <c r="M1207" s="479"/>
      <c r="N1207" s="469"/>
      <c r="O1207" s="479"/>
      <c r="R1207" s="416" t="str">
        <f t="shared" si="72"/>
        <v>DELETE</v>
      </c>
    </row>
    <row r="1208" spans="2:18" ht="31.5" customHeight="1" x14ac:dyDescent="0.45">
      <c r="B1208" s="431"/>
      <c r="D1208" s="369" t="str">
        <f>Criteria!E20</f>
        <v>29 FEBRUARY 2024</v>
      </c>
      <c r="J1208" s="368" t="s">
        <v>253</v>
      </c>
      <c r="M1208" s="479"/>
      <c r="N1208" s="469"/>
      <c r="O1208" s="479"/>
      <c r="R1208" s="416" t="str">
        <f t="shared" si="72"/>
        <v>DELETE</v>
      </c>
    </row>
    <row r="1209" spans="2:18" ht="31.5" customHeight="1" x14ac:dyDescent="0.45">
      <c r="B1209" s="431"/>
      <c r="D1209" s="369"/>
      <c r="M1209" s="479"/>
      <c r="N1209" s="469"/>
      <c r="O1209" s="479"/>
      <c r="R1209" s="416" t="str">
        <f t="shared" si="72"/>
        <v>DELETE</v>
      </c>
    </row>
    <row r="1210" spans="2:18" ht="31.5" customHeight="1" x14ac:dyDescent="0.45">
      <c r="B1210" s="465"/>
      <c r="C1210" s="410"/>
      <c r="D1210" s="386"/>
      <c r="E1210" s="386"/>
      <c r="F1210" s="386"/>
      <c r="G1210" s="386"/>
      <c r="H1210" s="386"/>
      <c r="I1210" s="386"/>
      <c r="J1210" s="386"/>
      <c r="K1210" s="386"/>
      <c r="L1210" s="386"/>
      <c r="M1210" s="446"/>
      <c r="N1210" s="391"/>
      <c r="O1210" s="446"/>
      <c r="P1210" s="481"/>
      <c r="Q1210" s="387"/>
      <c r="R1210" s="416" t="str">
        <f t="shared" si="72"/>
        <v>DELETE</v>
      </c>
    </row>
    <row r="1211" spans="2:18" ht="31.5" customHeight="1" x14ac:dyDescent="0.45">
      <c r="B1211" s="461"/>
      <c r="C1211" s="369"/>
      <c r="M1211" s="430">
        <f>Criteria!E22</f>
        <v>2024</v>
      </c>
      <c r="N1211" s="379"/>
      <c r="O1211" s="430">
        <f>Criteria!E27</f>
        <v>2023</v>
      </c>
      <c r="Q1211" s="389"/>
      <c r="R1211" s="416" t="str">
        <f t="shared" si="72"/>
        <v>DELETE</v>
      </c>
    </row>
    <row r="1212" spans="2:18" ht="31.5" customHeight="1" x14ac:dyDescent="0.45">
      <c r="B1212" s="461"/>
      <c r="C1212" s="369"/>
      <c r="M1212" s="434"/>
      <c r="N1212" s="390"/>
      <c r="O1212" s="434"/>
      <c r="Q1212" s="389"/>
      <c r="R1212" s="416" t="str">
        <f t="shared" si="72"/>
        <v>DELETE</v>
      </c>
    </row>
    <row r="1213" spans="2:18" ht="31.5" customHeight="1" x14ac:dyDescent="0.45">
      <c r="B1213" s="461">
        <f>MAX($B$431:B1212)+1</f>
        <v>15</v>
      </c>
      <c r="C1213" s="369" t="s">
        <v>1047</v>
      </c>
      <c r="M1213" s="434"/>
      <c r="N1213" s="390"/>
      <c r="O1213" s="434"/>
      <c r="Q1213" s="389"/>
      <c r="R1213" s="416" t="str">
        <f t="shared" si="72"/>
        <v>DELETE</v>
      </c>
    </row>
    <row r="1214" spans="2:18" ht="31.5" customHeight="1" x14ac:dyDescent="0.45">
      <c r="B1214" s="461"/>
      <c r="C1214" s="369"/>
      <c r="D1214" s="368" t="s">
        <v>1048</v>
      </c>
      <c r="M1214" s="434"/>
      <c r="N1214" s="390"/>
      <c r="O1214" s="434"/>
      <c r="Q1214" s="389"/>
      <c r="R1214" s="416" t="str">
        <f t="shared" si="72"/>
        <v>DELETE</v>
      </c>
    </row>
    <row r="1215" spans="2:18" ht="31.5" customHeight="1" x14ac:dyDescent="0.45">
      <c r="B1215" s="461"/>
      <c r="C1215" s="369"/>
      <c r="D1215" s="368" t="s">
        <v>528</v>
      </c>
      <c r="M1215" s="434">
        <f>TrialBalance!L353</f>
        <v>0</v>
      </c>
      <c r="N1215" s="390"/>
      <c r="O1215" s="434">
        <f>TrialBalance!N353</f>
        <v>0</v>
      </c>
      <c r="Q1215" s="389"/>
      <c r="R1215" s="416" t="str">
        <f>IF(M1215+O1215=0,"DELETE"," ")</f>
        <v>DELETE</v>
      </c>
    </row>
    <row r="1216" spans="2:18" ht="31.5" customHeight="1" x14ac:dyDescent="0.45">
      <c r="B1216" s="461"/>
      <c r="C1216" s="369"/>
      <c r="D1216" s="368" t="s">
        <v>529</v>
      </c>
      <c r="M1216" s="434">
        <f>TrialBalance!L354</f>
        <v>0</v>
      </c>
      <c r="N1216" s="390"/>
      <c r="O1216" s="434">
        <f>TrialBalance!N354</f>
        <v>0</v>
      </c>
      <c r="Q1216" s="389"/>
      <c r="R1216" s="416" t="str">
        <f>IF(M1216+O1216=0,"DELETE"," ")</f>
        <v>DELETE</v>
      </c>
    </row>
    <row r="1217" spans="2:18" ht="31.5" customHeight="1" x14ac:dyDescent="0.45">
      <c r="B1217" s="461"/>
      <c r="C1217" s="369"/>
      <c r="D1217" s="368" t="s">
        <v>530</v>
      </c>
      <c r="M1217" s="434">
        <f>TrialBalance!L355</f>
        <v>0</v>
      </c>
      <c r="N1217" s="390"/>
      <c r="O1217" s="434">
        <f>TrialBalance!N355</f>
        <v>0</v>
      </c>
      <c r="Q1217" s="389"/>
      <c r="R1217" s="416" t="str">
        <f>IF(M1217+O1217=0,"DELETE"," ")</f>
        <v>DELETE</v>
      </c>
    </row>
    <row r="1218" spans="2:18" ht="31.5" customHeight="1" x14ac:dyDescent="0.45">
      <c r="B1218" s="461"/>
      <c r="C1218" s="369"/>
      <c r="D1218" s="368" t="s">
        <v>531</v>
      </c>
      <c r="M1218" s="434">
        <f>TrialBalance!L356</f>
        <v>0</v>
      </c>
      <c r="N1218" s="390"/>
      <c r="O1218" s="434">
        <f>TrialBalance!N356</f>
        <v>0</v>
      </c>
      <c r="Q1218" s="389"/>
      <c r="R1218" s="416" t="str">
        <f>IF(M1218+O1218=0,"DELETE"," ")</f>
        <v>DELETE</v>
      </c>
    </row>
    <row r="1219" spans="2:18" ht="9" customHeight="1" x14ac:dyDescent="0.45">
      <c r="B1219" s="461"/>
      <c r="C1219" s="369"/>
      <c r="M1219" s="438"/>
      <c r="N1219" s="392"/>
      <c r="O1219" s="438"/>
      <c r="Q1219" s="389"/>
      <c r="R1219" s="416" t="str">
        <f t="shared" ref="R1219:R1227" si="73">R$1221</f>
        <v>DELETE</v>
      </c>
    </row>
    <row r="1220" spans="2:18" ht="9" customHeight="1" x14ac:dyDescent="0.45">
      <c r="B1220" s="461"/>
      <c r="C1220" s="369"/>
      <c r="M1220" s="434"/>
      <c r="N1220" s="390"/>
      <c r="O1220" s="434"/>
      <c r="Q1220" s="389"/>
      <c r="R1220" s="416" t="str">
        <f t="shared" si="73"/>
        <v>DELETE</v>
      </c>
    </row>
    <row r="1221" spans="2:18" ht="31.5" customHeight="1" x14ac:dyDescent="0.45">
      <c r="B1221" s="461"/>
      <c r="C1221" s="369"/>
      <c r="M1221" s="434">
        <f>SUM(M1215:M1220)</f>
        <v>0</v>
      </c>
      <c r="N1221" s="390"/>
      <c r="O1221" s="434">
        <f>SUM(O1215:O1220)</f>
        <v>0</v>
      </c>
      <c r="Q1221" s="389"/>
      <c r="R1221" s="416" t="str">
        <f>IF(M1221+O1221=0,"DELETE"," ")</f>
        <v>DELETE</v>
      </c>
    </row>
    <row r="1222" spans="2:18" ht="9" customHeight="1" thickBot="1" x14ac:dyDescent="0.5">
      <c r="B1222" s="461"/>
      <c r="C1222" s="369"/>
      <c r="M1222" s="439"/>
      <c r="N1222" s="393"/>
      <c r="O1222" s="439"/>
      <c r="Q1222" s="389"/>
      <c r="R1222" s="416" t="str">
        <f t="shared" si="73"/>
        <v>DELETE</v>
      </c>
    </row>
    <row r="1223" spans="2:18" ht="9" customHeight="1" thickTop="1" x14ac:dyDescent="0.45">
      <c r="B1223" s="461"/>
      <c r="C1223" s="369"/>
      <c r="M1223" s="441"/>
      <c r="N1223" s="400"/>
      <c r="O1223" s="441"/>
      <c r="Q1223" s="389"/>
      <c r="R1223" s="416" t="str">
        <f t="shared" si="73"/>
        <v>DELETE</v>
      </c>
    </row>
    <row r="1224" spans="2:18" ht="31.5" customHeight="1" x14ac:dyDescent="0.45">
      <c r="B1224" s="461"/>
      <c r="C1224" s="369"/>
      <c r="M1224" s="434"/>
      <c r="N1224" s="390"/>
      <c r="O1224" s="434"/>
      <c r="Q1224" s="389"/>
      <c r="R1224" s="416" t="str">
        <f t="shared" si="73"/>
        <v>DELETE</v>
      </c>
    </row>
    <row r="1225" spans="2:18" ht="31.5" customHeight="1" x14ac:dyDescent="0.45">
      <c r="B1225" s="461"/>
      <c r="C1225" s="369"/>
      <c r="M1225" s="434"/>
      <c r="N1225" s="390"/>
      <c r="O1225" s="434"/>
      <c r="Q1225" s="389"/>
      <c r="R1225" s="416" t="str">
        <f t="shared" si="73"/>
        <v>DELETE</v>
      </c>
    </row>
    <row r="1226" spans="2:18" ht="31.5" customHeight="1" x14ac:dyDescent="0.45">
      <c r="B1226" s="462"/>
      <c r="C1226" s="407"/>
      <c r="D1226" s="383"/>
      <c r="E1226" s="383"/>
      <c r="F1226" s="383"/>
      <c r="G1226" s="383"/>
      <c r="H1226" s="383"/>
      <c r="I1226" s="383"/>
      <c r="J1226" s="383"/>
      <c r="K1226" s="383"/>
      <c r="L1226" s="383"/>
      <c r="M1226" s="438"/>
      <c r="N1226" s="392"/>
      <c r="O1226" s="438"/>
      <c r="P1226" s="475"/>
      <c r="Q1226" s="398"/>
      <c r="R1226" s="416" t="str">
        <f t="shared" si="73"/>
        <v>DELETE</v>
      </c>
    </row>
    <row r="1227" spans="2:18" ht="31.5" customHeight="1" x14ac:dyDescent="0.45">
      <c r="B1227" s="445"/>
      <c r="C1227" s="369"/>
      <c r="M1227" s="434"/>
      <c r="N1227" s="390"/>
      <c r="O1227" s="434"/>
      <c r="R1227" s="416" t="str">
        <f t="shared" si="73"/>
        <v>DELETE</v>
      </c>
    </row>
    <row r="1228" spans="2:18" ht="31.5" customHeight="1" x14ac:dyDescent="0.45">
      <c r="B1228" s="431"/>
      <c r="M1228" s="479"/>
      <c r="N1228" s="469"/>
      <c r="O1228" s="479"/>
      <c r="R1228" s="416" t="str">
        <f>R$1251</f>
        <v>DELETE</v>
      </c>
    </row>
    <row r="1229" spans="2:18" ht="31.5" customHeight="1" x14ac:dyDescent="0.45">
      <c r="B1229" s="431"/>
      <c r="D1229" s="369" t="str">
        <f>Criteria!E9</f>
        <v>ABC TRUST</v>
      </c>
      <c r="M1229" s="479"/>
      <c r="N1229" s="469"/>
      <c r="O1229" s="434" t="s">
        <v>105</v>
      </c>
      <c r="Q1229" s="370">
        <f>MAX($Q$114:Q1228)+1</f>
        <v>24</v>
      </c>
      <c r="R1229" s="416" t="str">
        <f t="shared" ref="R1229:R1238" si="74">R$1251</f>
        <v>DELETE</v>
      </c>
    </row>
    <row r="1230" spans="2:18" ht="31.5" customHeight="1" x14ac:dyDescent="0.45">
      <c r="B1230" s="431"/>
      <c r="D1230" s="369" t="str">
        <f>Criteria!E10</f>
        <v>T/A RENTAL PROPERTIES, SEAFRONT RESTAURANT AND SURF SHOP</v>
      </c>
      <c r="M1230" s="479"/>
      <c r="N1230" s="469"/>
      <c r="O1230" s="479"/>
      <c r="R1230" s="416" t="str">
        <f>IF(R$1251="DELETE","DELETE",IF(D1230=0,"DELETE"," "))</f>
        <v>DELETE</v>
      </c>
    </row>
    <row r="1231" spans="2:18" ht="31.5" customHeight="1" x14ac:dyDescent="0.45">
      <c r="B1231" s="431"/>
      <c r="M1231" s="479"/>
      <c r="N1231" s="469"/>
      <c r="O1231" s="479"/>
      <c r="R1231" s="416" t="str">
        <f t="shared" si="74"/>
        <v>DELETE</v>
      </c>
    </row>
    <row r="1232" spans="2:18" ht="31.5" customHeight="1" x14ac:dyDescent="0.45">
      <c r="B1232" s="431"/>
      <c r="D1232" s="369" t="s">
        <v>383</v>
      </c>
      <c r="M1232" s="479"/>
      <c r="N1232" s="469"/>
      <c r="O1232" s="479"/>
      <c r="R1232" s="416" t="str">
        <f t="shared" si="74"/>
        <v>DELETE</v>
      </c>
    </row>
    <row r="1233" spans="2:24" ht="31.5" customHeight="1" x14ac:dyDescent="0.45">
      <c r="B1233" s="431"/>
      <c r="D1233" s="369" t="str">
        <f>Criteria!E20</f>
        <v>29 FEBRUARY 2024</v>
      </c>
      <c r="J1233" s="368" t="s">
        <v>253</v>
      </c>
      <c r="M1233" s="479"/>
      <c r="N1233" s="469"/>
      <c r="O1233" s="479"/>
      <c r="R1233" s="416" t="str">
        <f t="shared" si="74"/>
        <v>DELETE</v>
      </c>
    </row>
    <row r="1234" spans="2:24" ht="31.5" customHeight="1" x14ac:dyDescent="0.45">
      <c r="B1234" s="431"/>
      <c r="M1234" s="482"/>
      <c r="N1234" s="483"/>
      <c r="O1234" s="482"/>
      <c r="R1234" s="416" t="str">
        <f t="shared" si="74"/>
        <v>DELETE</v>
      </c>
    </row>
    <row r="1235" spans="2:24" ht="31.5" customHeight="1" x14ac:dyDescent="0.45">
      <c r="B1235" s="463"/>
      <c r="C1235" s="386"/>
      <c r="D1235" s="386"/>
      <c r="E1235" s="386"/>
      <c r="F1235" s="386"/>
      <c r="G1235" s="386"/>
      <c r="H1235" s="386"/>
      <c r="I1235" s="386"/>
      <c r="J1235" s="386"/>
      <c r="K1235" s="386"/>
      <c r="L1235" s="386"/>
      <c r="M1235" s="484"/>
      <c r="N1235" s="485"/>
      <c r="O1235" s="484"/>
      <c r="P1235" s="481"/>
      <c r="Q1235" s="387"/>
      <c r="R1235" s="416" t="str">
        <f t="shared" si="74"/>
        <v>DELETE</v>
      </c>
    </row>
    <row r="1236" spans="2:24" ht="31.5" customHeight="1" x14ac:dyDescent="0.45">
      <c r="B1236" s="464"/>
      <c r="M1236" s="430">
        <f>Criteria!E22</f>
        <v>2024</v>
      </c>
      <c r="N1236" s="379"/>
      <c r="O1236" s="430">
        <f>Criteria!E27</f>
        <v>2023</v>
      </c>
      <c r="Q1236" s="389"/>
      <c r="R1236" s="416" t="str">
        <f t="shared" si="74"/>
        <v>DELETE</v>
      </c>
    </row>
    <row r="1237" spans="2:24" ht="31.5" customHeight="1" x14ac:dyDescent="0.45">
      <c r="B1237" s="461"/>
      <c r="C1237" s="369"/>
      <c r="M1237" s="434"/>
      <c r="N1237" s="390"/>
      <c r="O1237" s="434"/>
      <c r="Q1237" s="389"/>
      <c r="R1237" s="416" t="str">
        <f t="shared" si="74"/>
        <v>DELETE</v>
      </c>
    </row>
    <row r="1238" spans="2:24" ht="31.5" customHeight="1" x14ac:dyDescent="0.45">
      <c r="B1238" s="461">
        <f>MAX($B$431:B1237)+1</f>
        <v>16</v>
      </c>
      <c r="C1238" s="369" t="s">
        <v>730</v>
      </c>
      <c r="M1238" s="434"/>
      <c r="N1238" s="390"/>
      <c r="O1238" s="434"/>
      <c r="Q1238" s="389"/>
      <c r="R1238" s="416" t="str">
        <f t="shared" si="74"/>
        <v>DELETE</v>
      </c>
    </row>
    <row r="1239" spans="2:24" ht="31.5" customHeight="1" x14ac:dyDescent="0.45">
      <c r="B1239" s="461"/>
      <c r="C1239" s="369"/>
      <c r="D1239" s="368" t="s">
        <v>532</v>
      </c>
      <c r="M1239" s="434">
        <f>TrialBalance!L358</f>
        <v>0</v>
      </c>
      <c r="N1239" s="390"/>
      <c r="O1239" s="434">
        <f>TrialBalance!N358</f>
        <v>0</v>
      </c>
      <c r="Q1239" s="389"/>
      <c r="R1239" s="416" t="str">
        <f>IF(M1239+O1239=0,"DELETE"," ")</f>
        <v>DELETE</v>
      </c>
      <c r="S1239" s="422">
        <f>M1239</f>
        <v>0</v>
      </c>
      <c r="T1239" s="422"/>
      <c r="U1239" s="422">
        <f>O1239</f>
        <v>0</v>
      </c>
      <c r="V1239" s="422"/>
      <c r="W1239" s="422"/>
      <c r="X1239" s="422"/>
    </row>
    <row r="1240" spans="2:24" ht="31.5" customHeight="1" x14ac:dyDescent="0.45">
      <c r="B1240" s="461"/>
      <c r="C1240" s="369"/>
      <c r="D1240" s="368" t="s">
        <v>624</v>
      </c>
      <c r="M1240" s="434">
        <f>TrialBalance!L359</f>
        <v>0</v>
      </c>
      <c r="N1240" s="390"/>
      <c r="O1240" s="434">
        <f>TrialBalance!N359</f>
        <v>0</v>
      </c>
      <c r="Q1240" s="389"/>
      <c r="R1240" s="416" t="str">
        <f>IF(M1240+O1240=0,"DELETE"," ")</f>
        <v>DELETE</v>
      </c>
      <c r="S1240" s="422">
        <f>M1240</f>
        <v>0</v>
      </c>
      <c r="T1240" s="422"/>
      <c r="U1240" s="422">
        <f>O1240</f>
        <v>0</v>
      </c>
      <c r="V1240" s="422"/>
      <c r="W1240" s="422"/>
      <c r="X1240" s="422"/>
    </row>
    <row r="1241" spans="2:24" ht="9" customHeight="1" x14ac:dyDescent="0.45">
      <c r="B1241" s="461"/>
      <c r="C1241" s="369"/>
      <c r="M1241" s="438"/>
      <c r="N1241" s="392"/>
      <c r="O1241" s="438"/>
      <c r="Q1241" s="389"/>
      <c r="R1241" s="416" t="str">
        <f>R1240</f>
        <v>DELETE</v>
      </c>
    </row>
    <row r="1242" spans="2:24" ht="10.5" customHeight="1" x14ac:dyDescent="0.45">
      <c r="B1242" s="461"/>
      <c r="C1242" s="369"/>
      <c r="M1242" s="434"/>
      <c r="N1242" s="390"/>
      <c r="O1242" s="434"/>
      <c r="Q1242" s="389"/>
      <c r="R1242" s="416" t="str">
        <f>R1241</f>
        <v>DELETE</v>
      </c>
    </row>
    <row r="1243" spans="2:24" ht="31.5" customHeight="1" x14ac:dyDescent="0.45">
      <c r="B1243" s="461"/>
      <c r="C1243" s="369"/>
      <c r="M1243" s="434">
        <f>SUM(M1239:M1242)</f>
        <v>0</v>
      </c>
      <c r="N1243" s="390"/>
      <c r="O1243" s="434">
        <f>SUM(O1239:O1242)</f>
        <v>0</v>
      </c>
      <c r="Q1243" s="389"/>
      <c r="R1243" s="416" t="str">
        <f>R1242</f>
        <v>DELETE</v>
      </c>
    </row>
    <row r="1244" spans="2:24" ht="31.5" customHeight="1" x14ac:dyDescent="0.45">
      <c r="B1244" s="461"/>
      <c r="C1244" s="369"/>
      <c r="D1244" s="368" t="s">
        <v>327</v>
      </c>
      <c r="M1244" s="434">
        <f>TrialBalance!L360</f>
        <v>0</v>
      </c>
      <c r="N1244" s="390"/>
      <c r="O1244" s="434">
        <f>TrialBalance!N360</f>
        <v>0</v>
      </c>
      <c r="Q1244" s="389"/>
      <c r="R1244" s="416" t="str">
        <f>IF(M1244+O1244=0,"DELETE"," ")</f>
        <v>DELETE</v>
      </c>
      <c r="S1244" s="422">
        <f t="shared" ref="S1244:S1248" si="75">M1244</f>
        <v>0</v>
      </c>
      <c r="T1244" s="422"/>
      <c r="U1244" s="422">
        <f t="shared" ref="U1244:U1248" si="76">O1244</f>
        <v>0</v>
      </c>
      <c r="V1244" s="422"/>
      <c r="W1244" s="422"/>
      <c r="X1244" s="422"/>
    </row>
    <row r="1245" spans="2:24" ht="31.5" customHeight="1" x14ac:dyDescent="0.45">
      <c r="B1245" s="461"/>
      <c r="C1245" s="369"/>
      <c r="D1245" s="368" t="s">
        <v>302</v>
      </c>
      <c r="M1245" s="434">
        <f>TrialBalance!L361</f>
        <v>0</v>
      </c>
      <c r="N1245" s="390"/>
      <c r="O1245" s="434">
        <f>TrialBalance!N361</f>
        <v>0</v>
      </c>
      <c r="Q1245" s="389"/>
      <c r="R1245" s="416" t="str">
        <f>IF(M1245+O1245=0,"DELETE"," ")</f>
        <v>DELETE</v>
      </c>
      <c r="S1245" s="422">
        <f t="shared" si="75"/>
        <v>0</v>
      </c>
      <c r="T1245" s="422"/>
      <c r="U1245" s="422">
        <f t="shared" si="76"/>
        <v>0</v>
      </c>
      <c r="V1245" s="422"/>
      <c r="W1245" s="422"/>
      <c r="X1245" s="422"/>
    </row>
    <row r="1246" spans="2:24" ht="31.5" customHeight="1" x14ac:dyDescent="0.45">
      <c r="B1246" s="461"/>
      <c r="C1246" s="369"/>
      <c r="D1246" s="368" t="s">
        <v>382</v>
      </c>
      <c r="M1246" s="434">
        <f>TrialBalance!L362</f>
        <v>0</v>
      </c>
      <c r="N1246" s="390"/>
      <c r="O1246" s="434">
        <f>TrialBalance!N362</f>
        <v>0</v>
      </c>
      <c r="Q1246" s="389"/>
      <c r="R1246" s="416" t="str">
        <f>IF(M1246+O1246=0,"DELETE"," ")</f>
        <v>DELETE</v>
      </c>
      <c r="S1246" s="422">
        <f t="shared" si="75"/>
        <v>0</v>
      </c>
      <c r="T1246" s="422"/>
      <c r="U1246" s="422">
        <f t="shared" si="76"/>
        <v>0</v>
      </c>
      <c r="V1246" s="422"/>
      <c r="W1246" s="422"/>
      <c r="X1246" s="422"/>
    </row>
    <row r="1247" spans="2:24" ht="31.5" customHeight="1" x14ac:dyDescent="0.45">
      <c r="B1247" s="461"/>
      <c r="C1247" s="369"/>
      <c r="D1247" s="368" t="s">
        <v>534</v>
      </c>
      <c r="M1247" s="434">
        <f>TrialBalance!L363</f>
        <v>0</v>
      </c>
      <c r="N1247" s="390"/>
      <c r="O1247" s="434">
        <f>TrialBalance!N363</f>
        <v>0</v>
      </c>
      <c r="Q1247" s="389"/>
      <c r="R1247" s="416" t="str">
        <f>IF(M1247+O1247=0,"DELETE"," ")</f>
        <v>DELETE</v>
      </c>
      <c r="S1247" s="422">
        <f t="shared" si="75"/>
        <v>0</v>
      </c>
      <c r="T1247" s="422"/>
      <c r="U1247" s="422">
        <f t="shared" si="76"/>
        <v>0</v>
      </c>
      <c r="V1247" s="422"/>
      <c r="W1247" s="422"/>
      <c r="X1247" s="422"/>
    </row>
    <row r="1248" spans="2:24" ht="31.5" customHeight="1" x14ac:dyDescent="0.45">
      <c r="B1248" s="461"/>
      <c r="C1248" s="369"/>
      <c r="D1248" s="368" t="s">
        <v>533</v>
      </c>
      <c r="M1248" s="434">
        <f>IF(TrialBalance!L395&gt;0,TrialBalance!L395,0)+IF(TrialBalance!L394&gt;0,TrialBalance!L394,0)</f>
        <v>0</v>
      </c>
      <c r="N1248" s="390"/>
      <c r="O1248" s="434">
        <f>IF(TrialBalance!N395&gt;0,TrialBalance!N395,0)+IF(TrialBalance!N394&gt;0,TrialBalance!N394,0)</f>
        <v>0</v>
      </c>
      <c r="Q1248" s="389"/>
      <c r="R1248" s="416" t="str">
        <f>IF(M1248+O1248=0,"DELETE"," ")</f>
        <v>DELETE</v>
      </c>
      <c r="S1248" s="422">
        <f t="shared" si="75"/>
        <v>0</v>
      </c>
      <c r="T1248" s="422"/>
      <c r="U1248" s="422">
        <f t="shared" si="76"/>
        <v>0</v>
      </c>
      <c r="V1248" s="422"/>
      <c r="W1248" s="422"/>
      <c r="X1248" s="422"/>
    </row>
    <row r="1249" spans="2:21" ht="9" customHeight="1" x14ac:dyDescent="0.45">
      <c r="B1249" s="461"/>
      <c r="C1249" s="369"/>
      <c r="M1249" s="438"/>
      <c r="N1249" s="392"/>
      <c r="O1249" s="438"/>
      <c r="Q1249" s="389"/>
      <c r="R1249" s="416" t="str">
        <f t="shared" ref="R1249:R1258" si="77">R$1251</f>
        <v>DELETE</v>
      </c>
    </row>
    <row r="1250" spans="2:21" ht="9" customHeight="1" x14ac:dyDescent="0.45">
      <c r="B1250" s="461"/>
      <c r="C1250" s="369"/>
      <c r="M1250" s="434"/>
      <c r="N1250" s="390"/>
      <c r="O1250" s="434"/>
      <c r="Q1250" s="389"/>
      <c r="R1250" s="416" t="str">
        <f t="shared" si="77"/>
        <v>DELETE</v>
      </c>
    </row>
    <row r="1251" spans="2:21" ht="31.5" customHeight="1" x14ac:dyDescent="0.45">
      <c r="B1251" s="461"/>
      <c r="C1251" s="369"/>
      <c r="M1251" s="434">
        <f>SUM(S1239:S1248)</f>
        <v>0</v>
      </c>
      <c r="N1251" s="390"/>
      <c r="O1251" s="434">
        <f>SUM(U1239:U1248)</f>
        <v>0</v>
      </c>
      <c r="Q1251" s="389"/>
      <c r="R1251" s="416" t="str">
        <f>IF(M1251+O1251=0,"DELETE"," ")</f>
        <v>DELETE</v>
      </c>
      <c r="S1251" s="421"/>
      <c r="T1251" s="421"/>
      <c r="U1251" s="421"/>
    </row>
    <row r="1252" spans="2:21" ht="9" customHeight="1" thickBot="1" x14ac:dyDescent="0.5">
      <c r="B1252" s="461"/>
      <c r="C1252" s="369"/>
      <c r="M1252" s="439"/>
      <c r="N1252" s="393"/>
      <c r="O1252" s="439"/>
      <c r="Q1252" s="389"/>
      <c r="R1252" s="416" t="str">
        <f t="shared" si="77"/>
        <v>DELETE</v>
      </c>
    </row>
    <row r="1253" spans="2:21" ht="9" customHeight="1" thickTop="1" x14ac:dyDescent="0.45">
      <c r="B1253" s="461"/>
      <c r="C1253" s="369"/>
      <c r="M1253" s="441"/>
      <c r="N1253" s="400"/>
      <c r="O1253" s="441"/>
      <c r="Q1253" s="389"/>
      <c r="R1253" s="416" t="str">
        <f t="shared" si="77"/>
        <v>DELETE</v>
      </c>
    </row>
    <row r="1254" spans="2:21" ht="31.5" customHeight="1" x14ac:dyDescent="0.45">
      <c r="B1254" s="461"/>
      <c r="C1254" s="369"/>
      <c r="D1254" s="368" t="str">
        <f>IF(Criteria!G147="Yes",Criteria!G149," ")</f>
        <v xml:space="preserve"> </v>
      </c>
      <c r="M1254" s="434"/>
      <c r="N1254" s="390"/>
      <c r="O1254" s="434"/>
      <c r="Q1254" s="389"/>
      <c r="R1254" s="416" t="str">
        <f>IF(D1254=" ","DELETE"," ")</f>
        <v>DELETE</v>
      </c>
    </row>
    <row r="1255" spans="2:21" ht="31.5" customHeight="1" x14ac:dyDescent="0.45">
      <c r="B1255" s="461"/>
      <c r="C1255" s="369"/>
      <c r="D1255" s="368" t="str">
        <f>IF(Criteria!G147="Yes",Criteria!G150," ")</f>
        <v xml:space="preserve"> </v>
      </c>
      <c r="M1255" s="434"/>
      <c r="N1255" s="390"/>
      <c r="O1255" s="434"/>
      <c r="Q1255" s="389"/>
      <c r="R1255" s="416" t="str">
        <f>IF(D1255=" ","DELETE"," ")</f>
        <v>DELETE</v>
      </c>
    </row>
    <row r="1256" spans="2:21" ht="31.5" customHeight="1" x14ac:dyDescent="0.45">
      <c r="B1256" s="461"/>
      <c r="C1256" s="369"/>
      <c r="M1256" s="434"/>
      <c r="N1256" s="390"/>
      <c r="O1256" s="434"/>
      <c r="Q1256" s="389"/>
      <c r="R1256" s="416" t="str">
        <f t="shared" si="77"/>
        <v>DELETE</v>
      </c>
    </row>
    <row r="1257" spans="2:21" ht="31.5" customHeight="1" x14ac:dyDescent="0.45">
      <c r="B1257" s="462"/>
      <c r="C1257" s="407"/>
      <c r="D1257" s="383"/>
      <c r="E1257" s="383"/>
      <c r="F1257" s="383"/>
      <c r="G1257" s="383"/>
      <c r="H1257" s="383"/>
      <c r="I1257" s="383"/>
      <c r="J1257" s="383"/>
      <c r="K1257" s="383"/>
      <c r="L1257" s="383"/>
      <c r="M1257" s="438"/>
      <c r="N1257" s="392"/>
      <c r="O1257" s="438"/>
      <c r="P1257" s="475"/>
      <c r="Q1257" s="398"/>
      <c r="R1257" s="416" t="str">
        <f t="shared" si="77"/>
        <v>DELETE</v>
      </c>
    </row>
    <row r="1258" spans="2:21" ht="31.5" customHeight="1" x14ac:dyDescent="0.45">
      <c r="B1258" s="431"/>
      <c r="M1258" s="479"/>
      <c r="N1258" s="469"/>
      <c r="O1258" s="479"/>
      <c r="R1258" s="416" t="str">
        <f t="shared" si="77"/>
        <v>DELETE</v>
      </c>
    </row>
    <row r="1259" spans="2:21" ht="31.5" customHeight="1" x14ac:dyDescent="0.45">
      <c r="B1259" s="431"/>
      <c r="M1259" s="479"/>
      <c r="N1259" s="469"/>
      <c r="O1259" s="479"/>
      <c r="R1259" s="416" t="str">
        <f>R$1279</f>
        <v>DELETE</v>
      </c>
    </row>
    <row r="1260" spans="2:21" ht="31.5" customHeight="1" x14ac:dyDescent="0.45">
      <c r="B1260" s="431"/>
      <c r="D1260" s="369" t="str">
        <f>Criteria!E9</f>
        <v>ABC TRUST</v>
      </c>
      <c r="M1260" s="479"/>
      <c r="N1260" s="469"/>
      <c r="O1260" s="434" t="s">
        <v>105</v>
      </c>
      <c r="Q1260" s="370">
        <f>MAX($Q$114:Q1259)+1</f>
        <v>25</v>
      </c>
      <c r="R1260" s="416" t="str">
        <f t="shared" ref="R1260:R1269" si="78">R$1279</f>
        <v>DELETE</v>
      </c>
    </row>
    <row r="1261" spans="2:21" ht="31.5" customHeight="1" x14ac:dyDescent="0.45">
      <c r="B1261" s="431"/>
      <c r="D1261" s="369" t="str">
        <f>Criteria!E10</f>
        <v>T/A RENTAL PROPERTIES, SEAFRONT RESTAURANT AND SURF SHOP</v>
      </c>
      <c r="M1261" s="479"/>
      <c r="N1261" s="469"/>
      <c r="O1261" s="479"/>
      <c r="R1261" s="416" t="str">
        <f>IF(R$1279="DELETE","DELETE",IF(D1261=0,"DELETE"," "))</f>
        <v>DELETE</v>
      </c>
    </row>
    <row r="1262" spans="2:21" ht="31.5" customHeight="1" x14ac:dyDescent="0.45">
      <c r="B1262" s="431"/>
      <c r="M1262" s="479"/>
      <c r="N1262" s="469"/>
      <c r="O1262" s="479"/>
      <c r="R1262" s="416" t="str">
        <f t="shared" si="78"/>
        <v>DELETE</v>
      </c>
    </row>
    <row r="1263" spans="2:21" ht="31.5" customHeight="1" x14ac:dyDescent="0.45">
      <c r="B1263" s="431"/>
      <c r="D1263" s="369" t="s">
        <v>383</v>
      </c>
      <c r="M1263" s="479"/>
      <c r="N1263" s="469"/>
      <c r="O1263" s="479"/>
      <c r="R1263" s="416" t="str">
        <f t="shared" si="78"/>
        <v>DELETE</v>
      </c>
    </row>
    <row r="1264" spans="2:21" ht="31.5" customHeight="1" x14ac:dyDescent="0.45">
      <c r="B1264" s="431"/>
      <c r="D1264" s="369" t="str">
        <f>Criteria!E20</f>
        <v>29 FEBRUARY 2024</v>
      </c>
      <c r="J1264" s="368" t="s">
        <v>253</v>
      </c>
      <c r="M1264" s="479"/>
      <c r="N1264" s="469"/>
      <c r="O1264" s="479"/>
      <c r="R1264" s="416" t="str">
        <f t="shared" si="78"/>
        <v>DELETE</v>
      </c>
    </row>
    <row r="1265" spans="2:24" ht="31.5" customHeight="1" x14ac:dyDescent="0.45">
      <c r="B1265" s="431"/>
      <c r="D1265" s="369"/>
      <c r="M1265" s="479"/>
      <c r="N1265" s="469"/>
      <c r="O1265" s="479"/>
      <c r="R1265" s="416" t="str">
        <f t="shared" si="78"/>
        <v>DELETE</v>
      </c>
    </row>
    <row r="1266" spans="2:24" ht="31.5" customHeight="1" x14ac:dyDescent="0.45">
      <c r="B1266" s="465"/>
      <c r="C1266" s="410"/>
      <c r="D1266" s="386"/>
      <c r="E1266" s="386"/>
      <c r="F1266" s="386"/>
      <c r="G1266" s="386"/>
      <c r="H1266" s="386"/>
      <c r="I1266" s="386"/>
      <c r="J1266" s="386"/>
      <c r="K1266" s="386"/>
      <c r="L1266" s="386"/>
      <c r="M1266" s="446"/>
      <c r="N1266" s="391"/>
      <c r="O1266" s="446"/>
      <c r="P1266" s="481"/>
      <c r="Q1266" s="387"/>
      <c r="R1266" s="416" t="str">
        <f t="shared" si="78"/>
        <v>DELETE</v>
      </c>
    </row>
    <row r="1267" spans="2:24" ht="31.5" customHeight="1" x14ac:dyDescent="0.45">
      <c r="B1267" s="461"/>
      <c r="C1267" s="369"/>
      <c r="M1267" s="430">
        <f>Criteria!E22</f>
        <v>2024</v>
      </c>
      <c r="N1267" s="379"/>
      <c r="O1267" s="430">
        <f>Criteria!E27</f>
        <v>2023</v>
      </c>
      <c r="Q1267" s="389"/>
      <c r="R1267" s="416" t="str">
        <f t="shared" si="78"/>
        <v>DELETE</v>
      </c>
    </row>
    <row r="1268" spans="2:24" ht="31.5" customHeight="1" x14ac:dyDescent="0.45">
      <c r="B1268" s="461"/>
      <c r="C1268" s="369"/>
      <c r="M1268" s="434"/>
      <c r="N1268" s="390"/>
      <c r="O1268" s="434"/>
      <c r="Q1268" s="389"/>
      <c r="R1268" s="416" t="str">
        <f t="shared" si="78"/>
        <v>DELETE</v>
      </c>
    </row>
    <row r="1269" spans="2:24" ht="31.5" customHeight="1" x14ac:dyDescent="0.45">
      <c r="B1269" s="461">
        <f>MAX($B$431:B1268)+1</f>
        <v>17</v>
      </c>
      <c r="C1269" s="369" t="s">
        <v>179</v>
      </c>
      <c r="M1269" s="434"/>
      <c r="N1269" s="390"/>
      <c r="O1269" s="434"/>
      <c r="Q1269" s="389"/>
      <c r="R1269" s="416" t="str">
        <f t="shared" si="78"/>
        <v>DELETE</v>
      </c>
    </row>
    <row r="1270" spans="2:24" ht="31.5" customHeight="1" x14ac:dyDescent="0.45">
      <c r="B1270" s="461"/>
      <c r="C1270" s="369"/>
      <c r="D1270" s="368">
        <f>TrialBalance!C365</f>
        <v>0</v>
      </c>
      <c r="M1270" s="434">
        <f>IF(TrialBalance!L365&gt;0,TrialBalance!L365,0)</f>
        <v>0</v>
      </c>
      <c r="N1270" s="390"/>
      <c r="O1270" s="434">
        <f>IF(TrialBalance!N365&gt;0,TrialBalance!N365,0)</f>
        <v>0</v>
      </c>
      <c r="Q1270" s="389"/>
      <c r="R1270" s="416" t="str">
        <f>IF(M1270+O1270=0,"DELETE"," ")</f>
        <v>DELETE</v>
      </c>
    </row>
    <row r="1271" spans="2:24" ht="31.5" customHeight="1" x14ac:dyDescent="0.45">
      <c r="B1271" s="461"/>
      <c r="C1271" s="369"/>
      <c r="D1271" s="368">
        <f>TrialBalance!C366</f>
        <v>0</v>
      </c>
      <c r="M1271" s="434">
        <f>IF(TrialBalance!L366&gt;0,TrialBalance!L366,0)</f>
        <v>0</v>
      </c>
      <c r="N1271" s="390"/>
      <c r="O1271" s="434">
        <f>IF(TrialBalance!N366&gt;0,TrialBalance!N366,0)</f>
        <v>0</v>
      </c>
      <c r="Q1271" s="389"/>
      <c r="R1271" s="416" t="str">
        <f t="shared" ref="R1271:R1275" si="79">IF(M1271+O1271=0,"DELETE"," ")</f>
        <v>DELETE</v>
      </c>
    </row>
    <row r="1272" spans="2:24" ht="31.5" customHeight="1" x14ac:dyDescent="0.45">
      <c r="B1272" s="461"/>
      <c r="C1272" s="369"/>
      <c r="D1272" s="368">
        <f>TrialBalance!C367</f>
        <v>0</v>
      </c>
      <c r="M1272" s="434">
        <f>IF(TrialBalance!L367&gt;0,TrialBalance!L367,0)</f>
        <v>0</v>
      </c>
      <c r="N1272" s="390"/>
      <c r="O1272" s="434">
        <f>IF(TrialBalance!N367&gt;0,TrialBalance!N367,0)</f>
        <v>0</v>
      </c>
      <c r="Q1272" s="389"/>
      <c r="R1272" s="416" t="str">
        <f t="shared" si="79"/>
        <v>DELETE</v>
      </c>
    </row>
    <row r="1273" spans="2:24" ht="31.5" customHeight="1" x14ac:dyDescent="0.45">
      <c r="B1273" s="461"/>
      <c r="C1273" s="369"/>
      <c r="D1273" s="368">
        <f>TrialBalance!C368</f>
        <v>0</v>
      </c>
      <c r="M1273" s="434">
        <f>IF(TrialBalance!L368&gt;0,TrialBalance!L368,0)</f>
        <v>0</v>
      </c>
      <c r="N1273" s="390"/>
      <c r="O1273" s="434">
        <f>IF(TrialBalance!N368&gt;0,TrialBalance!N368,0)</f>
        <v>0</v>
      </c>
      <c r="Q1273" s="389"/>
      <c r="R1273" s="416" t="str">
        <f t="shared" si="79"/>
        <v>DELETE</v>
      </c>
    </row>
    <row r="1274" spans="2:24" ht="31.5" customHeight="1" x14ac:dyDescent="0.45">
      <c r="B1274" s="461"/>
      <c r="C1274" s="369"/>
      <c r="D1274" s="368">
        <f>TrialBalance!C369</f>
        <v>0</v>
      </c>
      <c r="M1274" s="434">
        <f>IF(TrialBalance!L369&gt;0,TrialBalance!L369,0)</f>
        <v>0</v>
      </c>
      <c r="N1274" s="390"/>
      <c r="O1274" s="434">
        <f>IF(TrialBalance!N369&gt;0,TrialBalance!N369,0)</f>
        <v>0</v>
      </c>
      <c r="Q1274" s="389"/>
      <c r="R1274" s="416" t="str">
        <f t="shared" si="79"/>
        <v>DELETE</v>
      </c>
    </row>
    <row r="1275" spans="2:24" ht="31.5" customHeight="1" x14ac:dyDescent="0.45">
      <c r="B1275" s="461"/>
      <c r="C1275" s="369"/>
      <c r="D1275" s="368">
        <f>TrialBalance!C370</f>
        <v>0</v>
      </c>
      <c r="M1275" s="434">
        <f>IF(TrialBalance!L370&gt;0,TrialBalance!L370,0)</f>
        <v>0</v>
      </c>
      <c r="N1275" s="390"/>
      <c r="O1275" s="434">
        <f>IF(TrialBalance!N370&gt;0,TrialBalance!N370,0)</f>
        <v>0</v>
      </c>
      <c r="Q1275" s="389"/>
      <c r="R1275" s="416" t="str">
        <f t="shared" si="79"/>
        <v>DELETE</v>
      </c>
    </row>
    <row r="1276" spans="2:24" ht="31.5" customHeight="1" x14ac:dyDescent="0.45">
      <c r="B1276" s="461"/>
      <c r="C1276" s="369"/>
      <c r="D1276" s="368" t="s">
        <v>431</v>
      </c>
      <c r="M1276" s="434">
        <f>TrialBalance!L371</f>
        <v>0</v>
      </c>
      <c r="N1276" s="390"/>
      <c r="O1276" s="434">
        <f>TrialBalance!N371</f>
        <v>0</v>
      </c>
      <c r="Q1276" s="389"/>
      <c r="R1276" s="416" t="str">
        <f>IF(M1276+O1276=0,"DELETE"," ")</f>
        <v>DELETE</v>
      </c>
    </row>
    <row r="1277" spans="2:24" ht="9" customHeight="1" x14ac:dyDescent="0.45">
      <c r="B1277" s="461"/>
      <c r="C1277" s="369"/>
      <c r="M1277" s="438"/>
      <c r="N1277" s="392"/>
      <c r="O1277" s="438"/>
      <c r="Q1277" s="389"/>
      <c r="R1277" s="416" t="str">
        <f t="shared" ref="R1277:R1285" si="80">R$1279</f>
        <v>DELETE</v>
      </c>
    </row>
    <row r="1278" spans="2:24" ht="9" customHeight="1" x14ac:dyDescent="0.45">
      <c r="B1278" s="461"/>
      <c r="C1278" s="369"/>
      <c r="M1278" s="434"/>
      <c r="N1278" s="390"/>
      <c r="O1278" s="434"/>
      <c r="Q1278" s="389"/>
      <c r="R1278" s="416" t="str">
        <f t="shared" si="80"/>
        <v>DELETE</v>
      </c>
    </row>
    <row r="1279" spans="2:24" ht="31.5" customHeight="1" x14ac:dyDescent="0.45">
      <c r="B1279" s="461"/>
      <c r="C1279" s="369"/>
      <c r="M1279" s="434">
        <f>SUM(M1270:M1278)</f>
        <v>0</v>
      </c>
      <c r="N1279" s="390"/>
      <c r="O1279" s="434">
        <f>SUM(O1270:O1278)</f>
        <v>0</v>
      </c>
      <c r="Q1279" s="389"/>
      <c r="R1279" s="416" t="str">
        <f>IF(M1279+O1279=0,"DELETE"," ")</f>
        <v>DELETE</v>
      </c>
      <c r="V1279" s="422"/>
      <c r="W1279" s="422"/>
      <c r="X1279" s="422"/>
    </row>
    <row r="1280" spans="2:24" ht="9" customHeight="1" thickBot="1" x14ac:dyDescent="0.5">
      <c r="B1280" s="461"/>
      <c r="C1280" s="369"/>
      <c r="M1280" s="439"/>
      <c r="N1280" s="393"/>
      <c r="O1280" s="439"/>
      <c r="Q1280" s="389"/>
      <c r="R1280" s="416" t="str">
        <f t="shared" si="80"/>
        <v>DELETE</v>
      </c>
    </row>
    <row r="1281" spans="2:18" ht="9" customHeight="1" thickTop="1" x14ac:dyDescent="0.45">
      <c r="B1281" s="461"/>
      <c r="C1281" s="369"/>
      <c r="M1281" s="441"/>
      <c r="N1281" s="400"/>
      <c r="O1281" s="441"/>
      <c r="Q1281" s="389"/>
      <c r="R1281" s="416" t="str">
        <f t="shared" si="80"/>
        <v>DELETE</v>
      </c>
    </row>
    <row r="1282" spans="2:18" ht="31.5" customHeight="1" x14ac:dyDescent="0.45">
      <c r="B1282" s="461"/>
      <c r="C1282" s="369"/>
      <c r="M1282" s="434"/>
      <c r="N1282" s="390"/>
      <c r="O1282" s="434"/>
      <c r="Q1282" s="389"/>
      <c r="R1282" s="416" t="str">
        <f t="shared" si="80"/>
        <v>DELETE</v>
      </c>
    </row>
    <row r="1283" spans="2:18" ht="31.5" customHeight="1" x14ac:dyDescent="0.45">
      <c r="B1283" s="461"/>
      <c r="C1283" s="369"/>
      <c r="M1283" s="434"/>
      <c r="N1283" s="390"/>
      <c r="O1283" s="434"/>
      <c r="Q1283" s="389"/>
      <c r="R1283" s="416" t="str">
        <f t="shared" si="80"/>
        <v>DELETE</v>
      </c>
    </row>
    <row r="1284" spans="2:18" ht="31.5" customHeight="1" x14ac:dyDescent="0.45">
      <c r="B1284" s="462"/>
      <c r="C1284" s="407"/>
      <c r="D1284" s="383"/>
      <c r="E1284" s="383"/>
      <c r="F1284" s="383"/>
      <c r="G1284" s="383"/>
      <c r="H1284" s="383"/>
      <c r="I1284" s="383"/>
      <c r="J1284" s="383"/>
      <c r="K1284" s="383"/>
      <c r="L1284" s="383"/>
      <c r="M1284" s="438"/>
      <c r="N1284" s="392"/>
      <c r="O1284" s="438"/>
      <c r="P1284" s="475"/>
      <c r="Q1284" s="398"/>
      <c r="R1284" s="416" t="str">
        <f t="shared" si="80"/>
        <v>DELETE</v>
      </c>
    </row>
    <row r="1285" spans="2:18" ht="31.5" customHeight="1" x14ac:dyDescent="0.45">
      <c r="B1285" s="445"/>
      <c r="C1285" s="369"/>
      <c r="M1285" s="434"/>
      <c r="N1285" s="390"/>
      <c r="O1285" s="434"/>
      <c r="R1285" s="416" t="str">
        <f t="shared" si="80"/>
        <v>DELETE</v>
      </c>
    </row>
    <row r="1286" spans="2:18" ht="31.5" customHeight="1" x14ac:dyDescent="0.45">
      <c r="B1286" s="445"/>
      <c r="C1286" s="369"/>
      <c r="M1286" s="434"/>
      <c r="N1286" s="390"/>
      <c r="O1286" s="434"/>
      <c r="R1286" s="416" t="str">
        <f>R$1296</f>
        <v>DELETE</v>
      </c>
    </row>
    <row r="1287" spans="2:18" ht="31.5" customHeight="1" x14ac:dyDescent="0.45">
      <c r="B1287" s="445"/>
      <c r="C1287" s="369"/>
      <c r="D1287" s="369" t="str">
        <f>Criteria!E9</f>
        <v>ABC TRUST</v>
      </c>
      <c r="M1287" s="479"/>
      <c r="N1287" s="469"/>
      <c r="O1287" s="434" t="s">
        <v>105</v>
      </c>
      <c r="Q1287" s="370">
        <f>MAX($Q$114:Q1286)+1</f>
        <v>26</v>
      </c>
      <c r="R1287" s="416" t="str">
        <f t="shared" ref="R1287:R1297" si="81">R$1296</f>
        <v>DELETE</v>
      </c>
    </row>
    <row r="1288" spans="2:18" ht="31.5" customHeight="1" x14ac:dyDescent="0.45">
      <c r="B1288" s="445"/>
      <c r="C1288" s="369"/>
      <c r="D1288" s="369" t="str">
        <f>Criteria!E10</f>
        <v>T/A RENTAL PROPERTIES, SEAFRONT RESTAURANT AND SURF SHOP</v>
      </c>
      <c r="M1288" s="479"/>
      <c r="N1288" s="469"/>
      <c r="O1288" s="479"/>
      <c r="R1288" s="416" t="str">
        <f>IF(R$1296="DELETE","DELETE",IF(D1288=0,"DELETE"," "))</f>
        <v>DELETE</v>
      </c>
    </row>
    <row r="1289" spans="2:18" ht="31.5" customHeight="1" x14ac:dyDescent="0.45">
      <c r="B1289" s="445"/>
      <c r="C1289" s="369"/>
      <c r="M1289" s="479"/>
      <c r="N1289" s="469"/>
      <c r="O1289" s="479"/>
      <c r="R1289" s="416" t="str">
        <f t="shared" si="81"/>
        <v>DELETE</v>
      </c>
    </row>
    <row r="1290" spans="2:18" ht="31.5" customHeight="1" x14ac:dyDescent="0.45">
      <c r="B1290" s="445"/>
      <c r="C1290" s="369"/>
      <c r="D1290" s="369" t="s">
        <v>383</v>
      </c>
      <c r="M1290" s="479"/>
      <c r="N1290" s="469"/>
      <c r="O1290" s="479"/>
      <c r="R1290" s="416" t="str">
        <f t="shared" si="81"/>
        <v>DELETE</v>
      </c>
    </row>
    <row r="1291" spans="2:18" ht="31.5" customHeight="1" x14ac:dyDescent="0.45">
      <c r="B1291" s="445"/>
      <c r="C1291" s="369"/>
      <c r="D1291" s="369" t="str">
        <f>Criteria!E20</f>
        <v>29 FEBRUARY 2024</v>
      </c>
      <c r="J1291" s="368" t="s">
        <v>253</v>
      </c>
      <c r="M1291" s="479"/>
      <c r="N1291" s="469"/>
      <c r="O1291" s="479"/>
      <c r="R1291" s="416" t="str">
        <f t="shared" si="81"/>
        <v>DELETE</v>
      </c>
    </row>
    <row r="1292" spans="2:18" ht="31.5" customHeight="1" x14ac:dyDescent="0.45">
      <c r="B1292" s="445"/>
      <c r="C1292" s="369"/>
      <c r="M1292" s="434"/>
      <c r="N1292" s="390"/>
      <c r="O1292" s="434"/>
      <c r="R1292" s="416" t="str">
        <f t="shared" si="81"/>
        <v>DELETE</v>
      </c>
    </row>
    <row r="1293" spans="2:18" ht="31.5" customHeight="1" x14ac:dyDescent="0.45">
      <c r="B1293" s="465"/>
      <c r="C1293" s="410"/>
      <c r="D1293" s="386"/>
      <c r="E1293" s="386"/>
      <c r="F1293" s="386"/>
      <c r="G1293" s="386"/>
      <c r="H1293" s="386"/>
      <c r="I1293" s="386"/>
      <c r="J1293" s="386"/>
      <c r="K1293" s="386"/>
      <c r="L1293" s="386"/>
      <c r="M1293" s="446"/>
      <c r="N1293" s="391"/>
      <c r="O1293" s="446"/>
      <c r="P1293" s="481"/>
      <c r="Q1293" s="387"/>
      <c r="R1293" s="416" t="str">
        <f t="shared" si="81"/>
        <v>DELETE</v>
      </c>
    </row>
    <row r="1294" spans="2:18" ht="31.5" customHeight="1" x14ac:dyDescent="0.45">
      <c r="B1294" s="461"/>
      <c r="C1294" s="369"/>
      <c r="M1294" s="430">
        <f>Criteria!E22</f>
        <v>2024</v>
      </c>
      <c r="N1294" s="379"/>
      <c r="O1294" s="430">
        <f>Criteria!E27</f>
        <v>2023</v>
      </c>
      <c r="P1294" s="478"/>
      <c r="Q1294" s="389"/>
      <c r="R1294" s="416" t="str">
        <f t="shared" si="81"/>
        <v>DELETE</v>
      </c>
    </row>
    <row r="1295" spans="2:18" ht="31.5" customHeight="1" x14ac:dyDescent="0.45">
      <c r="B1295" s="461"/>
      <c r="C1295" s="369"/>
      <c r="M1295" s="441"/>
      <c r="N1295" s="400"/>
      <c r="O1295" s="441"/>
      <c r="P1295" s="478"/>
      <c r="Q1295" s="389"/>
      <c r="R1295" s="416" t="str">
        <f t="shared" si="81"/>
        <v>DELETE</v>
      </c>
    </row>
    <row r="1296" spans="2:18" ht="31.5" customHeight="1" x14ac:dyDescent="0.45">
      <c r="B1296" s="461">
        <f>MAX($B$431:B1295)+1</f>
        <v>18</v>
      </c>
      <c r="C1296" s="369" t="s">
        <v>1061</v>
      </c>
      <c r="M1296" s="441"/>
      <c r="N1296" s="400"/>
      <c r="O1296" s="441"/>
      <c r="P1296" s="478"/>
      <c r="Q1296" s="389"/>
      <c r="R1296" s="416" t="str">
        <f>IF(O1297+O1298-O1299+M1297+M1298-M1299=0,"DELETE"," ")</f>
        <v>DELETE</v>
      </c>
    </row>
    <row r="1297" spans="2:22" ht="31.5" customHeight="1" x14ac:dyDescent="0.45">
      <c r="B1297" s="461"/>
      <c r="C1297" s="369"/>
      <c r="D1297" s="368" t="s">
        <v>1070</v>
      </c>
      <c r="M1297" s="441">
        <f>-TrialBalance!L187</f>
        <v>0</v>
      </c>
      <c r="N1297" s="400"/>
      <c r="O1297" s="441">
        <f>-TrialBalance!N187</f>
        <v>0</v>
      </c>
      <c r="P1297" s="478"/>
      <c r="Q1297" s="389"/>
      <c r="R1297" s="416" t="str">
        <f t="shared" si="81"/>
        <v>DELETE</v>
      </c>
      <c r="V1297" s="417" t="b">
        <f>M1297=O1302</f>
        <v>1</v>
      </c>
    </row>
    <row r="1298" spans="2:22" ht="31.5" customHeight="1" x14ac:dyDescent="0.45">
      <c r="B1298" s="461"/>
      <c r="C1298" s="369"/>
      <c r="D1298" s="368" t="s">
        <v>1071</v>
      </c>
      <c r="M1298" s="441">
        <f>-TrialBalance!L188</f>
        <v>0</v>
      </c>
      <c r="N1298" s="400"/>
      <c r="O1298" s="441">
        <f>-TrialBalance!N188</f>
        <v>0</v>
      </c>
      <c r="P1298" s="478"/>
      <c r="Q1298" s="389"/>
      <c r="R1298" s="416" t="str">
        <f>IF(M1298+O1298=0,"DELETE"," ")</f>
        <v>DELETE</v>
      </c>
    </row>
    <row r="1299" spans="2:22" ht="31.5" customHeight="1" x14ac:dyDescent="0.45">
      <c r="B1299" s="461"/>
      <c r="C1299" s="369"/>
      <c r="D1299" s="368" t="s">
        <v>1072</v>
      </c>
      <c r="M1299" s="441">
        <f>-TrialBalance!L189</f>
        <v>0</v>
      </c>
      <c r="N1299" s="400"/>
      <c r="O1299" s="441">
        <f>-TrialBalance!N189</f>
        <v>0</v>
      </c>
      <c r="P1299" s="478"/>
      <c r="Q1299" s="389"/>
      <c r="R1299" s="416" t="str">
        <f>IF(M1299+O1299=0,"DELETE"," ")</f>
        <v>DELETE</v>
      </c>
    </row>
    <row r="1300" spans="2:22" ht="9" customHeight="1" x14ac:dyDescent="0.45">
      <c r="B1300" s="461"/>
      <c r="C1300" s="369"/>
      <c r="M1300" s="438"/>
      <c r="N1300" s="392"/>
      <c r="O1300" s="438"/>
      <c r="P1300" s="478"/>
      <c r="Q1300" s="389"/>
      <c r="R1300" s="416" t="str">
        <f t="shared" ref="R1300:R1308" si="82">R$1296</f>
        <v>DELETE</v>
      </c>
    </row>
    <row r="1301" spans="2:22" ht="9" customHeight="1" x14ac:dyDescent="0.45">
      <c r="B1301" s="461"/>
      <c r="C1301" s="369"/>
      <c r="M1301" s="441"/>
      <c r="N1301" s="400"/>
      <c r="O1301" s="441"/>
      <c r="P1301" s="478"/>
      <c r="Q1301" s="389"/>
      <c r="R1301" s="416" t="str">
        <f t="shared" si="82"/>
        <v>DELETE</v>
      </c>
    </row>
    <row r="1302" spans="2:22" ht="31.5" customHeight="1" x14ac:dyDescent="0.45">
      <c r="B1302" s="461"/>
      <c r="C1302" s="369"/>
      <c r="D1302" s="368" t="s">
        <v>1073</v>
      </c>
      <c r="M1302" s="441">
        <f>SUM(M1297:M1301)</f>
        <v>0</v>
      </c>
      <c r="N1302" s="400"/>
      <c r="O1302" s="441">
        <f>SUM(O1297:O1301)</f>
        <v>0</v>
      </c>
      <c r="P1302" s="478"/>
      <c r="Q1302" s="389"/>
      <c r="R1302" s="416" t="str">
        <f t="shared" si="82"/>
        <v>DELETE</v>
      </c>
    </row>
    <row r="1303" spans="2:22" ht="9" customHeight="1" thickBot="1" x14ac:dyDescent="0.5">
      <c r="B1303" s="461"/>
      <c r="C1303" s="369"/>
      <c r="M1303" s="439"/>
      <c r="N1303" s="393"/>
      <c r="O1303" s="439"/>
      <c r="P1303" s="478"/>
      <c r="Q1303" s="389"/>
      <c r="R1303" s="416" t="str">
        <f t="shared" si="82"/>
        <v>DELETE</v>
      </c>
    </row>
    <row r="1304" spans="2:22" ht="9" customHeight="1" thickTop="1" x14ac:dyDescent="0.45">
      <c r="B1304" s="461"/>
      <c r="C1304" s="369"/>
      <c r="M1304" s="441"/>
      <c r="N1304" s="400"/>
      <c r="O1304" s="441"/>
      <c r="P1304" s="478"/>
      <c r="Q1304" s="389"/>
      <c r="R1304" s="416" t="str">
        <f t="shared" si="82"/>
        <v>DELETE</v>
      </c>
    </row>
    <row r="1305" spans="2:22" ht="31.5" customHeight="1" x14ac:dyDescent="0.45">
      <c r="B1305" s="461"/>
      <c r="C1305" s="369"/>
      <c r="M1305" s="441"/>
      <c r="N1305" s="400"/>
      <c r="O1305" s="441"/>
      <c r="P1305" s="478"/>
      <c r="Q1305" s="389"/>
      <c r="R1305" s="416" t="str">
        <f t="shared" si="82"/>
        <v>DELETE</v>
      </c>
    </row>
    <row r="1306" spans="2:22" ht="31.5" customHeight="1" x14ac:dyDescent="0.45">
      <c r="B1306" s="461"/>
      <c r="C1306" s="369"/>
      <c r="M1306" s="441"/>
      <c r="N1306" s="400"/>
      <c r="O1306" s="441"/>
      <c r="P1306" s="478"/>
      <c r="Q1306" s="389"/>
      <c r="R1306" s="416" t="str">
        <f t="shared" si="82"/>
        <v>DELETE</v>
      </c>
    </row>
    <row r="1307" spans="2:22" ht="31.5" customHeight="1" x14ac:dyDescent="0.45">
      <c r="B1307" s="462"/>
      <c r="C1307" s="407"/>
      <c r="D1307" s="383"/>
      <c r="E1307" s="383"/>
      <c r="F1307" s="383"/>
      <c r="G1307" s="383"/>
      <c r="H1307" s="383"/>
      <c r="I1307" s="383"/>
      <c r="J1307" s="383"/>
      <c r="K1307" s="383"/>
      <c r="L1307" s="383"/>
      <c r="M1307" s="438"/>
      <c r="N1307" s="392"/>
      <c r="O1307" s="438"/>
      <c r="P1307" s="475"/>
      <c r="Q1307" s="398"/>
      <c r="R1307" s="416" t="str">
        <f t="shared" si="82"/>
        <v>DELETE</v>
      </c>
    </row>
    <row r="1308" spans="2:22" ht="31.5" customHeight="1" x14ac:dyDescent="0.45">
      <c r="B1308" s="445"/>
      <c r="C1308" s="369"/>
      <c r="M1308" s="434"/>
      <c r="N1308" s="390"/>
      <c r="O1308" s="434"/>
      <c r="R1308" s="416" t="str">
        <f t="shared" si="82"/>
        <v>DELETE</v>
      </c>
    </row>
    <row r="1309" spans="2:22" ht="31.5" customHeight="1" x14ac:dyDescent="0.45">
      <c r="B1309" s="431"/>
      <c r="M1309" s="479"/>
      <c r="N1309" s="469"/>
      <c r="O1309" s="479"/>
      <c r="R1309" s="416" t="str">
        <f>R$1341</f>
        <v>DELETE</v>
      </c>
    </row>
    <row r="1310" spans="2:22" ht="31.5" customHeight="1" x14ac:dyDescent="0.45">
      <c r="B1310" s="431"/>
      <c r="D1310" s="369" t="str">
        <f>Criteria!E9</f>
        <v>ABC TRUST</v>
      </c>
      <c r="M1310" s="479"/>
      <c r="N1310" s="469"/>
      <c r="O1310" s="434" t="s">
        <v>105</v>
      </c>
      <c r="Q1310" s="370">
        <f>MAX($Q$114:Q1309)+1</f>
        <v>27</v>
      </c>
      <c r="R1310" s="416" t="str">
        <f>R$1341</f>
        <v>DELETE</v>
      </c>
    </row>
    <row r="1311" spans="2:22" ht="31.5" customHeight="1" x14ac:dyDescent="0.45">
      <c r="B1311" s="431"/>
      <c r="D1311" s="369" t="str">
        <f>Criteria!E10</f>
        <v>T/A RENTAL PROPERTIES, SEAFRONT RESTAURANT AND SURF SHOP</v>
      </c>
      <c r="M1311" s="479"/>
      <c r="N1311" s="469"/>
      <c r="O1311" s="479"/>
      <c r="R1311" s="416" t="str">
        <f>IF(R$1341="DELETE","DELETE",IF(D1311=0,"DELETE"," "))</f>
        <v>DELETE</v>
      </c>
    </row>
    <row r="1312" spans="2:22" ht="31.5" customHeight="1" x14ac:dyDescent="0.45">
      <c r="B1312" s="431"/>
      <c r="M1312" s="479"/>
      <c r="N1312" s="469"/>
      <c r="O1312" s="479"/>
      <c r="R1312" s="416" t="str">
        <f t="shared" ref="R1312:R1319" si="83">R$1341</f>
        <v>DELETE</v>
      </c>
    </row>
    <row r="1313" spans="2:21" ht="31.5" customHeight="1" x14ac:dyDescent="0.45">
      <c r="B1313" s="431"/>
      <c r="D1313" s="369" t="s">
        <v>383</v>
      </c>
      <c r="M1313" s="479"/>
      <c r="N1313" s="469"/>
      <c r="O1313" s="479"/>
      <c r="R1313" s="416" t="str">
        <f t="shared" si="83"/>
        <v>DELETE</v>
      </c>
    </row>
    <row r="1314" spans="2:21" ht="31.5" customHeight="1" x14ac:dyDescent="0.45">
      <c r="B1314" s="431"/>
      <c r="D1314" s="369" t="str">
        <f>Criteria!E20</f>
        <v>29 FEBRUARY 2024</v>
      </c>
      <c r="J1314" s="368" t="s">
        <v>253</v>
      </c>
      <c r="M1314" s="479"/>
      <c r="N1314" s="469"/>
      <c r="O1314" s="479"/>
      <c r="R1314" s="416" t="str">
        <f t="shared" si="83"/>
        <v>DELETE</v>
      </c>
    </row>
    <row r="1315" spans="2:21" ht="31.5" customHeight="1" x14ac:dyDescent="0.45">
      <c r="B1315" s="431"/>
      <c r="M1315" s="482"/>
      <c r="N1315" s="483"/>
      <c r="O1315" s="482"/>
      <c r="R1315" s="416" t="str">
        <f t="shared" si="83"/>
        <v>DELETE</v>
      </c>
    </row>
    <row r="1316" spans="2:21" ht="31.5" customHeight="1" x14ac:dyDescent="0.45">
      <c r="B1316" s="463"/>
      <c r="C1316" s="386"/>
      <c r="D1316" s="386"/>
      <c r="E1316" s="386"/>
      <c r="F1316" s="386"/>
      <c r="G1316" s="386"/>
      <c r="H1316" s="386"/>
      <c r="I1316" s="386"/>
      <c r="J1316" s="386"/>
      <c r="K1316" s="386"/>
      <c r="L1316" s="386"/>
      <c r="M1316" s="484"/>
      <c r="N1316" s="485"/>
      <c r="O1316" s="484"/>
      <c r="P1316" s="481"/>
      <c r="Q1316" s="387"/>
      <c r="R1316" s="416" t="str">
        <f t="shared" si="83"/>
        <v>DELETE</v>
      </c>
    </row>
    <row r="1317" spans="2:21" ht="31.5" customHeight="1" x14ac:dyDescent="0.45">
      <c r="B1317" s="464"/>
      <c r="M1317" s="430">
        <f>Criteria!E22</f>
        <v>2024</v>
      </c>
      <c r="N1317" s="379"/>
      <c r="O1317" s="430">
        <f>Criteria!E27</f>
        <v>2023</v>
      </c>
      <c r="Q1317" s="389"/>
      <c r="R1317" s="416" t="str">
        <f t="shared" si="83"/>
        <v>DELETE</v>
      </c>
    </row>
    <row r="1318" spans="2:21" ht="31.5" customHeight="1" x14ac:dyDescent="0.45">
      <c r="B1318" s="461"/>
      <c r="C1318" s="369"/>
      <c r="M1318" s="434"/>
      <c r="N1318" s="390"/>
      <c r="O1318" s="434"/>
      <c r="Q1318" s="389"/>
      <c r="R1318" s="416" t="str">
        <f t="shared" si="83"/>
        <v>DELETE</v>
      </c>
    </row>
    <row r="1319" spans="2:21" ht="31.5" customHeight="1" x14ac:dyDescent="0.45">
      <c r="B1319" s="461">
        <f>MAX($B$431:B1318)+1</f>
        <v>19</v>
      </c>
      <c r="C1319" s="369" t="str">
        <f>IF(COUNTIF(TrialBalance!N192:N206,"&lt;0")&gt;1,"INTEREST BEARING BORROWINGS",IF(COUNTIF(TrialBalance!L192:L206,"&lt;0")&gt;1,"INTEREST BEARING BORROWINGS","INTEREST BEARING BORROWING"))</f>
        <v>INTEREST BEARING BORROWING</v>
      </c>
      <c r="M1319" s="434"/>
      <c r="N1319" s="390"/>
      <c r="O1319" s="434"/>
      <c r="Q1319" s="389"/>
      <c r="R1319" s="416" t="str">
        <f t="shared" si="83"/>
        <v>DELETE</v>
      </c>
      <c r="S1319" s="421">
        <f>SUM(M1320:M1335)</f>
        <v>0</v>
      </c>
      <c r="T1319" s="421"/>
      <c r="U1319" s="421">
        <f>SUM(O1320:O1335)</f>
        <v>0</v>
      </c>
    </row>
    <row r="1320" spans="2:21" ht="31.5" customHeight="1" x14ac:dyDescent="0.45">
      <c r="B1320" s="461"/>
      <c r="C1320" s="369"/>
      <c r="D1320" s="368">
        <f>TrialBalance!C192</f>
        <v>0</v>
      </c>
      <c r="M1320" s="434">
        <f>-TrialBalance!L192</f>
        <v>0</v>
      </c>
      <c r="N1320" s="390"/>
      <c r="O1320" s="434">
        <f>-TrialBalance!N192</f>
        <v>0</v>
      </c>
      <c r="Q1320" s="389"/>
      <c r="R1320" s="416" t="str">
        <f>IF(M1320+O1320=0,"DELETE"," ")</f>
        <v>DELETE</v>
      </c>
    </row>
    <row r="1321" spans="2:21" ht="31.5" customHeight="1" x14ac:dyDescent="0.45">
      <c r="B1321" s="461"/>
      <c r="C1321" s="369"/>
      <c r="D1321" s="368">
        <f>TrialBalance!C193</f>
        <v>0</v>
      </c>
      <c r="M1321" s="434">
        <f>-TrialBalance!L193</f>
        <v>0</v>
      </c>
      <c r="N1321" s="390"/>
      <c r="O1321" s="434">
        <f>-TrialBalance!N193</f>
        <v>0</v>
      </c>
      <c r="Q1321" s="389"/>
      <c r="R1321" s="416" t="str">
        <f t="shared" ref="R1321:R1334" si="84">IF(M1321+O1321=0,"DELETE"," ")</f>
        <v>DELETE</v>
      </c>
    </row>
    <row r="1322" spans="2:21" ht="31.5" customHeight="1" x14ac:dyDescent="0.45">
      <c r="B1322" s="461"/>
      <c r="C1322" s="369"/>
      <c r="D1322" s="368">
        <f>TrialBalance!C194</f>
        <v>0</v>
      </c>
      <c r="M1322" s="434">
        <f>-TrialBalance!L194</f>
        <v>0</v>
      </c>
      <c r="N1322" s="390"/>
      <c r="O1322" s="434">
        <f>-TrialBalance!N194</f>
        <v>0</v>
      </c>
      <c r="Q1322" s="389"/>
      <c r="R1322" s="416" t="str">
        <f t="shared" si="84"/>
        <v>DELETE</v>
      </c>
    </row>
    <row r="1323" spans="2:21" ht="31.5" customHeight="1" x14ac:dyDescent="0.45">
      <c r="B1323" s="461"/>
      <c r="C1323" s="369"/>
      <c r="D1323" s="368">
        <f>TrialBalance!C195</f>
        <v>0</v>
      </c>
      <c r="M1323" s="434">
        <f>-TrialBalance!L195</f>
        <v>0</v>
      </c>
      <c r="N1323" s="390"/>
      <c r="O1323" s="434">
        <f>-TrialBalance!N195</f>
        <v>0</v>
      </c>
      <c r="Q1323" s="389"/>
      <c r="R1323" s="416" t="str">
        <f t="shared" si="84"/>
        <v>DELETE</v>
      </c>
    </row>
    <row r="1324" spans="2:21" ht="31.5" customHeight="1" x14ac:dyDescent="0.45">
      <c r="B1324" s="461"/>
      <c r="C1324" s="369"/>
      <c r="D1324" s="368">
        <f>TrialBalance!C196</f>
        <v>0</v>
      </c>
      <c r="M1324" s="434">
        <f>-TrialBalance!L196</f>
        <v>0</v>
      </c>
      <c r="N1324" s="390"/>
      <c r="O1324" s="434">
        <f>-TrialBalance!N196</f>
        <v>0</v>
      </c>
      <c r="Q1324" s="389"/>
      <c r="R1324" s="416" t="str">
        <f t="shared" si="84"/>
        <v>DELETE</v>
      </c>
    </row>
    <row r="1325" spans="2:21" ht="31.5" customHeight="1" x14ac:dyDescent="0.45">
      <c r="B1325" s="461"/>
      <c r="C1325" s="369"/>
      <c r="D1325" s="368">
        <f>TrialBalance!C197</f>
        <v>0</v>
      </c>
      <c r="M1325" s="434">
        <f>-TrialBalance!L197</f>
        <v>0</v>
      </c>
      <c r="N1325" s="390"/>
      <c r="O1325" s="434">
        <f>-TrialBalance!N197</f>
        <v>0</v>
      </c>
      <c r="Q1325" s="389"/>
      <c r="R1325" s="416" t="str">
        <f t="shared" si="84"/>
        <v>DELETE</v>
      </c>
    </row>
    <row r="1326" spans="2:21" ht="31.5" customHeight="1" x14ac:dyDescent="0.45">
      <c r="B1326" s="461"/>
      <c r="C1326" s="369"/>
      <c r="D1326" s="368">
        <f>TrialBalance!C198</f>
        <v>0</v>
      </c>
      <c r="M1326" s="434">
        <f>-TrialBalance!L198</f>
        <v>0</v>
      </c>
      <c r="N1326" s="390"/>
      <c r="O1326" s="434">
        <f>-TrialBalance!N198</f>
        <v>0</v>
      </c>
      <c r="Q1326" s="389"/>
      <c r="R1326" s="416" t="str">
        <f t="shared" si="84"/>
        <v>DELETE</v>
      </c>
    </row>
    <row r="1327" spans="2:21" ht="31.5" customHeight="1" x14ac:dyDescent="0.45">
      <c r="B1327" s="461"/>
      <c r="C1327" s="369"/>
      <c r="D1327" s="368">
        <f>TrialBalance!C199</f>
        <v>0</v>
      </c>
      <c r="M1327" s="434">
        <f>-TrialBalance!L199</f>
        <v>0</v>
      </c>
      <c r="N1327" s="390"/>
      <c r="O1327" s="434">
        <f>-TrialBalance!N199</f>
        <v>0</v>
      </c>
      <c r="Q1327" s="389"/>
      <c r="R1327" s="416" t="str">
        <f t="shared" si="84"/>
        <v>DELETE</v>
      </c>
    </row>
    <row r="1328" spans="2:21" ht="31.5" customHeight="1" x14ac:dyDescent="0.45">
      <c r="B1328" s="461"/>
      <c r="C1328" s="369"/>
      <c r="D1328" s="368">
        <f>TrialBalance!C200</f>
        <v>0</v>
      </c>
      <c r="M1328" s="434">
        <f>-TrialBalance!L200</f>
        <v>0</v>
      </c>
      <c r="N1328" s="390"/>
      <c r="O1328" s="434">
        <f>-TrialBalance!N200</f>
        <v>0</v>
      </c>
      <c r="Q1328" s="389"/>
      <c r="R1328" s="416" t="str">
        <f t="shared" si="84"/>
        <v>DELETE</v>
      </c>
    </row>
    <row r="1329" spans="2:24" ht="31.5" customHeight="1" x14ac:dyDescent="0.45">
      <c r="B1329" s="461"/>
      <c r="C1329" s="369"/>
      <c r="D1329" s="368">
        <f>TrialBalance!C201</f>
        <v>0</v>
      </c>
      <c r="M1329" s="434">
        <f>-TrialBalance!L201</f>
        <v>0</v>
      </c>
      <c r="N1329" s="390"/>
      <c r="O1329" s="434">
        <f>-TrialBalance!N201</f>
        <v>0</v>
      </c>
      <c r="Q1329" s="389"/>
      <c r="R1329" s="416" t="str">
        <f t="shared" si="84"/>
        <v>DELETE</v>
      </c>
    </row>
    <row r="1330" spans="2:24" ht="31.5" customHeight="1" x14ac:dyDescent="0.45">
      <c r="B1330" s="461"/>
      <c r="C1330" s="369"/>
      <c r="D1330" s="368">
        <f>TrialBalance!C202</f>
        <v>0</v>
      </c>
      <c r="M1330" s="434">
        <f>-TrialBalance!L202</f>
        <v>0</v>
      </c>
      <c r="N1330" s="390"/>
      <c r="O1330" s="434">
        <f>-TrialBalance!N202</f>
        <v>0</v>
      </c>
      <c r="Q1330" s="389"/>
      <c r="R1330" s="416" t="str">
        <f t="shared" si="84"/>
        <v>DELETE</v>
      </c>
    </row>
    <row r="1331" spans="2:24" ht="31.5" customHeight="1" x14ac:dyDescent="0.45">
      <c r="B1331" s="461"/>
      <c r="C1331" s="369"/>
      <c r="D1331" s="368">
        <f>TrialBalance!C203</f>
        <v>0</v>
      </c>
      <c r="M1331" s="434">
        <f>-TrialBalance!L203</f>
        <v>0</v>
      </c>
      <c r="N1331" s="390"/>
      <c r="O1331" s="434">
        <f>-TrialBalance!N203</f>
        <v>0</v>
      </c>
      <c r="Q1331" s="389"/>
      <c r="R1331" s="416" t="str">
        <f t="shared" ref="R1331:R1332" si="85">IF(M1331+O1331=0,"DELETE"," ")</f>
        <v>DELETE</v>
      </c>
    </row>
    <row r="1332" spans="2:24" ht="31.5" customHeight="1" x14ac:dyDescent="0.45">
      <c r="B1332" s="461"/>
      <c r="C1332" s="369"/>
      <c r="D1332" s="368">
        <f>TrialBalance!C204</f>
        <v>0</v>
      </c>
      <c r="M1332" s="434">
        <f>-TrialBalance!L204</f>
        <v>0</v>
      </c>
      <c r="N1332" s="390"/>
      <c r="O1332" s="434">
        <f>-TrialBalance!N204</f>
        <v>0</v>
      </c>
      <c r="Q1332" s="389"/>
      <c r="R1332" s="416" t="str">
        <f t="shared" si="85"/>
        <v>DELETE</v>
      </c>
    </row>
    <row r="1333" spans="2:24" ht="31.5" customHeight="1" x14ac:dyDescent="0.45">
      <c r="B1333" s="461"/>
      <c r="C1333" s="369"/>
      <c r="D1333" s="368">
        <f>TrialBalance!C205</f>
        <v>0</v>
      </c>
      <c r="M1333" s="434">
        <f>-TrialBalance!L205</f>
        <v>0</v>
      </c>
      <c r="N1333" s="390"/>
      <c r="O1333" s="434">
        <f>-TrialBalance!N205</f>
        <v>0</v>
      </c>
      <c r="Q1333" s="389"/>
      <c r="R1333" s="416" t="str">
        <f t="shared" si="84"/>
        <v>DELETE</v>
      </c>
    </row>
    <row r="1334" spans="2:24" ht="31.5" customHeight="1" x14ac:dyDescent="0.45">
      <c r="B1334" s="461"/>
      <c r="C1334" s="369"/>
      <c r="D1334" s="368">
        <f>TrialBalance!C206</f>
        <v>0</v>
      </c>
      <c r="M1334" s="434">
        <f>-TrialBalance!L206</f>
        <v>0</v>
      </c>
      <c r="N1334" s="390"/>
      <c r="O1334" s="434">
        <f>-TrialBalance!N206</f>
        <v>0</v>
      </c>
      <c r="Q1334" s="389"/>
      <c r="R1334" s="416" t="str">
        <f t="shared" si="84"/>
        <v>DELETE</v>
      </c>
    </row>
    <row r="1335" spans="2:24" ht="9" customHeight="1" x14ac:dyDescent="0.45">
      <c r="B1335" s="461"/>
      <c r="C1335" s="369"/>
      <c r="M1335" s="438"/>
      <c r="N1335" s="392"/>
      <c r="O1335" s="438"/>
      <c r="Q1335" s="389"/>
      <c r="R1335" s="416" t="str">
        <f>R1338</f>
        <v>DELETE</v>
      </c>
    </row>
    <row r="1336" spans="2:24" ht="9" customHeight="1" x14ac:dyDescent="0.45">
      <c r="B1336" s="461"/>
      <c r="C1336" s="369"/>
      <c r="M1336" s="434"/>
      <c r="N1336" s="390"/>
      <c r="O1336" s="434"/>
      <c r="Q1336" s="389"/>
      <c r="R1336" s="416" t="str">
        <f>R1338</f>
        <v>DELETE</v>
      </c>
    </row>
    <row r="1337" spans="2:24" ht="31.5" customHeight="1" x14ac:dyDescent="0.45">
      <c r="B1337" s="461"/>
      <c r="C1337" s="369"/>
      <c r="M1337" s="434">
        <f>SUM(M1320:M1335)</f>
        <v>0</v>
      </c>
      <c r="N1337" s="390"/>
      <c r="O1337" s="434">
        <f>SUM(O1320:O1335)</f>
        <v>0</v>
      </c>
      <c r="Q1337" s="389"/>
      <c r="R1337" s="416" t="str">
        <f>R1338</f>
        <v>DELETE</v>
      </c>
      <c r="S1337" s="422"/>
      <c r="T1337" s="422"/>
      <c r="U1337" s="422"/>
      <c r="V1337" s="422"/>
      <c r="W1337" s="422"/>
      <c r="X1337" s="422"/>
    </row>
    <row r="1338" spans="2:24" ht="31.5" customHeight="1" x14ac:dyDescent="0.45">
      <c r="B1338" s="461"/>
      <c r="C1338" s="369"/>
      <c r="D1338" s="488" t="s">
        <v>745</v>
      </c>
      <c r="M1338" s="434">
        <f>TrialBalance!L207</f>
        <v>0</v>
      </c>
      <c r="N1338" s="390"/>
      <c r="O1338" s="434">
        <f>TrialBalance!N207</f>
        <v>0</v>
      </c>
      <c r="Q1338" s="389"/>
      <c r="R1338" s="416" t="str">
        <f t="shared" ref="R1338" si="86">IF(M1338+O1338=0,"DELETE"," ")</f>
        <v>DELETE</v>
      </c>
      <c r="S1338" s="422">
        <f>-M1338</f>
        <v>0</v>
      </c>
      <c r="T1338" s="422"/>
      <c r="U1338" s="422">
        <f>-O1338</f>
        <v>0</v>
      </c>
      <c r="V1338" s="422"/>
      <c r="W1338" s="422"/>
      <c r="X1338" s="422"/>
    </row>
    <row r="1339" spans="2:24" ht="9" customHeight="1" x14ac:dyDescent="0.45">
      <c r="B1339" s="461"/>
      <c r="C1339" s="369"/>
      <c r="M1339" s="438"/>
      <c r="N1339" s="392"/>
      <c r="O1339" s="438"/>
      <c r="Q1339" s="389"/>
      <c r="R1339" s="416" t="str">
        <f>R$1341</f>
        <v>DELETE</v>
      </c>
    </row>
    <row r="1340" spans="2:24" ht="9" customHeight="1" x14ac:dyDescent="0.45">
      <c r="B1340" s="461"/>
      <c r="C1340" s="369"/>
      <c r="M1340" s="434"/>
      <c r="N1340" s="390"/>
      <c r="O1340" s="434"/>
      <c r="Q1340" s="389"/>
      <c r="R1340" s="416" t="str">
        <f>R$1341</f>
        <v>DELETE</v>
      </c>
    </row>
    <row r="1341" spans="2:24" ht="31.5" customHeight="1" x14ac:dyDescent="0.45">
      <c r="B1341" s="461"/>
      <c r="C1341" s="369"/>
      <c r="M1341" s="434">
        <f>SUM(S1319:S1339)</f>
        <v>0</v>
      </c>
      <c r="N1341" s="390"/>
      <c r="O1341" s="434">
        <f>SUM(U1319:U1339)</f>
        <v>0</v>
      </c>
      <c r="Q1341" s="389"/>
      <c r="R1341" s="416" t="str">
        <f>IF(SUM(M1320:M1334)+SUM(O1320:O1334)&gt;0," ","DELETE")</f>
        <v>DELETE</v>
      </c>
    </row>
    <row r="1342" spans="2:24" ht="9" customHeight="1" thickBot="1" x14ac:dyDescent="0.5">
      <c r="B1342" s="461"/>
      <c r="C1342" s="369"/>
      <c r="M1342" s="439"/>
      <c r="N1342" s="393"/>
      <c r="O1342" s="439"/>
      <c r="Q1342" s="389"/>
      <c r="R1342" s="416" t="str">
        <f t="shared" ref="R1342:R1347" si="87">R$1341</f>
        <v>DELETE</v>
      </c>
    </row>
    <row r="1343" spans="2:24" ht="9" customHeight="1" thickTop="1" x14ac:dyDescent="0.45">
      <c r="B1343" s="461"/>
      <c r="C1343" s="369"/>
      <c r="M1343" s="441"/>
      <c r="N1343" s="400"/>
      <c r="O1343" s="441"/>
      <c r="Q1343" s="389"/>
      <c r="R1343" s="416" t="str">
        <f t="shared" si="87"/>
        <v>DELETE</v>
      </c>
    </row>
    <row r="1344" spans="2:24" ht="31.5" customHeight="1" x14ac:dyDescent="0.45">
      <c r="B1344" s="461"/>
      <c r="C1344" s="369"/>
      <c r="M1344" s="434"/>
      <c r="N1344" s="390"/>
      <c r="O1344" s="434"/>
      <c r="Q1344" s="389"/>
      <c r="R1344" s="416" t="str">
        <f t="shared" si="87"/>
        <v>DELETE</v>
      </c>
    </row>
    <row r="1345" spans="2:18" ht="31.5" customHeight="1" x14ac:dyDescent="0.45">
      <c r="B1345" s="461"/>
      <c r="C1345" s="369"/>
      <c r="M1345" s="434"/>
      <c r="N1345" s="390"/>
      <c r="O1345" s="434"/>
      <c r="Q1345" s="389"/>
      <c r="R1345" s="416" t="str">
        <f t="shared" si="87"/>
        <v>DELETE</v>
      </c>
    </row>
    <row r="1346" spans="2:18" ht="31.5" customHeight="1" x14ac:dyDescent="0.45">
      <c r="B1346" s="462"/>
      <c r="C1346" s="407"/>
      <c r="D1346" s="383"/>
      <c r="E1346" s="383"/>
      <c r="F1346" s="383"/>
      <c r="G1346" s="383"/>
      <c r="H1346" s="383"/>
      <c r="I1346" s="383"/>
      <c r="J1346" s="383"/>
      <c r="K1346" s="383"/>
      <c r="L1346" s="383"/>
      <c r="M1346" s="438"/>
      <c r="N1346" s="392"/>
      <c r="O1346" s="438"/>
      <c r="P1346" s="475"/>
      <c r="Q1346" s="398"/>
      <c r="R1346" s="416" t="str">
        <f t="shared" si="87"/>
        <v>DELETE</v>
      </c>
    </row>
    <row r="1347" spans="2:18" ht="31.5" customHeight="1" x14ac:dyDescent="0.45">
      <c r="B1347" s="445"/>
      <c r="C1347" s="369"/>
      <c r="M1347" s="434"/>
      <c r="N1347" s="390"/>
      <c r="O1347" s="434"/>
      <c r="R1347" s="416" t="str">
        <f t="shared" si="87"/>
        <v>DELETE</v>
      </c>
    </row>
    <row r="1348" spans="2:18" ht="31.5" customHeight="1" x14ac:dyDescent="0.45">
      <c r="B1348" s="445"/>
      <c r="C1348" s="369"/>
      <c r="M1348" s="434"/>
      <c r="N1348" s="390"/>
      <c r="O1348" s="434"/>
      <c r="R1348" s="416" t="str">
        <f>R$1378</f>
        <v>DELETE</v>
      </c>
    </row>
    <row r="1349" spans="2:18" ht="31.5" customHeight="1" x14ac:dyDescent="0.45">
      <c r="B1349" s="431"/>
      <c r="D1349" s="369" t="str">
        <f>Criteria!E9</f>
        <v>ABC TRUST</v>
      </c>
      <c r="M1349" s="479"/>
      <c r="N1349" s="469"/>
      <c r="O1349" s="434" t="s">
        <v>105</v>
      </c>
      <c r="Q1349" s="370">
        <f>MAX($Q$114:Q1348)+1</f>
        <v>28</v>
      </c>
      <c r="R1349" s="416" t="str">
        <f t="shared" ref="R1349:R1358" si="88">R$1378</f>
        <v>DELETE</v>
      </c>
    </row>
    <row r="1350" spans="2:18" ht="31.5" customHeight="1" x14ac:dyDescent="0.45">
      <c r="B1350" s="431"/>
      <c r="D1350" s="369" t="str">
        <f>Criteria!E10</f>
        <v>T/A RENTAL PROPERTIES, SEAFRONT RESTAURANT AND SURF SHOP</v>
      </c>
      <c r="M1350" s="479"/>
      <c r="N1350" s="469"/>
      <c r="O1350" s="479"/>
      <c r="R1350" s="416" t="str">
        <f>IF(R$1378="DELETE","DELETE",IF(D1350=0,"DELETE"," "))</f>
        <v>DELETE</v>
      </c>
    </row>
    <row r="1351" spans="2:18" ht="31.5" customHeight="1" x14ac:dyDescent="0.45">
      <c r="B1351" s="431"/>
      <c r="M1351" s="479"/>
      <c r="N1351" s="469"/>
      <c r="O1351" s="479"/>
      <c r="R1351" s="416" t="str">
        <f t="shared" si="88"/>
        <v>DELETE</v>
      </c>
    </row>
    <row r="1352" spans="2:18" ht="31.5" customHeight="1" x14ac:dyDescent="0.45">
      <c r="B1352" s="431"/>
      <c r="D1352" s="369" t="s">
        <v>383</v>
      </c>
      <c r="M1352" s="479"/>
      <c r="N1352" s="469"/>
      <c r="O1352" s="479"/>
      <c r="R1352" s="416" t="str">
        <f t="shared" si="88"/>
        <v>DELETE</v>
      </c>
    </row>
    <row r="1353" spans="2:18" ht="31.5" customHeight="1" x14ac:dyDescent="0.45">
      <c r="B1353" s="431"/>
      <c r="D1353" s="369" t="str">
        <f>Criteria!E20</f>
        <v>29 FEBRUARY 2024</v>
      </c>
      <c r="J1353" s="368" t="s">
        <v>253</v>
      </c>
      <c r="M1353" s="479"/>
      <c r="N1353" s="469"/>
      <c r="O1353" s="479"/>
      <c r="R1353" s="416" t="str">
        <f t="shared" si="88"/>
        <v>DELETE</v>
      </c>
    </row>
    <row r="1354" spans="2:18" ht="31.5" customHeight="1" x14ac:dyDescent="0.45">
      <c r="B1354" s="431"/>
      <c r="M1354" s="482"/>
      <c r="N1354" s="483"/>
      <c r="O1354" s="482"/>
      <c r="R1354" s="416" t="str">
        <f t="shared" si="88"/>
        <v>DELETE</v>
      </c>
    </row>
    <row r="1355" spans="2:18" ht="31.5" customHeight="1" x14ac:dyDescent="0.45">
      <c r="B1355" s="463"/>
      <c r="C1355" s="386"/>
      <c r="D1355" s="386"/>
      <c r="E1355" s="386"/>
      <c r="F1355" s="386"/>
      <c r="G1355" s="386"/>
      <c r="H1355" s="386"/>
      <c r="I1355" s="386"/>
      <c r="J1355" s="386"/>
      <c r="K1355" s="386"/>
      <c r="L1355" s="386"/>
      <c r="M1355" s="484"/>
      <c r="N1355" s="485"/>
      <c r="O1355" s="484"/>
      <c r="P1355" s="481"/>
      <c r="Q1355" s="387"/>
      <c r="R1355" s="416" t="str">
        <f t="shared" si="88"/>
        <v>DELETE</v>
      </c>
    </row>
    <row r="1356" spans="2:18" ht="31.5" customHeight="1" x14ac:dyDescent="0.45">
      <c r="B1356" s="464"/>
      <c r="M1356" s="430">
        <f>Criteria!E22</f>
        <v>2024</v>
      </c>
      <c r="N1356" s="379"/>
      <c r="O1356" s="430">
        <f>Criteria!E27</f>
        <v>2023</v>
      </c>
      <c r="Q1356" s="389"/>
      <c r="R1356" s="416" t="str">
        <f t="shared" si="88"/>
        <v>DELETE</v>
      </c>
    </row>
    <row r="1357" spans="2:18" ht="31.5" customHeight="1" x14ac:dyDescent="0.45">
      <c r="B1357" s="461"/>
      <c r="C1357" s="369"/>
      <c r="M1357" s="434"/>
      <c r="N1357" s="390"/>
      <c r="O1357" s="434"/>
      <c r="Q1357" s="389"/>
      <c r="R1357" s="416" t="str">
        <f t="shared" si="88"/>
        <v>DELETE</v>
      </c>
    </row>
    <row r="1358" spans="2:18" ht="31.5" customHeight="1" x14ac:dyDescent="0.45">
      <c r="B1358" s="461">
        <f>MAX($B$431:B1357)+1</f>
        <v>20</v>
      </c>
      <c r="C1358" s="369" t="str">
        <f>IF(COUNTIF(TrialBalance!N209:N225,"&lt;0")&gt;1,"INTEREST FREE BORROWINGS",IF(COUNTIF(TrialBalance!L209:L225,"&lt;0")&gt;1,"INTEREST FREE BORROWINGS","INTEREST FREE BORROWING"))</f>
        <v>INTEREST FREE BORROWING</v>
      </c>
      <c r="M1358" s="434"/>
      <c r="N1358" s="390"/>
      <c r="O1358" s="434"/>
      <c r="Q1358" s="389"/>
      <c r="R1358" s="416" t="str">
        <f t="shared" si="88"/>
        <v>DELETE</v>
      </c>
    </row>
    <row r="1359" spans="2:18" ht="31.5" customHeight="1" x14ac:dyDescent="0.45">
      <c r="B1359" s="461"/>
      <c r="C1359" s="369"/>
      <c r="D1359" s="368" t="str">
        <f>TrialBalance!C209</f>
        <v>Beneficiaries</v>
      </c>
      <c r="M1359" s="434">
        <f>-TrialBalance!L209</f>
        <v>0</v>
      </c>
      <c r="N1359" s="390"/>
      <c r="O1359" s="434">
        <f>-TrialBalance!N209</f>
        <v>0</v>
      </c>
      <c r="Q1359" s="389"/>
      <c r="R1359" s="416" t="str">
        <f t="shared" ref="R1359" si="89">IF(M1359+O1359=0,"DELETE"," ")</f>
        <v>DELETE</v>
      </c>
    </row>
    <row r="1360" spans="2:18" ht="31.5" customHeight="1" x14ac:dyDescent="0.45">
      <c r="B1360" s="461"/>
      <c r="C1360" s="369"/>
      <c r="D1360" s="368">
        <f>TrialBalance!C210</f>
        <v>0</v>
      </c>
      <c r="M1360" s="434">
        <f>-TrialBalance!L210</f>
        <v>0</v>
      </c>
      <c r="N1360" s="390"/>
      <c r="O1360" s="434">
        <f>-TrialBalance!N210</f>
        <v>0</v>
      </c>
      <c r="Q1360" s="389"/>
      <c r="R1360" s="416" t="str">
        <f t="shared" ref="R1360:R1375" si="90">IF(M1360+O1360=0,"DELETE"," ")</f>
        <v>DELETE</v>
      </c>
    </row>
    <row r="1361" spans="2:18" ht="31.5" customHeight="1" x14ac:dyDescent="0.45">
      <c r="B1361" s="461"/>
      <c r="C1361" s="369"/>
      <c r="D1361" s="368">
        <f>TrialBalance!C211</f>
        <v>0</v>
      </c>
      <c r="M1361" s="434">
        <f>-TrialBalance!L211</f>
        <v>0</v>
      </c>
      <c r="N1361" s="390"/>
      <c r="O1361" s="434">
        <f>-TrialBalance!N211</f>
        <v>0</v>
      </c>
      <c r="Q1361" s="389"/>
      <c r="R1361" s="416" t="str">
        <f t="shared" si="90"/>
        <v>DELETE</v>
      </c>
    </row>
    <row r="1362" spans="2:18" ht="31.5" customHeight="1" x14ac:dyDescent="0.45">
      <c r="B1362" s="461"/>
      <c r="C1362" s="369"/>
      <c r="D1362" s="368">
        <f>TrialBalance!C212</f>
        <v>0</v>
      </c>
      <c r="M1362" s="434">
        <f>-TrialBalance!L212</f>
        <v>0</v>
      </c>
      <c r="N1362" s="390"/>
      <c r="O1362" s="434">
        <f>-TrialBalance!N212</f>
        <v>0</v>
      </c>
      <c r="Q1362" s="389"/>
      <c r="R1362" s="416" t="str">
        <f t="shared" si="90"/>
        <v>DELETE</v>
      </c>
    </row>
    <row r="1363" spans="2:18" ht="31.5" customHeight="1" x14ac:dyDescent="0.45">
      <c r="B1363" s="461"/>
      <c r="C1363" s="369"/>
      <c r="D1363" s="368">
        <f>TrialBalance!C213</f>
        <v>0</v>
      </c>
      <c r="M1363" s="434">
        <f>-TrialBalance!L213</f>
        <v>0</v>
      </c>
      <c r="N1363" s="390"/>
      <c r="O1363" s="434">
        <f>-TrialBalance!N213</f>
        <v>0</v>
      </c>
      <c r="Q1363" s="389"/>
      <c r="R1363" s="416" t="str">
        <f t="shared" si="90"/>
        <v>DELETE</v>
      </c>
    </row>
    <row r="1364" spans="2:18" ht="31.5" customHeight="1" x14ac:dyDescent="0.45">
      <c r="B1364" s="461"/>
      <c r="C1364" s="369"/>
      <c r="D1364" s="368">
        <f>TrialBalance!C214</f>
        <v>0</v>
      </c>
      <c r="M1364" s="434">
        <f>-TrialBalance!L214</f>
        <v>0</v>
      </c>
      <c r="N1364" s="390"/>
      <c r="O1364" s="434">
        <f>-TrialBalance!N214</f>
        <v>0</v>
      </c>
      <c r="Q1364" s="389"/>
      <c r="R1364" s="416" t="str">
        <f t="shared" si="90"/>
        <v>DELETE</v>
      </c>
    </row>
    <row r="1365" spans="2:18" ht="31.5" customHeight="1" x14ac:dyDescent="0.45">
      <c r="B1365" s="461"/>
      <c r="C1365" s="369"/>
      <c r="D1365" s="368">
        <f>TrialBalance!C215</f>
        <v>0</v>
      </c>
      <c r="M1365" s="434">
        <f>-TrialBalance!L215</f>
        <v>0</v>
      </c>
      <c r="N1365" s="390"/>
      <c r="O1365" s="434">
        <f>-TrialBalance!N215</f>
        <v>0</v>
      </c>
      <c r="Q1365" s="389"/>
      <c r="R1365" s="416" t="str">
        <f t="shared" si="90"/>
        <v>DELETE</v>
      </c>
    </row>
    <row r="1366" spans="2:18" ht="31.5" customHeight="1" x14ac:dyDescent="0.45">
      <c r="B1366" s="461"/>
      <c r="C1366" s="369"/>
      <c r="D1366" s="368">
        <f>TrialBalance!C216</f>
        <v>0</v>
      </c>
      <c r="M1366" s="434">
        <f>-TrialBalance!L216</f>
        <v>0</v>
      </c>
      <c r="N1366" s="390"/>
      <c r="O1366" s="434">
        <f>-TrialBalance!N216</f>
        <v>0</v>
      </c>
      <c r="Q1366" s="389"/>
      <c r="R1366" s="416" t="str">
        <f t="shared" si="90"/>
        <v>DELETE</v>
      </c>
    </row>
    <row r="1367" spans="2:18" ht="31.5" customHeight="1" x14ac:dyDescent="0.45">
      <c r="B1367" s="461"/>
      <c r="C1367" s="369"/>
      <c r="D1367" s="368">
        <f>TrialBalance!C217</f>
        <v>0</v>
      </c>
      <c r="M1367" s="434">
        <f>-TrialBalance!L217</f>
        <v>0</v>
      </c>
      <c r="N1367" s="390"/>
      <c r="O1367" s="434">
        <f>-TrialBalance!N217</f>
        <v>0</v>
      </c>
      <c r="Q1367" s="389"/>
      <c r="R1367" s="416" t="str">
        <f t="shared" si="90"/>
        <v>DELETE</v>
      </c>
    </row>
    <row r="1368" spans="2:18" ht="31.5" customHeight="1" x14ac:dyDescent="0.45">
      <c r="B1368" s="461"/>
      <c r="C1368" s="369"/>
      <c r="D1368" s="368">
        <f>TrialBalance!C218</f>
        <v>0</v>
      </c>
      <c r="M1368" s="434">
        <f>-TrialBalance!L218</f>
        <v>0</v>
      </c>
      <c r="N1368" s="390"/>
      <c r="O1368" s="434">
        <f>-TrialBalance!N218</f>
        <v>0</v>
      </c>
      <c r="Q1368" s="389"/>
      <c r="R1368" s="416" t="str">
        <f t="shared" si="90"/>
        <v>DELETE</v>
      </c>
    </row>
    <row r="1369" spans="2:18" ht="31.5" customHeight="1" x14ac:dyDescent="0.45">
      <c r="B1369" s="461"/>
      <c r="C1369" s="369"/>
      <c r="D1369" s="368">
        <f>TrialBalance!C219</f>
        <v>0</v>
      </c>
      <c r="M1369" s="434">
        <f>-TrialBalance!L219</f>
        <v>0</v>
      </c>
      <c r="N1369" s="390"/>
      <c r="O1369" s="434">
        <f>-TrialBalance!N219</f>
        <v>0</v>
      </c>
      <c r="Q1369" s="389"/>
      <c r="R1369" s="416" t="str">
        <f t="shared" si="90"/>
        <v>DELETE</v>
      </c>
    </row>
    <row r="1370" spans="2:18" ht="31.5" customHeight="1" x14ac:dyDescent="0.45">
      <c r="B1370" s="461"/>
      <c r="C1370" s="369"/>
      <c r="D1370" s="368">
        <f>TrialBalance!C220</f>
        <v>0</v>
      </c>
      <c r="M1370" s="434">
        <f>-TrialBalance!L220</f>
        <v>0</v>
      </c>
      <c r="N1370" s="390"/>
      <c r="O1370" s="434">
        <f>-TrialBalance!N220</f>
        <v>0</v>
      </c>
      <c r="Q1370" s="389"/>
      <c r="R1370" s="416" t="str">
        <f t="shared" si="90"/>
        <v>DELETE</v>
      </c>
    </row>
    <row r="1371" spans="2:18" ht="31.5" customHeight="1" x14ac:dyDescent="0.45">
      <c r="B1371" s="461"/>
      <c r="C1371" s="369"/>
      <c r="D1371" s="368">
        <f>TrialBalance!C221</f>
        <v>0</v>
      </c>
      <c r="M1371" s="434">
        <f>-TrialBalance!L221</f>
        <v>0</v>
      </c>
      <c r="N1371" s="390"/>
      <c r="O1371" s="434">
        <f>-TrialBalance!N221</f>
        <v>0</v>
      </c>
      <c r="Q1371" s="389"/>
      <c r="R1371" s="416" t="str">
        <f t="shared" si="90"/>
        <v>DELETE</v>
      </c>
    </row>
    <row r="1372" spans="2:18" ht="31.5" customHeight="1" x14ac:dyDescent="0.45">
      <c r="B1372" s="461"/>
      <c r="C1372" s="369"/>
      <c r="D1372" s="368">
        <f>TrialBalance!C222</f>
        <v>0</v>
      </c>
      <c r="M1372" s="434">
        <f>-TrialBalance!L222</f>
        <v>0</v>
      </c>
      <c r="N1372" s="390"/>
      <c r="O1372" s="434">
        <f>-TrialBalance!N222</f>
        <v>0</v>
      </c>
      <c r="Q1372" s="389"/>
      <c r="R1372" s="416" t="str">
        <f t="shared" si="90"/>
        <v>DELETE</v>
      </c>
    </row>
    <row r="1373" spans="2:18" ht="31.5" customHeight="1" x14ac:dyDescent="0.45">
      <c r="B1373" s="461"/>
      <c r="C1373" s="369"/>
      <c r="D1373" s="368">
        <f>TrialBalance!C223</f>
        <v>0</v>
      </c>
      <c r="M1373" s="434">
        <f>-TrialBalance!L223</f>
        <v>0</v>
      </c>
      <c r="N1373" s="390"/>
      <c r="O1373" s="434">
        <f>-TrialBalance!N223</f>
        <v>0</v>
      </c>
      <c r="Q1373" s="389"/>
      <c r="R1373" s="416" t="str">
        <f t="shared" si="90"/>
        <v>DELETE</v>
      </c>
    </row>
    <row r="1374" spans="2:18" ht="31.5" customHeight="1" x14ac:dyDescent="0.45">
      <c r="B1374" s="461"/>
      <c r="C1374" s="369"/>
      <c r="D1374" s="368">
        <f>TrialBalance!C224</f>
        <v>0</v>
      </c>
      <c r="M1374" s="434">
        <f>-TrialBalance!L224</f>
        <v>0</v>
      </c>
      <c r="N1374" s="390"/>
      <c r="O1374" s="434">
        <f>-TrialBalance!N224</f>
        <v>0</v>
      </c>
      <c r="Q1374" s="389"/>
      <c r="R1374" s="416" t="str">
        <f t="shared" si="90"/>
        <v>DELETE</v>
      </c>
    </row>
    <row r="1375" spans="2:18" ht="31.5" customHeight="1" x14ac:dyDescent="0.45">
      <c r="B1375" s="461"/>
      <c r="C1375" s="369"/>
      <c r="D1375" s="368">
        <f>TrialBalance!C225</f>
        <v>0</v>
      </c>
      <c r="M1375" s="434">
        <f>-TrialBalance!L225</f>
        <v>0</v>
      </c>
      <c r="N1375" s="390"/>
      <c r="O1375" s="434">
        <f>-TrialBalance!N225</f>
        <v>0</v>
      </c>
      <c r="Q1375" s="389"/>
      <c r="R1375" s="416" t="str">
        <f t="shared" si="90"/>
        <v>DELETE</v>
      </c>
    </row>
    <row r="1376" spans="2:18" ht="9" customHeight="1" x14ac:dyDescent="0.45">
      <c r="B1376" s="461"/>
      <c r="C1376" s="369"/>
      <c r="M1376" s="438"/>
      <c r="N1376" s="392"/>
      <c r="O1376" s="438"/>
      <c r="Q1376" s="389"/>
      <c r="R1376" s="416" t="str">
        <f t="shared" ref="R1376:R1385" si="91">R$1378</f>
        <v>DELETE</v>
      </c>
    </row>
    <row r="1377" spans="2:18" ht="9" customHeight="1" x14ac:dyDescent="0.45">
      <c r="B1377" s="461"/>
      <c r="C1377" s="369"/>
      <c r="M1377" s="434"/>
      <c r="N1377" s="390"/>
      <c r="O1377" s="434"/>
      <c r="Q1377" s="389"/>
      <c r="R1377" s="416" t="str">
        <f t="shared" si="91"/>
        <v>DELETE</v>
      </c>
    </row>
    <row r="1378" spans="2:18" ht="31.5" customHeight="1" x14ac:dyDescent="0.45">
      <c r="B1378" s="461"/>
      <c r="C1378" s="369"/>
      <c r="M1378" s="434">
        <f>SUM(M1359:M1377)</f>
        <v>0</v>
      </c>
      <c r="N1378" s="390"/>
      <c r="O1378" s="434">
        <f>SUM(O1359:O1377)</f>
        <v>0</v>
      </c>
      <c r="Q1378" s="389"/>
      <c r="R1378" s="416" t="str">
        <f>IF(M1378+O1378=0,"DELETE"," ")</f>
        <v>DELETE</v>
      </c>
    </row>
    <row r="1379" spans="2:18" ht="9" customHeight="1" thickBot="1" x14ac:dyDescent="0.5">
      <c r="B1379" s="461"/>
      <c r="C1379" s="369"/>
      <c r="M1379" s="439"/>
      <c r="N1379" s="393"/>
      <c r="O1379" s="439"/>
      <c r="Q1379" s="389"/>
      <c r="R1379" s="416" t="str">
        <f t="shared" si="91"/>
        <v>DELETE</v>
      </c>
    </row>
    <row r="1380" spans="2:18" ht="9" customHeight="1" thickTop="1" x14ac:dyDescent="0.45">
      <c r="B1380" s="461"/>
      <c r="C1380" s="369"/>
      <c r="M1380" s="441"/>
      <c r="N1380" s="400"/>
      <c r="O1380" s="441"/>
      <c r="Q1380" s="389"/>
      <c r="R1380" s="416" t="str">
        <f t="shared" si="91"/>
        <v>DELETE</v>
      </c>
    </row>
    <row r="1381" spans="2:18" ht="31.5" customHeight="1" x14ac:dyDescent="0.45">
      <c r="B1381" s="461"/>
      <c r="C1381" s="369"/>
      <c r="D1381" s="368" t="str">
        <f>IF(COUNTIF(TrialBalance!L209:L225,"&lt;0")=0," ",IF(COUNTIF(TrialBalance!L209:L225,"&lt;0")&gt;1,"Unsecured interest free loans with no fixed repayment terms","Unsecured interest free loan with no fixed repayment terms"))</f>
        <v xml:space="preserve"> </v>
      </c>
      <c r="M1381" s="434"/>
      <c r="N1381" s="390"/>
      <c r="O1381" s="434"/>
      <c r="Q1381" s="389"/>
      <c r="R1381" s="416" t="str">
        <f t="shared" si="91"/>
        <v>DELETE</v>
      </c>
    </row>
    <row r="1382" spans="2:18" ht="31.5" customHeight="1" x14ac:dyDescent="0.45">
      <c r="B1382" s="461"/>
      <c r="C1382" s="369"/>
      <c r="M1382" s="434"/>
      <c r="N1382" s="390"/>
      <c r="O1382" s="434"/>
      <c r="Q1382" s="389"/>
      <c r="R1382" s="416" t="str">
        <f t="shared" si="91"/>
        <v>DELETE</v>
      </c>
    </row>
    <row r="1383" spans="2:18" ht="31.5" customHeight="1" x14ac:dyDescent="0.45">
      <c r="B1383" s="461"/>
      <c r="C1383" s="369"/>
      <c r="M1383" s="434"/>
      <c r="N1383" s="390"/>
      <c r="O1383" s="434"/>
      <c r="Q1383" s="389"/>
      <c r="R1383" s="416" t="str">
        <f t="shared" si="91"/>
        <v>DELETE</v>
      </c>
    </row>
    <row r="1384" spans="2:18" ht="31.5" customHeight="1" x14ac:dyDescent="0.45">
      <c r="B1384" s="462"/>
      <c r="C1384" s="407"/>
      <c r="D1384" s="383"/>
      <c r="E1384" s="383"/>
      <c r="F1384" s="383"/>
      <c r="G1384" s="383"/>
      <c r="H1384" s="383"/>
      <c r="I1384" s="383"/>
      <c r="J1384" s="383"/>
      <c r="K1384" s="383"/>
      <c r="L1384" s="383"/>
      <c r="M1384" s="438"/>
      <c r="N1384" s="392"/>
      <c r="O1384" s="438"/>
      <c r="P1384" s="475"/>
      <c r="Q1384" s="398"/>
      <c r="R1384" s="416" t="str">
        <f t="shared" si="91"/>
        <v>DELETE</v>
      </c>
    </row>
    <row r="1385" spans="2:18" ht="31.5" customHeight="1" x14ac:dyDescent="0.45">
      <c r="B1385" s="445"/>
      <c r="C1385" s="369"/>
      <c r="M1385" s="434"/>
      <c r="N1385" s="390"/>
      <c r="O1385" s="434"/>
      <c r="R1385" s="416" t="str">
        <f t="shared" si="91"/>
        <v>DELETE</v>
      </c>
    </row>
    <row r="1386" spans="2:18" ht="31.5" customHeight="1" x14ac:dyDescent="0.45">
      <c r="B1386" s="431"/>
      <c r="M1386" s="479"/>
      <c r="N1386" s="469"/>
      <c r="O1386" s="479"/>
      <c r="R1386" s="416" t="str">
        <f>R$1405</f>
        <v>DELETE</v>
      </c>
    </row>
    <row r="1387" spans="2:18" ht="31.5" customHeight="1" x14ac:dyDescent="0.45">
      <c r="B1387" s="431"/>
      <c r="D1387" s="369" t="str">
        <f>Criteria!E9</f>
        <v>ABC TRUST</v>
      </c>
      <c r="M1387" s="479"/>
      <c r="N1387" s="469"/>
      <c r="O1387" s="434" t="s">
        <v>105</v>
      </c>
      <c r="Q1387" s="370">
        <f>MAX($Q$114:Q1386)+1</f>
        <v>29</v>
      </c>
      <c r="R1387" s="416" t="str">
        <f t="shared" ref="R1387:R1396" si="92">R$1405</f>
        <v>DELETE</v>
      </c>
    </row>
    <row r="1388" spans="2:18" ht="31.5" customHeight="1" x14ac:dyDescent="0.45">
      <c r="B1388" s="431"/>
      <c r="D1388" s="369" t="str">
        <f>Criteria!E10</f>
        <v>T/A RENTAL PROPERTIES, SEAFRONT RESTAURANT AND SURF SHOP</v>
      </c>
      <c r="M1388" s="479"/>
      <c r="N1388" s="469"/>
      <c r="O1388" s="479"/>
      <c r="R1388" s="416" t="str">
        <f>IF(R$1405="DELETE","DELETE",IF(D1388=0,"DELETE"," "))</f>
        <v>DELETE</v>
      </c>
    </row>
    <row r="1389" spans="2:18" ht="31.5" customHeight="1" x14ac:dyDescent="0.45">
      <c r="B1389" s="431"/>
      <c r="M1389" s="479"/>
      <c r="N1389" s="469"/>
      <c r="O1389" s="479"/>
      <c r="R1389" s="416" t="str">
        <f t="shared" si="92"/>
        <v>DELETE</v>
      </c>
    </row>
    <row r="1390" spans="2:18" ht="31.5" customHeight="1" x14ac:dyDescent="0.45">
      <c r="B1390" s="431"/>
      <c r="D1390" s="369" t="s">
        <v>383</v>
      </c>
      <c r="M1390" s="479"/>
      <c r="N1390" s="469"/>
      <c r="O1390" s="479"/>
      <c r="R1390" s="416" t="str">
        <f t="shared" si="92"/>
        <v>DELETE</v>
      </c>
    </row>
    <row r="1391" spans="2:18" ht="31.5" customHeight="1" x14ac:dyDescent="0.45">
      <c r="B1391" s="431"/>
      <c r="D1391" s="369" t="str">
        <f>Criteria!E20</f>
        <v>29 FEBRUARY 2024</v>
      </c>
      <c r="J1391" s="368" t="s">
        <v>253</v>
      </c>
      <c r="M1391" s="479"/>
      <c r="N1391" s="469"/>
      <c r="O1391" s="479"/>
      <c r="R1391" s="416" t="str">
        <f t="shared" si="92"/>
        <v>DELETE</v>
      </c>
    </row>
    <row r="1392" spans="2:18" ht="31.5" customHeight="1" x14ac:dyDescent="0.45">
      <c r="B1392" s="431"/>
      <c r="D1392" s="369"/>
      <c r="M1392" s="479"/>
      <c r="N1392" s="469"/>
      <c r="O1392" s="479"/>
      <c r="R1392" s="416" t="str">
        <f t="shared" si="92"/>
        <v>DELETE</v>
      </c>
    </row>
    <row r="1393" spans="2:18" ht="31.5" customHeight="1" x14ac:dyDescent="0.45">
      <c r="B1393" s="465"/>
      <c r="C1393" s="410"/>
      <c r="D1393" s="386"/>
      <c r="E1393" s="386"/>
      <c r="F1393" s="386"/>
      <c r="G1393" s="386"/>
      <c r="H1393" s="386"/>
      <c r="I1393" s="386"/>
      <c r="J1393" s="386"/>
      <c r="K1393" s="386"/>
      <c r="L1393" s="386"/>
      <c r="M1393" s="446"/>
      <c r="N1393" s="391"/>
      <c r="O1393" s="446"/>
      <c r="P1393" s="481"/>
      <c r="Q1393" s="387"/>
      <c r="R1393" s="416" t="str">
        <f t="shared" si="92"/>
        <v>DELETE</v>
      </c>
    </row>
    <row r="1394" spans="2:18" ht="31.5" customHeight="1" x14ac:dyDescent="0.45">
      <c r="B1394" s="461"/>
      <c r="C1394" s="369"/>
      <c r="M1394" s="430">
        <f>Criteria!E22</f>
        <v>2024</v>
      </c>
      <c r="N1394" s="379"/>
      <c r="O1394" s="430">
        <f>Criteria!E27</f>
        <v>2023</v>
      </c>
      <c r="Q1394" s="389"/>
      <c r="R1394" s="416" t="str">
        <f t="shared" si="92"/>
        <v>DELETE</v>
      </c>
    </row>
    <row r="1395" spans="2:18" ht="31.5" customHeight="1" x14ac:dyDescent="0.45">
      <c r="B1395" s="461"/>
      <c r="C1395" s="369"/>
      <c r="M1395" s="434"/>
      <c r="N1395" s="390"/>
      <c r="O1395" s="434"/>
      <c r="Q1395" s="389"/>
      <c r="R1395" s="416" t="str">
        <f t="shared" si="92"/>
        <v>DELETE</v>
      </c>
    </row>
    <row r="1396" spans="2:18" ht="31.5" customHeight="1" x14ac:dyDescent="0.45">
      <c r="B1396" s="461">
        <f>MAX($B$431:B1395)+1</f>
        <v>21</v>
      </c>
      <c r="C1396" s="369" t="s">
        <v>426</v>
      </c>
      <c r="M1396" s="434"/>
      <c r="N1396" s="390"/>
      <c r="O1396" s="434"/>
      <c r="Q1396" s="389"/>
      <c r="R1396" s="416" t="str">
        <f t="shared" si="92"/>
        <v>DELETE</v>
      </c>
    </row>
    <row r="1397" spans="2:18" ht="31.5" customHeight="1" x14ac:dyDescent="0.45">
      <c r="B1397" s="461"/>
      <c r="C1397" s="369"/>
      <c r="D1397" s="368" t="s">
        <v>427</v>
      </c>
      <c r="M1397" s="434">
        <f>-TrialBalance!L378-TrialBalance!L377</f>
        <v>0</v>
      </c>
      <c r="N1397" s="390"/>
      <c r="O1397" s="434">
        <f>-TrialBalance!N378-TrialBalance!N377</f>
        <v>0</v>
      </c>
      <c r="Q1397" s="389"/>
      <c r="R1397" s="416" t="str">
        <f t="shared" ref="R1397:R1402" si="93">IF(M1397+O1397=0,"DELETE"," ")</f>
        <v>DELETE</v>
      </c>
    </row>
    <row r="1398" spans="2:18" ht="31.5" customHeight="1" x14ac:dyDescent="0.45">
      <c r="B1398" s="461"/>
      <c r="C1398" s="369"/>
      <c r="D1398" s="368" t="s">
        <v>548</v>
      </c>
      <c r="M1398" s="434">
        <f>-TrialBalance!L379</f>
        <v>0</v>
      </c>
      <c r="N1398" s="390"/>
      <c r="O1398" s="434">
        <f>-TrialBalance!N379</f>
        <v>0</v>
      </c>
      <c r="Q1398" s="389"/>
      <c r="R1398" s="416" t="str">
        <f t="shared" si="93"/>
        <v>DELETE</v>
      </c>
    </row>
    <row r="1399" spans="2:18" ht="31.5" customHeight="1" x14ac:dyDescent="0.45">
      <c r="B1399" s="461"/>
      <c r="C1399" s="369"/>
      <c r="D1399" s="368" t="s">
        <v>759</v>
      </c>
      <c r="M1399" s="434">
        <f>-TrialBalance!L380</f>
        <v>0</v>
      </c>
      <c r="N1399" s="390"/>
      <c r="O1399" s="434">
        <f>-TrialBalance!N380</f>
        <v>0</v>
      </c>
      <c r="Q1399" s="389"/>
      <c r="R1399" s="416" t="str">
        <f t="shared" si="93"/>
        <v>DELETE</v>
      </c>
    </row>
    <row r="1400" spans="2:18" ht="31.5" customHeight="1" x14ac:dyDescent="0.45">
      <c r="B1400" s="461"/>
      <c r="C1400" s="369"/>
      <c r="D1400" s="368" t="s">
        <v>549</v>
      </c>
      <c r="M1400" s="434">
        <f>-TrialBalance!L381</f>
        <v>0</v>
      </c>
      <c r="N1400" s="390"/>
      <c r="O1400" s="434">
        <f>-TrialBalance!N381</f>
        <v>0</v>
      </c>
      <c r="Q1400" s="389"/>
      <c r="R1400" s="416" t="str">
        <f t="shared" si="93"/>
        <v>DELETE</v>
      </c>
    </row>
    <row r="1401" spans="2:18" ht="31.5" customHeight="1" x14ac:dyDescent="0.45">
      <c r="B1401" s="461"/>
      <c r="C1401" s="369"/>
      <c r="D1401" s="368" t="s">
        <v>753</v>
      </c>
      <c r="M1401" s="434">
        <f>-TrialBalance!L382</f>
        <v>0</v>
      </c>
      <c r="N1401" s="390"/>
      <c r="O1401" s="434">
        <f>-TrialBalance!N382</f>
        <v>0</v>
      </c>
      <c r="Q1401" s="389"/>
      <c r="R1401" s="416" t="str">
        <f t="shared" si="93"/>
        <v>DELETE</v>
      </c>
    </row>
    <row r="1402" spans="2:18" ht="31.5" customHeight="1" x14ac:dyDescent="0.45">
      <c r="B1402" s="461"/>
      <c r="C1402" s="369"/>
      <c r="D1402" s="368" t="s">
        <v>535</v>
      </c>
      <c r="M1402" s="434">
        <f>IF(TrialBalance!L395&lt;0,-TrialBalance!L395,0)</f>
        <v>0</v>
      </c>
      <c r="N1402" s="390"/>
      <c r="O1402" s="434">
        <f>IF(TrialBalance!N395&lt;0,-TrialBalance!N395,0)</f>
        <v>0</v>
      </c>
      <c r="Q1402" s="389"/>
      <c r="R1402" s="416" t="str">
        <f t="shared" si="93"/>
        <v>DELETE</v>
      </c>
    </row>
    <row r="1403" spans="2:18" ht="9" customHeight="1" x14ac:dyDescent="0.45">
      <c r="B1403" s="461"/>
      <c r="C1403" s="369"/>
      <c r="M1403" s="438"/>
      <c r="N1403" s="392"/>
      <c r="O1403" s="438"/>
      <c r="Q1403" s="389"/>
      <c r="R1403" s="416" t="str">
        <f t="shared" ref="R1403:R1411" si="94">R$1405</f>
        <v>DELETE</v>
      </c>
    </row>
    <row r="1404" spans="2:18" ht="9" customHeight="1" x14ac:dyDescent="0.45">
      <c r="B1404" s="461"/>
      <c r="C1404" s="369"/>
      <c r="M1404" s="434"/>
      <c r="N1404" s="390"/>
      <c r="O1404" s="434"/>
      <c r="Q1404" s="389"/>
      <c r="R1404" s="416" t="str">
        <f t="shared" si="94"/>
        <v>DELETE</v>
      </c>
    </row>
    <row r="1405" spans="2:18" ht="31.5" customHeight="1" x14ac:dyDescent="0.45">
      <c r="B1405" s="461"/>
      <c r="C1405" s="369"/>
      <c r="M1405" s="434">
        <f>SUM(M1397:M1404)</f>
        <v>0</v>
      </c>
      <c r="N1405" s="390"/>
      <c r="O1405" s="434">
        <f>SUM(O1397:O1404)</f>
        <v>0</v>
      </c>
      <c r="Q1405" s="389"/>
      <c r="R1405" s="416" t="str">
        <f>IF(M1405+O1405=0,"DELETE"," ")</f>
        <v>DELETE</v>
      </c>
    </row>
    <row r="1406" spans="2:18" ht="9" customHeight="1" thickBot="1" x14ac:dyDescent="0.5">
      <c r="B1406" s="461"/>
      <c r="C1406" s="369"/>
      <c r="M1406" s="439"/>
      <c r="N1406" s="393"/>
      <c r="O1406" s="439"/>
      <c r="Q1406" s="389"/>
      <c r="R1406" s="416" t="str">
        <f t="shared" si="94"/>
        <v>DELETE</v>
      </c>
    </row>
    <row r="1407" spans="2:18" ht="9" customHeight="1" thickTop="1" x14ac:dyDescent="0.45">
      <c r="B1407" s="461"/>
      <c r="C1407" s="369"/>
      <c r="M1407" s="441"/>
      <c r="N1407" s="400"/>
      <c r="O1407" s="441"/>
      <c r="Q1407" s="389"/>
      <c r="R1407" s="416" t="str">
        <f t="shared" si="94"/>
        <v>DELETE</v>
      </c>
    </row>
    <row r="1408" spans="2:18" ht="31.5" customHeight="1" x14ac:dyDescent="0.45">
      <c r="B1408" s="461"/>
      <c r="C1408" s="369"/>
      <c r="M1408" s="434"/>
      <c r="N1408" s="390"/>
      <c r="O1408" s="434"/>
      <c r="Q1408" s="389"/>
      <c r="R1408" s="416" t="str">
        <f t="shared" si="94"/>
        <v>DELETE</v>
      </c>
    </row>
    <row r="1409" spans="2:18" ht="31.5" customHeight="1" x14ac:dyDescent="0.45">
      <c r="B1409" s="461"/>
      <c r="C1409" s="369"/>
      <c r="M1409" s="434"/>
      <c r="N1409" s="390"/>
      <c r="O1409" s="434"/>
      <c r="Q1409" s="389"/>
      <c r="R1409" s="416" t="str">
        <f t="shared" si="94"/>
        <v>DELETE</v>
      </c>
    </row>
    <row r="1410" spans="2:18" ht="31.5" customHeight="1" x14ac:dyDescent="0.45">
      <c r="B1410" s="462"/>
      <c r="C1410" s="407"/>
      <c r="D1410" s="383"/>
      <c r="E1410" s="383"/>
      <c r="F1410" s="383"/>
      <c r="G1410" s="383"/>
      <c r="H1410" s="383"/>
      <c r="I1410" s="383"/>
      <c r="J1410" s="383"/>
      <c r="K1410" s="383"/>
      <c r="L1410" s="383"/>
      <c r="M1410" s="438"/>
      <c r="N1410" s="392"/>
      <c r="O1410" s="438"/>
      <c r="P1410" s="475"/>
      <c r="Q1410" s="398"/>
      <c r="R1410" s="416" t="str">
        <f t="shared" si="94"/>
        <v>DELETE</v>
      </c>
    </row>
    <row r="1411" spans="2:18" ht="31.5" customHeight="1" x14ac:dyDescent="0.45">
      <c r="B1411" s="445"/>
      <c r="C1411" s="369"/>
      <c r="M1411" s="434"/>
      <c r="N1411" s="390"/>
      <c r="O1411" s="434"/>
      <c r="R1411" s="416" t="str">
        <f t="shared" si="94"/>
        <v>DELETE</v>
      </c>
    </row>
    <row r="1412" spans="2:18" ht="31.5" customHeight="1" x14ac:dyDescent="0.45">
      <c r="B1412" s="431"/>
      <c r="M1412" s="479"/>
      <c r="N1412" s="469"/>
      <c r="O1412" s="479"/>
      <c r="R1412" s="416" t="str">
        <f>R$1431</f>
        <v>DELETE</v>
      </c>
    </row>
    <row r="1413" spans="2:18" ht="31.5" customHeight="1" x14ac:dyDescent="0.45">
      <c r="B1413" s="431"/>
      <c r="D1413" s="369" t="str">
        <f>Criteria!E9</f>
        <v>ABC TRUST</v>
      </c>
      <c r="M1413" s="479"/>
      <c r="N1413" s="469"/>
      <c r="O1413" s="434" t="s">
        <v>105</v>
      </c>
      <c r="Q1413" s="370">
        <f>MAX($Q$114:Q1412)+1</f>
        <v>30</v>
      </c>
      <c r="R1413" s="416" t="str">
        <f t="shared" ref="R1413:R1422" si="95">R$1431</f>
        <v>DELETE</v>
      </c>
    </row>
    <row r="1414" spans="2:18" ht="31.5" customHeight="1" x14ac:dyDescent="0.45">
      <c r="B1414" s="431"/>
      <c r="D1414" s="369" t="str">
        <f>Criteria!E10</f>
        <v>T/A RENTAL PROPERTIES, SEAFRONT RESTAURANT AND SURF SHOP</v>
      </c>
      <c r="M1414" s="479"/>
      <c r="N1414" s="469"/>
      <c r="O1414" s="479"/>
      <c r="R1414" s="416" t="str">
        <f>IF(R$1431="DELETE","DELETE",IF(D1414=0,"DELETE"," "))</f>
        <v>DELETE</v>
      </c>
    </row>
    <row r="1415" spans="2:18" ht="31.5" customHeight="1" x14ac:dyDescent="0.45">
      <c r="B1415" s="431"/>
      <c r="M1415" s="479"/>
      <c r="N1415" s="469"/>
      <c r="O1415" s="479"/>
      <c r="R1415" s="416" t="str">
        <f t="shared" si="95"/>
        <v>DELETE</v>
      </c>
    </row>
    <row r="1416" spans="2:18" ht="31.5" customHeight="1" x14ac:dyDescent="0.45">
      <c r="B1416" s="431"/>
      <c r="D1416" s="369" t="s">
        <v>383</v>
      </c>
      <c r="M1416" s="479"/>
      <c r="N1416" s="469"/>
      <c r="O1416" s="479"/>
      <c r="R1416" s="416" t="str">
        <f t="shared" si="95"/>
        <v>DELETE</v>
      </c>
    </row>
    <row r="1417" spans="2:18" ht="31.5" customHeight="1" x14ac:dyDescent="0.45">
      <c r="B1417" s="431"/>
      <c r="D1417" s="369" t="str">
        <f>Criteria!E20</f>
        <v>29 FEBRUARY 2024</v>
      </c>
      <c r="J1417" s="368" t="s">
        <v>253</v>
      </c>
      <c r="M1417" s="479"/>
      <c r="N1417" s="469"/>
      <c r="O1417" s="479"/>
      <c r="R1417" s="416" t="str">
        <f t="shared" si="95"/>
        <v>DELETE</v>
      </c>
    </row>
    <row r="1418" spans="2:18" ht="31.5" customHeight="1" x14ac:dyDescent="0.45">
      <c r="B1418" s="431"/>
      <c r="M1418" s="482"/>
      <c r="N1418" s="483"/>
      <c r="O1418" s="482"/>
      <c r="R1418" s="416" t="str">
        <f t="shared" si="95"/>
        <v>DELETE</v>
      </c>
    </row>
    <row r="1419" spans="2:18" ht="31.5" customHeight="1" x14ac:dyDescent="0.45">
      <c r="B1419" s="463"/>
      <c r="C1419" s="386"/>
      <c r="D1419" s="386"/>
      <c r="E1419" s="386"/>
      <c r="F1419" s="386"/>
      <c r="G1419" s="386"/>
      <c r="H1419" s="386"/>
      <c r="I1419" s="386"/>
      <c r="J1419" s="386"/>
      <c r="K1419" s="386"/>
      <c r="L1419" s="386"/>
      <c r="M1419" s="484"/>
      <c r="N1419" s="485"/>
      <c r="O1419" s="484"/>
      <c r="P1419" s="481"/>
      <c r="Q1419" s="387"/>
      <c r="R1419" s="416" t="str">
        <f t="shared" si="95"/>
        <v>DELETE</v>
      </c>
    </row>
    <row r="1420" spans="2:18" ht="31.5" customHeight="1" x14ac:dyDescent="0.45">
      <c r="B1420" s="464"/>
      <c r="M1420" s="430">
        <f>Criteria!E22</f>
        <v>2024</v>
      </c>
      <c r="N1420" s="379"/>
      <c r="O1420" s="430">
        <f>Criteria!E27</f>
        <v>2023</v>
      </c>
      <c r="Q1420" s="389"/>
      <c r="R1420" s="416" t="str">
        <f t="shared" si="95"/>
        <v>DELETE</v>
      </c>
    </row>
    <row r="1421" spans="2:18" ht="31.5" customHeight="1" x14ac:dyDescent="0.45">
      <c r="B1421" s="461"/>
      <c r="C1421" s="369"/>
      <c r="M1421" s="434"/>
      <c r="N1421" s="390"/>
      <c r="O1421" s="434"/>
      <c r="Q1421" s="389"/>
      <c r="R1421" s="416" t="str">
        <f t="shared" si="95"/>
        <v>DELETE</v>
      </c>
    </row>
    <row r="1422" spans="2:18" ht="31.5" customHeight="1" x14ac:dyDescent="0.45">
      <c r="B1422" s="461">
        <f>MAX($B$431:B1421)+1</f>
        <v>22</v>
      </c>
      <c r="C1422" s="369" t="str">
        <f>IF(COUNTIF(TrialBalance!N365:N370,"&lt;0")&gt;1,"BANK OVERDRAFTS",IF(COUNTIF(TrialBalance!L365:L370,"&lt;0")&gt;1,"BANK OVERDRAFTS","BANK OVERDRAFT"))</f>
        <v>BANK OVERDRAFT</v>
      </c>
      <c r="M1422" s="434"/>
      <c r="N1422" s="390"/>
      <c r="O1422" s="434"/>
      <c r="Q1422" s="389"/>
      <c r="R1422" s="416" t="str">
        <f t="shared" si="95"/>
        <v>DELETE</v>
      </c>
    </row>
    <row r="1423" spans="2:18" ht="31.5" customHeight="1" x14ac:dyDescent="0.45">
      <c r="B1423" s="461"/>
      <c r="C1423" s="369"/>
      <c r="D1423" s="368">
        <f>TrialBalance!C365</f>
        <v>0</v>
      </c>
      <c r="M1423" s="434">
        <f>IF(TrialBalance!L365&lt;0,-TrialBalance!L365,0)</f>
        <v>0</v>
      </c>
      <c r="N1423" s="390"/>
      <c r="O1423" s="434">
        <f>IF(TrialBalance!N365&lt;0,-TrialBalance!N365,0)</f>
        <v>0</v>
      </c>
      <c r="Q1423" s="389"/>
      <c r="R1423" s="416" t="str">
        <f>IF(M1423+O1423=0,"DELETE"," ")</f>
        <v>DELETE</v>
      </c>
    </row>
    <row r="1424" spans="2:18" ht="31.5" customHeight="1" x14ac:dyDescent="0.45">
      <c r="B1424" s="461"/>
      <c r="C1424" s="369"/>
      <c r="D1424" s="368">
        <f>TrialBalance!C366</f>
        <v>0</v>
      </c>
      <c r="M1424" s="434">
        <f>IF(TrialBalance!L366&lt;0,-TrialBalance!L366,0)</f>
        <v>0</v>
      </c>
      <c r="N1424" s="390"/>
      <c r="O1424" s="434">
        <f>IF(TrialBalance!N366&lt;0,-TrialBalance!N366,0)</f>
        <v>0</v>
      </c>
      <c r="Q1424" s="389"/>
      <c r="R1424" s="416" t="str">
        <f>IF(M1424+O1424=0,"DELETE"," ")</f>
        <v>DELETE</v>
      </c>
    </row>
    <row r="1425" spans="2:18" ht="31.5" customHeight="1" x14ac:dyDescent="0.45">
      <c r="B1425" s="461"/>
      <c r="C1425" s="369"/>
      <c r="D1425" s="368">
        <f>TrialBalance!C367</f>
        <v>0</v>
      </c>
      <c r="M1425" s="434">
        <f>IF(TrialBalance!L367&lt;0,-TrialBalance!L367,0)</f>
        <v>0</v>
      </c>
      <c r="N1425" s="390"/>
      <c r="O1425" s="434">
        <f>IF(TrialBalance!N367&lt;0,-TrialBalance!N367,0)</f>
        <v>0</v>
      </c>
      <c r="Q1425" s="389"/>
      <c r="R1425" s="416" t="str">
        <f>IF(M1425+O1425=0,"DELETE"," ")</f>
        <v>DELETE</v>
      </c>
    </row>
    <row r="1426" spans="2:18" ht="31.5" customHeight="1" x14ac:dyDescent="0.45">
      <c r="B1426" s="461"/>
      <c r="C1426" s="369"/>
      <c r="D1426" s="368">
        <f>TrialBalance!C368</f>
        <v>0</v>
      </c>
      <c r="M1426" s="434">
        <f>IF(TrialBalance!L368&lt;0,-TrialBalance!L368,0)</f>
        <v>0</v>
      </c>
      <c r="N1426" s="390"/>
      <c r="O1426" s="434">
        <f>IF(TrialBalance!N368&lt;0,-TrialBalance!N368,0)</f>
        <v>0</v>
      </c>
      <c r="Q1426" s="389"/>
      <c r="R1426" s="416" t="str">
        <f>IF(M1426+O1426=0,"DELETE"," ")</f>
        <v>DELETE</v>
      </c>
    </row>
    <row r="1427" spans="2:18" ht="31.5" customHeight="1" x14ac:dyDescent="0.45">
      <c r="B1427" s="461"/>
      <c r="C1427" s="369"/>
      <c r="D1427" s="368">
        <f>TrialBalance!C369</f>
        <v>0</v>
      </c>
      <c r="M1427" s="434">
        <f>IF(TrialBalance!L369&lt;0,-TrialBalance!L369,0)</f>
        <v>0</v>
      </c>
      <c r="N1427" s="390"/>
      <c r="O1427" s="434">
        <f>IF(TrialBalance!N369&lt;0,-TrialBalance!N369,0)</f>
        <v>0</v>
      </c>
      <c r="Q1427" s="389"/>
      <c r="R1427" s="416" t="str">
        <f t="shared" ref="R1427:R1428" si="96">IF(M1427+O1427=0,"DELETE"," ")</f>
        <v>DELETE</v>
      </c>
    </row>
    <row r="1428" spans="2:18" ht="31.5" customHeight="1" x14ac:dyDescent="0.45">
      <c r="B1428" s="461"/>
      <c r="C1428" s="369"/>
      <c r="D1428" s="368">
        <f>TrialBalance!C370</f>
        <v>0</v>
      </c>
      <c r="M1428" s="434">
        <f>IF(TrialBalance!L370&lt;0,-TrialBalance!L370,0)</f>
        <v>0</v>
      </c>
      <c r="N1428" s="390"/>
      <c r="O1428" s="434">
        <f>IF(TrialBalance!N370&lt;0,-TrialBalance!N370,0)</f>
        <v>0</v>
      </c>
      <c r="Q1428" s="389"/>
      <c r="R1428" s="416" t="str">
        <f t="shared" si="96"/>
        <v>DELETE</v>
      </c>
    </row>
    <row r="1429" spans="2:18" ht="9" customHeight="1" x14ac:dyDescent="0.45">
      <c r="B1429" s="461"/>
      <c r="C1429" s="369"/>
      <c r="M1429" s="438"/>
      <c r="N1429" s="392"/>
      <c r="O1429" s="438"/>
      <c r="Q1429" s="389"/>
      <c r="R1429" s="416" t="str">
        <f t="shared" ref="R1429:R1437" si="97">R$1431</f>
        <v>DELETE</v>
      </c>
    </row>
    <row r="1430" spans="2:18" ht="9" customHeight="1" x14ac:dyDescent="0.45">
      <c r="B1430" s="461"/>
      <c r="C1430" s="369"/>
      <c r="M1430" s="434"/>
      <c r="N1430" s="390"/>
      <c r="O1430" s="434"/>
      <c r="Q1430" s="389"/>
      <c r="R1430" s="416" t="str">
        <f t="shared" si="97"/>
        <v>DELETE</v>
      </c>
    </row>
    <row r="1431" spans="2:18" ht="31.5" customHeight="1" x14ac:dyDescent="0.45">
      <c r="B1431" s="461"/>
      <c r="C1431" s="369"/>
      <c r="M1431" s="434">
        <f>SUM(M1423:M1430)</f>
        <v>0</v>
      </c>
      <c r="N1431" s="390"/>
      <c r="O1431" s="434">
        <f>SUM(O1423:O1430)</f>
        <v>0</v>
      </c>
      <c r="Q1431" s="389"/>
      <c r="R1431" s="416" t="str">
        <f>IF(M1431+O1431=0,"DELETE"," ")</f>
        <v>DELETE</v>
      </c>
    </row>
    <row r="1432" spans="2:18" ht="9" customHeight="1" thickBot="1" x14ac:dyDescent="0.5">
      <c r="B1432" s="461"/>
      <c r="C1432" s="369"/>
      <c r="M1432" s="439"/>
      <c r="N1432" s="393"/>
      <c r="O1432" s="439"/>
      <c r="Q1432" s="389"/>
      <c r="R1432" s="416" t="str">
        <f t="shared" si="97"/>
        <v>DELETE</v>
      </c>
    </row>
    <row r="1433" spans="2:18" ht="9" customHeight="1" thickTop="1" x14ac:dyDescent="0.45">
      <c r="B1433" s="461"/>
      <c r="C1433" s="369"/>
      <c r="M1433" s="441"/>
      <c r="N1433" s="400"/>
      <c r="O1433" s="441"/>
      <c r="Q1433" s="389"/>
      <c r="R1433" s="416" t="str">
        <f t="shared" si="97"/>
        <v>DELETE</v>
      </c>
    </row>
    <row r="1434" spans="2:18" ht="31.5" customHeight="1" x14ac:dyDescent="0.45">
      <c r="B1434" s="461"/>
      <c r="C1434" s="369"/>
      <c r="M1434" s="434"/>
      <c r="N1434" s="390"/>
      <c r="O1434" s="434"/>
      <c r="Q1434" s="389"/>
      <c r="R1434" s="416" t="str">
        <f t="shared" si="97"/>
        <v>DELETE</v>
      </c>
    </row>
    <row r="1435" spans="2:18" ht="31.5" customHeight="1" x14ac:dyDescent="0.45">
      <c r="B1435" s="461"/>
      <c r="C1435" s="369"/>
      <c r="M1435" s="434"/>
      <c r="N1435" s="390"/>
      <c r="O1435" s="434"/>
      <c r="Q1435" s="389"/>
      <c r="R1435" s="416" t="str">
        <f t="shared" si="97"/>
        <v>DELETE</v>
      </c>
    </row>
    <row r="1436" spans="2:18" ht="31.5" customHeight="1" x14ac:dyDescent="0.45">
      <c r="B1436" s="462"/>
      <c r="C1436" s="407"/>
      <c r="D1436" s="383"/>
      <c r="E1436" s="383"/>
      <c r="F1436" s="383"/>
      <c r="G1436" s="383"/>
      <c r="H1436" s="383"/>
      <c r="I1436" s="383"/>
      <c r="J1436" s="383"/>
      <c r="K1436" s="383"/>
      <c r="L1436" s="383"/>
      <c r="M1436" s="438"/>
      <c r="N1436" s="392"/>
      <c r="O1436" s="438"/>
      <c r="P1436" s="475"/>
      <c r="Q1436" s="398"/>
      <c r="R1436" s="416" t="str">
        <f t="shared" si="97"/>
        <v>DELETE</v>
      </c>
    </row>
    <row r="1437" spans="2:18" ht="31.5" customHeight="1" x14ac:dyDescent="0.45">
      <c r="B1437" s="431"/>
      <c r="M1437" s="479"/>
      <c r="N1437" s="469"/>
      <c r="O1437" s="479"/>
      <c r="R1437" s="416" t="str">
        <f t="shared" si="97"/>
        <v>DELETE</v>
      </c>
    </row>
    <row r="1438" spans="2:18" ht="31.5" customHeight="1" x14ac:dyDescent="0.45">
      <c r="B1438" s="431"/>
      <c r="M1438" s="479"/>
      <c r="N1438" s="469"/>
      <c r="O1438" s="479"/>
      <c r="R1438" s="416" t="str">
        <f>R$1454</f>
        <v>DELETE</v>
      </c>
    </row>
    <row r="1439" spans="2:18" ht="31.5" customHeight="1" x14ac:dyDescent="0.45">
      <c r="B1439" s="431"/>
      <c r="D1439" s="369" t="str">
        <f>Criteria!E9</f>
        <v>ABC TRUST</v>
      </c>
      <c r="M1439" s="479"/>
      <c r="N1439" s="469"/>
      <c r="O1439" s="434" t="s">
        <v>105</v>
      </c>
      <c r="Q1439" s="370">
        <f>MAX($Q$114:Q1438)+1</f>
        <v>31</v>
      </c>
      <c r="R1439" s="416" t="str">
        <f t="shared" ref="R1439:R1448" si="98">R$1454</f>
        <v>DELETE</v>
      </c>
    </row>
    <row r="1440" spans="2:18" ht="31.5" customHeight="1" x14ac:dyDescent="0.45">
      <c r="B1440" s="431"/>
      <c r="D1440" s="369" t="str">
        <f>Criteria!E10</f>
        <v>T/A RENTAL PROPERTIES, SEAFRONT RESTAURANT AND SURF SHOP</v>
      </c>
      <c r="M1440" s="479"/>
      <c r="N1440" s="469"/>
      <c r="O1440" s="479"/>
      <c r="R1440" s="416" t="str">
        <f>IF(R$1454="DELETE","DELETE",IF(D1440=0,"DELETE"," "))</f>
        <v>DELETE</v>
      </c>
    </row>
    <row r="1441" spans="2:23" ht="31.5" customHeight="1" x14ac:dyDescent="0.45">
      <c r="B1441" s="431"/>
      <c r="M1441" s="479"/>
      <c r="N1441" s="469"/>
      <c r="O1441" s="479"/>
      <c r="R1441" s="416" t="str">
        <f t="shared" si="98"/>
        <v>DELETE</v>
      </c>
    </row>
    <row r="1442" spans="2:23" ht="31.5" customHeight="1" x14ac:dyDescent="0.45">
      <c r="B1442" s="431"/>
      <c r="D1442" s="369" t="s">
        <v>383</v>
      </c>
      <c r="M1442" s="479"/>
      <c r="N1442" s="469"/>
      <c r="O1442" s="479"/>
      <c r="R1442" s="416" t="str">
        <f t="shared" si="98"/>
        <v>DELETE</v>
      </c>
    </row>
    <row r="1443" spans="2:23" ht="31.5" customHeight="1" x14ac:dyDescent="0.45">
      <c r="B1443" s="431"/>
      <c r="D1443" s="369" t="str">
        <f>Criteria!E20</f>
        <v>29 FEBRUARY 2024</v>
      </c>
      <c r="J1443" s="368" t="s">
        <v>253</v>
      </c>
      <c r="M1443" s="479"/>
      <c r="N1443" s="469"/>
      <c r="O1443" s="479"/>
      <c r="R1443" s="416" t="str">
        <f t="shared" si="98"/>
        <v>DELETE</v>
      </c>
    </row>
    <row r="1444" spans="2:23" ht="31.5" customHeight="1" x14ac:dyDescent="0.45">
      <c r="B1444" s="431"/>
      <c r="D1444" s="369"/>
      <c r="M1444" s="479"/>
      <c r="N1444" s="469"/>
      <c r="O1444" s="479"/>
      <c r="R1444" s="416" t="str">
        <f t="shared" si="98"/>
        <v>DELETE</v>
      </c>
    </row>
    <row r="1445" spans="2:23" ht="31.5" customHeight="1" x14ac:dyDescent="0.45">
      <c r="B1445" s="465"/>
      <c r="C1445" s="410"/>
      <c r="D1445" s="386"/>
      <c r="E1445" s="386"/>
      <c r="F1445" s="386"/>
      <c r="G1445" s="386"/>
      <c r="H1445" s="386"/>
      <c r="I1445" s="386"/>
      <c r="J1445" s="386"/>
      <c r="K1445" s="386"/>
      <c r="L1445" s="386"/>
      <c r="M1445" s="446"/>
      <c r="N1445" s="391"/>
      <c r="O1445" s="446"/>
      <c r="P1445" s="481"/>
      <c r="Q1445" s="387"/>
      <c r="R1445" s="416" t="str">
        <f t="shared" si="98"/>
        <v>DELETE</v>
      </c>
    </row>
    <row r="1446" spans="2:23" ht="31.5" customHeight="1" x14ac:dyDescent="0.45">
      <c r="B1446" s="461"/>
      <c r="C1446" s="369"/>
      <c r="M1446" s="430">
        <f>Criteria!E22</f>
        <v>2024</v>
      </c>
      <c r="N1446" s="379"/>
      <c r="O1446" s="430">
        <f>Criteria!E27</f>
        <v>2023</v>
      </c>
      <c r="Q1446" s="389"/>
      <c r="R1446" s="416" t="str">
        <f t="shared" si="98"/>
        <v>DELETE</v>
      </c>
    </row>
    <row r="1447" spans="2:23" ht="31.5" customHeight="1" x14ac:dyDescent="0.45">
      <c r="B1447" s="461"/>
      <c r="C1447" s="369"/>
      <c r="M1447" s="434"/>
      <c r="N1447" s="390"/>
      <c r="O1447" s="434"/>
      <c r="Q1447" s="389"/>
      <c r="R1447" s="416" t="str">
        <f t="shared" si="98"/>
        <v>DELETE</v>
      </c>
    </row>
    <row r="1448" spans="2:23" ht="31.5" customHeight="1" x14ac:dyDescent="0.45">
      <c r="B1448" s="461">
        <f>MAX($B$431:B1447)+1</f>
        <v>23</v>
      </c>
      <c r="C1448" s="369" t="str">
        <f>IF(COUNTIF(TrialBalance!N373:N375,"&lt;0")&gt;1,"SHORT TERM LOANS",IF(COUNTIF(TrialBalance!L373:L375,"&lt;0")&gt;1,"SHORT TERM LOANS","SHORT TERM LOAN"))</f>
        <v>SHORT TERM LOAN</v>
      </c>
      <c r="M1448" s="434"/>
      <c r="N1448" s="390"/>
      <c r="O1448" s="434"/>
      <c r="Q1448" s="389"/>
      <c r="R1448" s="416" t="str">
        <f t="shared" si="98"/>
        <v>DELETE</v>
      </c>
    </row>
    <row r="1449" spans="2:23" ht="31.5" customHeight="1" x14ac:dyDescent="0.45">
      <c r="B1449" s="461"/>
      <c r="C1449" s="369"/>
      <c r="D1449" s="368">
        <f>TrialBalance!C373</f>
        <v>0</v>
      </c>
      <c r="M1449" s="434">
        <f>-TrialBalance!L373</f>
        <v>0</v>
      </c>
      <c r="N1449" s="390"/>
      <c r="O1449" s="434">
        <f>-TrialBalance!N373</f>
        <v>0</v>
      </c>
      <c r="Q1449" s="389"/>
      <c r="R1449" s="416" t="str">
        <f>IF(M1449+O1449=0,"DELETE"," ")</f>
        <v>DELETE</v>
      </c>
      <c r="S1449" s="421"/>
      <c r="T1449" s="421"/>
      <c r="U1449" s="421"/>
      <c r="V1449" s="425"/>
      <c r="W1449" s="425"/>
    </row>
    <row r="1450" spans="2:23" ht="31.5" customHeight="1" x14ac:dyDescent="0.45">
      <c r="B1450" s="461"/>
      <c r="C1450" s="369"/>
      <c r="D1450" s="368">
        <f>TrialBalance!C374</f>
        <v>0</v>
      </c>
      <c r="M1450" s="434">
        <f>-TrialBalance!L374</f>
        <v>0</v>
      </c>
      <c r="N1450" s="390"/>
      <c r="O1450" s="434">
        <f>-TrialBalance!N374</f>
        <v>0</v>
      </c>
      <c r="Q1450" s="389"/>
      <c r="R1450" s="416" t="str">
        <f>IF(M1450+O1450=0,"DELETE"," ")</f>
        <v>DELETE</v>
      </c>
      <c r="S1450" s="421"/>
      <c r="T1450" s="421"/>
      <c r="U1450" s="421"/>
      <c r="V1450" s="425"/>
      <c r="W1450" s="425"/>
    </row>
    <row r="1451" spans="2:23" ht="31.5" customHeight="1" x14ac:dyDescent="0.45">
      <c r="B1451" s="461"/>
      <c r="C1451" s="369"/>
      <c r="D1451" s="368">
        <f>TrialBalance!C375</f>
        <v>0</v>
      </c>
      <c r="M1451" s="434">
        <f>-TrialBalance!L375</f>
        <v>0</v>
      </c>
      <c r="N1451" s="390"/>
      <c r="O1451" s="434">
        <f>-TrialBalance!N375</f>
        <v>0</v>
      </c>
      <c r="Q1451" s="389"/>
      <c r="R1451" s="416" t="str">
        <f>IF(M1451+O1451=0,"DELETE"," ")</f>
        <v>DELETE</v>
      </c>
      <c r="S1451" s="421"/>
      <c r="T1451" s="421"/>
      <c r="U1451" s="421"/>
      <c r="V1451" s="425"/>
      <c r="W1451" s="425"/>
    </row>
    <row r="1452" spans="2:23" ht="9" customHeight="1" x14ac:dyDescent="0.45">
      <c r="B1452" s="461"/>
      <c r="C1452" s="369"/>
      <c r="M1452" s="438"/>
      <c r="N1452" s="392"/>
      <c r="O1452" s="438"/>
      <c r="Q1452" s="389"/>
      <c r="R1452" s="416" t="str">
        <f t="shared" ref="R1452:R1460" si="99">R$1454</f>
        <v>DELETE</v>
      </c>
    </row>
    <row r="1453" spans="2:23" ht="9" customHeight="1" x14ac:dyDescent="0.45">
      <c r="B1453" s="461"/>
      <c r="C1453" s="369"/>
      <c r="M1453" s="434"/>
      <c r="N1453" s="390"/>
      <c r="O1453" s="434"/>
      <c r="Q1453" s="389"/>
      <c r="R1453" s="416" t="str">
        <f t="shared" si="99"/>
        <v>DELETE</v>
      </c>
    </row>
    <row r="1454" spans="2:23" ht="31.5" customHeight="1" x14ac:dyDescent="0.45">
      <c r="B1454" s="461"/>
      <c r="C1454" s="369"/>
      <c r="M1454" s="434">
        <f>SUM(M1449:M1453)</f>
        <v>0</v>
      </c>
      <c r="N1454" s="390"/>
      <c r="O1454" s="434">
        <f>SUM(O1449:O1453)</f>
        <v>0</v>
      </c>
      <c r="Q1454" s="389"/>
      <c r="R1454" s="416" t="str">
        <f>IF(M1454+O1454=0,"DELETE"," ")</f>
        <v>DELETE</v>
      </c>
    </row>
    <row r="1455" spans="2:23" ht="9" customHeight="1" thickBot="1" x14ac:dyDescent="0.5">
      <c r="B1455" s="461"/>
      <c r="C1455" s="369"/>
      <c r="M1455" s="439"/>
      <c r="N1455" s="393"/>
      <c r="O1455" s="439"/>
      <c r="Q1455" s="389"/>
      <c r="R1455" s="416" t="str">
        <f t="shared" si="99"/>
        <v>DELETE</v>
      </c>
    </row>
    <row r="1456" spans="2:23" ht="9" customHeight="1" thickTop="1" x14ac:dyDescent="0.45">
      <c r="B1456" s="461"/>
      <c r="C1456" s="369"/>
      <c r="M1456" s="441"/>
      <c r="N1456" s="400"/>
      <c r="O1456" s="441"/>
      <c r="Q1456" s="389"/>
      <c r="R1456" s="416" t="str">
        <f t="shared" si="99"/>
        <v>DELETE</v>
      </c>
    </row>
    <row r="1457" spans="2:18" ht="31.5" customHeight="1" x14ac:dyDescent="0.45">
      <c r="B1457" s="461"/>
      <c r="C1457" s="369"/>
      <c r="M1457" s="434"/>
      <c r="N1457" s="390"/>
      <c r="O1457" s="434"/>
      <c r="Q1457" s="389"/>
      <c r="R1457" s="416" t="str">
        <f t="shared" si="99"/>
        <v>DELETE</v>
      </c>
    </row>
    <row r="1458" spans="2:18" ht="31.5" customHeight="1" x14ac:dyDescent="0.45">
      <c r="B1458" s="461"/>
      <c r="C1458" s="369"/>
      <c r="M1458" s="434"/>
      <c r="N1458" s="390"/>
      <c r="O1458" s="434"/>
      <c r="Q1458" s="389"/>
      <c r="R1458" s="416" t="str">
        <f t="shared" si="99"/>
        <v>DELETE</v>
      </c>
    </row>
    <row r="1459" spans="2:18" ht="31.5" customHeight="1" x14ac:dyDescent="0.45">
      <c r="B1459" s="462"/>
      <c r="C1459" s="407"/>
      <c r="D1459" s="383"/>
      <c r="E1459" s="383"/>
      <c r="F1459" s="383"/>
      <c r="G1459" s="383"/>
      <c r="H1459" s="383"/>
      <c r="I1459" s="383"/>
      <c r="J1459" s="383"/>
      <c r="K1459" s="383"/>
      <c r="L1459" s="383"/>
      <c r="M1459" s="438"/>
      <c r="N1459" s="392"/>
      <c r="O1459" s="438"/>
      <c r="P1459" s="475"/>
      <c r="Q1459" s="398"/>
      <c r="R1459" s="416" t="str">
        <f t="shared" si="99"/>
        <v>DELETE</v>
      </c>
    </row>
    <row r="1460" spans="2:18" ht="31.5" customHeight="1" x14ac:dyDescent="0.45">
      <c r="B1460" s="431"/>
      <c r="M1460" s="479"/>
      <c r="N1460" s="469"/>
      <c r="O1460" s="479"/>
      <c r="R1460" s="416" t="str">
        <f t="shared" si="99"/>
        <v>DELETE</v>
      </c>
    </row>
    <row r="1461" spans="2:18" ht="31.5" customHeight="1" x14ac:dyDescent="0.45">
      <c r="B1461" s="431"/>
      <c r="M1461" s="479"/>
      <c r="N1461" s="469"/>
      <c r="O1461" s="479"/>
      <c r="R1461" s="416" t="str">
        <f>R$1477</f>
        <v>DELETE</v>
      </c>
    </row>
    <row r="1462" spans="2:18" ht="31.5" customHeight="1" x14ac:dyDescent="0.45">
      <c r="B1462" s="431"/>
      <c r="D1462" s="369" t="str">
        <f>Criteria!E9</f>
        <v>ABC TRUST</v>
      </c>
      <c r="M1462" s="479"/>
      <c r="N1462" s="469"/>
      <c r="O1462" s="434" t="s">
        <v>105</v>
      </c>
      <c r="Q1462" s="370">
        <f>MAX($Q$114:Q1461)+1</f>
        <v>32</v>
      </c>
      <c r="R1462" s="416" t="str">
        <f t="shared" ref="R1462:R1471" si="100">R$1477</f>
        <v>DELETE</v>
      </c>
    </row>
    <row r="1463" spans="2:18" ht="31.5" customHeight="1" x14ac:dyDescent="0.45">
      <c r="B1463" s="431"/>
      <c r="D1463" s="369" t="str">
        <f>Criteria!E10</f>
        <v>T/A RENTAL PROPERTIES, SEAFRONT RESTAURANT AND SURF SHOP</v>
      </c>
      <c r="M1463" s="479"/>
      <c r="N1463" s="469"/>
      <c r="O1463" s="479"/>
      <c r="R1463" s="416" t="str">
        <f>IF(R$1477="DELETE","DELETE",IF(D1463=0,"DELETE"," "))</f>
        <v>DELETE</v>
      </c>
    </row>
    <row r="1464" spans="2:18" ht="31.5" customHeight="1" x14ac:dyDescent="0.45">
      <c r="B1464" s="431"/>
      <c r="M1464" s="479"/>
      <c r="N1464" s="469"/>
      <c r="O1464" s="479"/>
      <c r="R1464" s="416" t="str">
        <f t="shared" si="100"/>
        <v>DELETE</v>
      </c>
    </row>
    <row r="1465" spans="2:18" ht="31.5" customHeight="1" x14ac:dyDescent="0.45">
      <c r="B1465" s="431"/>
      <c r="D1465" s="369" t="s">
        <v>383</v>
      </c>
      <c r="M1465" s="479"/>
      <c r="N1465" s="469"/>
      <c r="O1465" s="479"/>
      <c r="R1465" s="416" t="str">
        <f t="shared" si="100"/>
        <v>DELETE</v>
      </c>
    </row>
    <row r="1466" spans="2:18" ht="31.5" customHeight="1" x14ac:dyDescent="0.45">
      <c r="B1466" s="431"/>
      <c r="D1466" s="369" t="str">
        <f>Criteria!E20</f>
        <v>29 FEBRUARY 2024</v>
      </c>
      <c r="J1466" s="368" t="s">
        <v>253</v>
      </c>
      <c r="M1466" s="479"/>
      <c r="N1466" s="469"/>
      <c r="O1466" s="479"/>
      <c r="R1466" s="416" t="str">
        <f t="shared" si="100"/>
        <v>DELETE</v>
      </c>
    </row>
    <row r="1467" spans="2:18" ht="31.5" customHeight="1" x14ac:dyDescent="0.45">
      <c r="B1467" s="431"/>
      <c r="D1467" s="369"/>
      <c r="M1467" s="479"/>
      <c r="N1467" s="469"/>
      <c r="O1467" s="479"/>
      <c r="R1467" s="416" t="str">
        <f t="shared" si="100"/>
        <v>DELETE</v>
      </c>
    </row>
    <row r="1468" spans="2:18" ht="31.5" customHeight="1" x14ac:dyDescent="0.45">
      <c r="B1468" s="465"/>
      <c r="C1468" s="410"/>
      <c r="D1468" s="386"/>
      <c r="E1468" s="386"/>
      <c r="F1468" s="386"/>
      <c r="G1468" s="386"/>
      <c r="H1468" s="386"/>
      <c r="I1468" s="386"/>
      <c r="J1468" s="386"/>
      <c r="K1468" s="386"/>
      <c r="L1468" s="386"/>
      <c r="M1468" s="446"/>
      <c r="N1468" s="391"/>
      <c r="O1468" s="446"/>
      <c r="P1468" s="481"/>
      <c r="Q1468" s="387"/>
      <c r="R1468" s="416" t="str">
        <f t="shared" si="100"/>
        <v>DELETE</v>
      </c>
    </row>
    <row r="1469" spans="2:18" ht="31.5" customHeight="1" x14ac:dyDescent="0.45">
      <c r="B1469" s="461"/>
      <c r="C1469" s="369"/>
      <c r="M1469" s="430">
        <f>Criteria!E22</f>
        <v>2024</v>
      </c>
      <c r="N1469" s="379"/>
      <c r="O1469" s="430">
        <f>Criteria!E27</f>
        <v>2023</v>
      </c>
      <c r="Q1469" s="389"/>
      <c r="R1469" s="416" t="str">
        <f t="shared" si="100"/>
        <v>DELETE</v>
      </c>
    </row>
    <row r="1470" spans="2:18" ht="31.5" customHeight="1" x14ac:dyDescent="0.45">
      <c r="B1470" s="461"/>
      <c r="C1470" s="369"/>
      <c r="M1470" s="434"/>
      <c r="N1470" s="390"/>
      <c r="O1470" s="434"/>
      <c r="Q1470" s="389"/>
      <c r="R1470" s="416" t="str">
        <f t="shared" si="100"/>
        <v>DELETE</v>
      </c>
    </row>
    <row r="1471" spans="2:18" ht="31.5" customHeight="1" x14ac:dyDescent="0.45">
      <c r="B1471" s="461">
        <f>MAX($B$431:B1470)+1</f>
        <v>24</v>
      </c>
      <c r="C1471" s="369" t="str">
        <f>IF(COUNTIF(TrialBalance!N391:N393,"&lt;0")&gt;1,"PROVISIONS",IF(COUNTIF(TrialBalance!L391:L393,"&lt;0")&gt;1,"PROVISIONS","PROVISION"))</f>
        <v>PROVISION</v>
      </c>
      <c r="M1471" s="434"/>
      <c r="N1471" s="390"/>
      <c r="O1471" s="434"/>
      <c r="Q1471" s="389"/>
      <c r="R1471" s="416" t="str">
        <f t="shared" si="100"/>
        <v>DELETE</v>
      </c>
    </row>
    <row r="1472" spans="2:18" ht="31.5" customHeight="1" x14ac:dyDescent="0.45">
      <c r="B1472" s="461"/>
      <c r="C1472" s="369"/>
      <c r="D1472" s="368" t="str">
        <f>TrialBalance!C391</f>
        <v>Provision for future expenses</v>
      </c>
      <c r="M1472" s="434">
        <f>-TrialBalance!L391</f>
        <v>0</v>
      </c>
      <c r="N1472" s="390"/>
      <c r="O1472" s="434">
        <f>-TrialBalance!N391</f>
        <v>0</v>
      </c>
      <c r="Q1472" s="389"/>
      <c r="R1472" s="416" t="str">
        <f>IF(M1472+O1472=0,"DELETE"," ")</f>
        <v>DELETE</v>
      </c>
    </row>
    <row r="1473" spans="2:18" ht="31.5" customHeight="1" x14ac:dyDescent="0.45">
      <c r="B1473" s="461"/>
      <c r="C1473" s="369"/>
      <c r="D1473" s="368" t="str">
        <f>TrialBalance!C392</f>
        <v>Provision for insurance</v>
      </c>
      <c r="M1473" s="434">
        <f>-TrialBalance!L392</f>
        <v>0</v>
      </c>
      <c r="N1473" s="390"/>
      <c r="O1473" s="434">
        <f>-TrialBalance!N392</f>
        <v>0</v>
      </c>
      <c r="Q1473" s="389"/>
      <c r="R1473" s="416" t="str">
        <f>IF(M1473+O1473=0,"DELETE"," ")</f>
        <v>DELETE</v>
      </c>
    </row>
    <row r="1474" spans="2:18" ht="31.5" customHeight="1" x14ac:dyDescent="0.45">
      <c r="B1474" s="461"/>
      <c r="C1474" s="369"/>
      <c r="D1474" s="368" t="str">
        <f>TrialBalance!C393</f>
        <v>Provision for salary bonus</v>
      </c>
      <c r="M1474" s="434">
        <f>-TrialBalance!L393</f>
        <v>0</v>
      </c>
      <c r="N1474" s="390"/>
      <c r="O1474" s="434">
        <f>-TrialBalance!N393</f>
        <v>0</v>
      </c>
      <c r="Q1474" s="389"/>
      <c r="R1474" s="416" t="str">
        <f>IF(M1474+O1474=0,"DELETE"," ")</f>
        <v>DELETE</v>
      </c>
    </row>
    <row r="1475" spans="2:18" ht="9" customHeight="1" x14ac:dyDescent="0.45">
      <c r="B1475" s="461"/>
      <c r="C1475" s="369"/>
      <c r="M1475" s="438"/>
      <c r="N1475" s="392"/>
      <c r="O1475" s="438"/>
      <c r="Q1475" s="389"/>
      <c r="R1475" s="416" t="str">
        <f t="shared" ref="R1475:R1483" si="101">R$1477</f>
        <v>DELETE</v>
      </c>
    </row>
    <row r="1476" spans="2:18" ht="9" customHeight="1" x14ac:dyDescent="0.45">
      <c r="B1476" s="461"/>
      <c r="C1476" s="369"/>
      <c r="M1476" s="434"/>
      <c r="N1476" s="390"/>
      <c r="O1476" s="434"/>
      <c r="Q1476" s="389"/>
      <c r="R1476" s="416" t="str">
        <f t="shared" si="101"/>
        <v>DELETE</v>
      </c>
    </row>
    <row r="1477" spans="2:18" ht="31.5" customHeight="1" x14ac:dyDescent="0.45">
      <c r="B1477" s="461"/>
      <c r="C1477" s="369"/>
      <c r="M1477" s="434">
        <f>SUM(M1472:M1476)</f>
        <v>0</v>
      </c>
      <c r="N1477" s="390"/>
      <c r="O1477" s="434">
        <f>SUM(O1472:O1476)</f>
        <v>0</v>
      </c>
      <c r="Q1477" s="389"/>
      <c r="R1477" s="416" t="str">
        <f>IF(M1477+O1477=0,"DELETE"," ")</f>
        <v>DELETE</v>
      </c>
    </row>
    <row r="1478" spans="2:18" ht="9" customHeight="1" thickBot="1" x14ac:dyDescent="0.5">
      <c r="B1478" s="461"/>
      <c r="C1478" s="369"/>
      <c r="M1478" s="439"/>
      <c r="N1478" s="393"/>
      <c r="O1478" s="439"/>
      <c r="Q1478" s="389"/>
      <c r="R1478" s="416" t="str">
        <f t="shared" si="101"/>
        <v>DELETE</v>
      </c>
    </row>
    <row r="1479" spans="2:18" ht="9" customHeight="1" thickTop="1" x14ac:dyDescent="0.45">
      <c r="B1479" s="461"/>
      <c r="C1479" s="369"/>
      <c r="M1479" s="441"/>
      <c r="N1479" s="400"/>
      <c r="O1479" s="441"/>
      <c r="Q1479" s="389"/>
      <c r="R1479" s="416" t="str">
        <f t="shared" si="101"/>
        <v>DELETE</v>
      </c>
    </row>
    <row r="1480" spans="2:18" ht="31.5" customHeight="1" x14ac:dyDescent="0.45">
      <c r="B1480" s="461"/>
      <c r="C1480" s="369"/>
      <c r="M1480" s="434"/>
      <c r="N1480" s="390"/>
      <c r="O1480" s="434"/>
      <c r="Q1480" s="389"/>
      <c r="R1480" s="416" t="str">
        <f t="shared" si="101"/>
        <v>DELETE</v>
      </c>
    </row>
    <row r="1481" spans="2:18" ht="31.5" customHeight="1" x14ac:dyDescent="0.45">
      <c r="B1481" s="461"/>
      <c r="C1481" s="369"/>
      <c r="M1481" s="434"/>
      <c r="N1481" s="390"/>
      <c r="O1481" s="434"/>
      <c r="Q1481" s="389"/>
      <c r="R1481" s="416" t="str">
        <f t="shared" si="101"/>
        <v>DELETE</v>
      </c>
    </row>
    <row r="1482" spans="2:18" ht="31.5" customHeight="1" x14ac:dyDescent="0.45">
      <c r="B1482" s="462"/>
      <c r="C1482" s="407"/>
      <c r="D1482" s="383"/>
      <c r="E1482" s="383"/>
      <c r="F1482" s="383"/>
      <c r="G1482" s="383"/>
      <c r="H1482" s="383"/>
      <c r="I1482" s="383"/>
      <c r="J1482" s="383"/>
      <c r="K1482" s="383"/>
      <c r="L1482" s="383"/>
      <c r="M1482" s="438"/>
      <c r="N1482" s="392"/>
      <c r="O1482" s="438"/>
      <c r="P1482" s="475"/>
      <c r="Q1482" s="398"/>
      <c r="R1482" s="416" t="str">
        <f t="shared" si="101"/>
        <v>DELETE</v>
      </c>
    </row>
    <row r="1483" spans="2:18" ht="31.5" customHeight="1" x14ac:dyDescent="0.45">
      <c r="B1483" s="445"/>
      <c r="C1483" s="369"/>
      <c r="M1483" s="434"/>
      <c r="N1483" s="390"/>
      <c r="O1483" s="434"/>
      <c r="R1483" s="416" t="str">
        <f t="shared" si="101"/>
        <v>DELETE</v>
      </c>
    </row>
    <row r="1484" spans="2:18" ht="31.5" customHeight="1" x14ac:dyDescent="0.45">
      <c r="B1484" s="445"/>
      <c r="C1484" s="369"/>
      <c r="M1484" s="434"/>
      <c r="N1484" s="390"/>
      <c r="O1484" s="434"/>
      <c r="R1484" s="416" t="str">
        <f t="shared" ref="R1484:R1494" si="102">R$1504</f>
        <v>DELETE</v>
      </c>
    </row>
    <row r="1485" spans="2:18" ht="31.5" customHeight="1" x14ac:dyDescent="0.45">
      <c r="B1485" s="445"/>
      <c r="C1485" s="369"/>
      <c r="D1485" s="369" t="str">
        <f>Criteria!E9</f>
        <v>ABC TRUST</v>
      </c>
      <c r="M1485" s="479"/>
      <c r="N1485" s="469"/>
      <c r="O1485" s="434" t="s">
        <v>105</v>
      </c>
      <c r="Q1485" s="370">
        <f>MAX($Q$114:Q1484)+1</f>
        <v>33</v>
      </c>
      <c r="R1485" s="416" t="str">
        <f t="shared" si="102"/>
        <v>DELETE</v>
      </c>
    </row>
    <row r="1486" spans="2:18" ht="31.5" customHeight="1" x14ac:dyDescent="0.45">
      <c r="B1486" s="445"/>
      <c r="C1486" s="369"/>
      <c r="D1486" s="369" t="str">
        <f>Criteria!E10</f>
        <v>T/A RENTAL PROPERTIES, SEAFRONT RESTAURANT AND SURF SHOP</v>
      </c>
      <c r="M1486" s="479"/>
      <c r="N1486" s="469"/>
      <c r="O1486" s="479"/>
      <c r="R1486" s="416" t="str">
        <f>IF(R$1504="DELETE","DELETE",IF(D1486=0,"DELETE"," "))</f>
        <v>DELETE</v>
      </c>
    </row>
    <row r="1487" spans="2:18" ht="31.5" customHeight="1" x14ac:dyDescent="0.45">
      <c r="B1487" s="445"/>
      <c r="C1487" s="369"/>
      <c r="M1487" s="479"/>
      <c r="N1487" s="469"/>
      <c r="O1487" s="479"/>
      <c r="R1487" s="416" t="str">
        <f t="shared" si="102"/>
        <v>DELETE</v>
      </c>
    </row>
    <row r="1488" spans="2:18" ht="31.5" customHeight="1" x14ac:dyDescent="0.45">
      <c r="B1488" s="445"/>
      <c r="C1488" s="369"/>
      <c r="D1488" s="369" t="s">
        <v>383</v>
      </c>
      <c r="M1488" s="479"/>
      <c r="N1488" s="469"/>
      <c r="O1488" s="479"/>
      <c r="R1488" s="416" t="str">
        <f t="shared" si="102"/>
        <v>DELETE</v>
      </c>
    </row>
    <row r="1489" spans="2:26" ht="31.5" customHeight="1" x14ac:dyDescent="0.45">
      <c r="B1489" s="445"/>
      <c r="C1489" s="369"/>
      <c r="D1489" s="369" t="str">
        <f>Criteria!E20</f>
        <v>29 FEBRUARY 2024</v>
      </c>
      <c r="J1489" s="368" t="s">
        <v>253</v>
      </c>
      <c r="M1489" s="479"/>
      <c r="N1489" s="469"/>
      <c r="O1489" s="479"/>
      <c r="R1489" s="416" t="str">
        <f t="shared" si="102"/>
        <v>DELETE</v>
      </c>
    </row>
    <row r="1490" spans="2:26" ht="31.5" customHeight="1" x14ac:dyDescent="0.45">
      <c r="B1490" s="445"/>
      <c r="C1490" s="369"/>
      <c r="M1490" s="434"/>
      <c r="N1490" s="390"/>
      <c r="O1490" s="434"/>
      <c r="R1490" s="416" t="str">
        <f t="shared" si="102"/>
        <v>DELETE</v>
      </c>
    </row>
    <row r="1491" spans="2:26" ht="31.5" customHeight="1" x14ac:dyDescent="0.45">
      <c r="B1491" s="465"/>
      <c r="C1491" s="410"/>
      <c r="D1491" s="386"/>
      <c r="E1491" s="386"/>
      <c r="F1491" s="386"/>
      <c r="G1491" s="386"/>
      <c r="H1491" s="386"/>
      <c r="I1491" s="386"/>
      <c r="J1491" s="386"/>
      <c r="K1491" s="386"/>
      <c r="L1491" s="386"/>
      <c r="M1491" s="446"/>
      <c r="N1491" s="391"/>
      <c r="O1491" s="446"/>
      <c r="P1491" s="481"/>
      <c r="Q1491" s="387"/>
      <c r="R1491" s="416" t="str">
        <f t="shared" si="102"/>
        <v>DELETE</v>
      </c>
    </row>
    <row r="1492" spans="2:26" ht="31.5" customHeight="1" x14ac:dyDescent="0.45">
      <c r="B1492" s="461"/>
      <c r="C1492" s="369"/>
      <c r="M1492" s="430">
        <f>Criteria!E22</f>
        <v>2024</v>
      </c>
      <c r="N1492" s="379"/>
      <c r="O1492" s="430">
        <f>Criteria!E27</f>
        <v>2023</v>
      </c>
      <c r="P1492" s="478"/>
      <c r="Q1492" s="389"/>
      <c r="R1492" s="416" t="str">
        <f t="shared" si="102"/>
        <v>DELETE</v>
      </c>
    </row>
    <row r="1493" spans="2:26" ht="31.5" customHeight="1" x14ac:dyDescent="0.45">
      <c r="B1493" s="461"/>
      <c r="C1493" s="369"/>
      <c r="M1493" s="441"/>
      <c r="N1493" s="400"/>
      <c r="O1493" s="441"/>
      <c r="P1493" s="478"/>
      <c r="Q1493" s="389"/>
      <c r="R1493" s="416" t="str">
        <f t="shared" si="102"/>
        <v>DELETE</v>
      </c>
    </row>
    <row r="1494" spans="2:26" ht="31.5" customHeight="1" x14ac:dyDescent="0.45">
      <c r="B1494" s="461">
        <f>MAX($B$431:B1493)+1</f>
        <v>25</v>
      </c>
      <c r="C1494" s="411" t="str">
        <f>IF((Y1494+Z1494)=3,"CURRENT TAX LIABILITY/(ASSET)",(IF((Y1494+Z1494=4),"CURRENT TAX LIABILITY","CURRENT TAX ASSET")))</f>
        <v>CURRENT TAX LIABILITY</v>
      </c>
      <c r="D1494" s="372"/>
      <c r="M1494" s="441"/>
      <c r="N1494" s="400"/>
      <c r="O1494" s="441"/>
      <c r="P1494" s="478"/>
      <c r="Q1494" s="389"/>
      <c r="R1494" s="416" t="str">
        <f t="shared" si="102"/>
        <v>DELETE</v>
      </c>
      <c r="Y1494" s="417">
        <f>IF(M1504&lt;0,1,IF(M1504=0,IF(O1504&lt;0,1,2),2))</f>
        <v>2</v>
      </c>
      <c r="Z1494" s="417">
        <f>IF(O1504&lt;0,1,IF(O1504=0,IF(M1504&lt;0,1,2),2))</f>
        <v>2</v>
      </c>
    </row>
    <row r="1495" spans="2:26" ht="31.5" customHeight="1" x14ac:dyDescent="0.45">
      <c r="B1495" s="461"/>
      <c r="C1495" s="369"/>
      <c r="D1495" s="384" t="str">
        <f>IF((Y1495+Z1495)=3,"Current tax liability/(asset) at the beginning of the year",(IF((Y1495+Z1495=4),"Current tax liability at the beginning of the year","Current tax asset at the beginning of the year")))</f>
        <v>Current tax liability at the beginning of the year</v>
      </c>
      <c r="M1495" s="441">
        <f>-TrialBalance!L384</f>
        <v>0</v>
      </c>
      <c r="N1495" s="400"/>
      <c r="O1495" s="441">
        <f>-TrialBalance!N384</f>
        <v>0</v>
      </c>
      <c r="P1495" s="478"/>
      <c r="Q1495" s="389"/>
      <c r="R1495" s="416" t="str">
        <f>IF(M1495=0,IF(O1495=0,"DELETE"," ")," ")</f>
        <v>DELETE</v>
      </c>
      <c r="V1495" s="417" t="b">
        <f>M1495=O1504</f>
        <v>1</v>
      </c>
      <c r="Y1495" s="417">
        <f>IF(M1495&lt;0,1,IF(M1495=0,IF(O1495&lt;0,1,2),2))</f>
        <v>2</v>
      </c>
      <c r="Z1495" s="417">
        <f>IF(O1495&lt;0,1,IF(O1495=0,IF(M1495&lt;0,1,2),2))</f>
        <v>2</v>
      </c>
    </row>
    <row r="1496" spans="2:26" ht="31.5" customHeight="1" x14ac:dyDescent="0.45">
      <c r="B1496" s="461"/>
      <c r="C1496" s="369"/>
      <c r="D1496" s="368" t="s">
        <v>1185</v>
      </c>
      <c r="M1496" s="441">
        <f>-TrialBalance!L385</f>
        <v>0</v>
      </c>
      <c r="N1496" s="400"/>
      <c r="O1496" s="441">
        <f>-TrialBalance!N385</f>
        <v>0</v>
      </c>
      <c r="P1496" s="478"/>
      <c r="Q1496" s="389"/>
      <c r="R1496" s="416" t="str">
        <f t="shared" ref="R1496:R1501" si="103">IF(M1496=0,IF(O1496=0,"DELETE"," ")," ")</f>
        <v>DELETE</v>
      </c>
      <c r="V1496" s="417" t="b">
        <f>M1496=M777</f>
        <v>1</v>
      </c>
      <c r="X1496" s="417" t="b">
        <f>O1496=O777</f>
        <v>1</v>
      </c>
    </row>
    <row r="1497" spans="2:26" ht="31.5" customHeight="1" x14ac:dyDescent="0.45">
      <c r="B1497" s="461"/>
      <c r="C1497" s="369"/>
      <c r="D1497" s="368" t="s">
        <v>1186</v>
      </c>
      <c r="M1497" s="441">
        <f>-TrialBalance!L386</f>
        <v>0</v>
      </c>
      <c r="N1497" s="400"/>
      <c r="O1497" s="441">
        <f>-TrialBalance!N386</f>
        <v>0</v>
      </c>
      <c r="P1497" s="478"/>
      <c r="Q1497" s="389"/>
      <c r="R1497" s="416" t="str">
        <f t="shared" si="103"/>
        <v>DELETE</v>
      </c>
      <c r="V1497" s="417" t="b">
        <f>M1497=M778</f>
        <v>1</v>
      </c>
      <c r="X1497" s="417" t="b">
        <f>O1497=O778</f>
        <v>1</v>
      </c>
    </row>
    <row r="1498" spans="2:26" ht="31.5" customHeight="1" x14ac:dyDescent="0.45">
      <c r="B1498" s="461"/>
      <c r="C1498" s="369"/>
      <c r="D1498" s="368" t="s">
        <v>1187</v>
      </c>
      <c r="M1498" s="441">
        <f>-TrialBalance!L387</f>
        <v>0</v>
      </c>
      <c r="N1498" s="400"/>
      <c r="O1498" s="441">
        <f>-TrialBalance!N387</f>
        <v>0</v>
      </c>
      <c r="P1498" s="478"/>
      <c r="Q1498" s="389"/>
      <c r="R1498" s="416" t="str">
        <f t="shared" si="103"/>
        <v>DELETE</v>
      </c>
    </row>
    <row r="1499" spans="2:26" ht="31.5" customHeight="1" x14ac:dyDescent="0.45">
      <c r="B1499" s="461"/>
      <c r="C1499" s="369"/>
      <c r="D1499" s="368" t="s">
        <v>1188</v>
      </c>
      <c r="M1499" s="441">
        <f>-TrialBalance!L388</f>
        <v>0</v>
      </c>
      <c r="N1499" s="400"/>
      <c r="O1499" s="441">
        <f>-TrialBalance!N388</f>
        <v>0</v>
      </c>
      <c r="P1499" s="478"/>
      <c r="Q1499" s="389"/>
      <c r="R1499" s="416" t="str">
        <f t="shared" si="103"/>
        <v>DELETE</v>
      </c>
    </row>
    <row r="1500" spans="2:26" ht="31.5" customHeight="1" x14ac:dyDescent="0.45">
      <c r="B1500" s="461"/>
      <c r="C1500" s="369"/>
      <c r="D1500" s="368" t="s">
        <v>1189</v>
      </c>
      <c r="M1500" s="441">
        <f>-TrialBalance!L389</f>
        <v>0</v>
      </c>
      <c r="N1500" s="400"/>
      <c r="O1500" s="441">
        <f>-TrialBalance!N389</f>
        <v>0</v>
      </c>
      <c r="P1500" s="478"/>
      <c r="Q1500" s="389"/>
      <c r="R1500" s="416" t="str">
        <f t="shared" si="103"/>
        <v>DELETE</v>
      </c>
    </row>
    <row r="1501" spans="2:26" ht="31.5" customHeight="1" x14ac:dyDescent="0.45">
      <c r="B1501" s="461"/>
      <c r="C1501" s="369"/>
      <c r="D1501" s="368" t="s">
        <v>1190</v>
      </c>
      <c r="M1501" s="441">
        <f>-TrialBalance!L390</f>
        <v>0</v>
      </c>
      <c r="N1501" s="400"/>
      <c r="O1501" s="441">
        <f>-TrialBalance!N390</f>
        <v>0</v>
      </c>
      <c r="P1501" s="478"/>
      <c r="Q1501" s="389"/>
      <c r="R1501" s="416" t="str">
        <f t="shared" si="103"/>
        <v>DELETE</v>
      </c>
    </row>
    <row r="1502" spans="2:26" ht="9" customHeight="1" x14ac:dyDescent="0.45">
      <c r="B1502" s="461"/>
      <c r="C1502" s="369"/>
      <c r="M1502" s="438"/>
      <c r="N1502" s="392"/>
      <c r="O1502" s="438"/>
      <c r="P1502" s="478"/>
      <c r="Q1502" s="389"/>
      <c r="R1502" s="416" t="str">
        <f>R$1504</f>
        <v>DELETE</v>
      </c>
    </row>
    <row r="1503" spans="2:26" ht="9" customHeight="1" x14ac:dyDescent="0.45">
      <c r="B1503" s="461"/>
      <c r="C1503" s="369"/>
      <c r="M1503" s="441"/>
      <c r="N1503" s="400"/>
      <c r="O1503" s="441"/>
      <c r="P1503" s="478"/>
      <c r="Q1503" s="389"/>
      <c r="R1503" s="416" t="str">
        <f>R$1504</f>
        <v>DELETE</v>
      </c>
    </row>
    <row r="1504" spans="2:26" ht="31.5" customHeight="1" x14ac:dyDescent="0.45">
      <c r="B1504" s="461"/>
      <c r="C1504" s="369"/>
      <c r="D1504" s="384" t="str">
        <f>IF((Y1504+Z1504)=3,"Current tax liability/(asset) at the end of the year",(IF((Y1504+Z1504=4),"Current tax liability at the end of the year","Current tax asset at the end of the year")))</f>
        <v>Current tax liability at the end of the year</v>
      </c>
      <c r="M1504" s="441">
        <f>SUM(M1495:M1502)</f>
        <v>0</v>
      </c>
      <c r="N1504" s="400"/>
      <c r="O1504" s="441">
        <f>SUM(O1495:O1502)</f>
        <v>0</v>
      </c>
      <c r="P1504" s="478"/>
      <c r="Q1504" s="389"/>
      <c r="R1504" s="416" t="str">
        <f>IF(M1504=0,IF(O1504=0,IF(COUNTIF(O1495:O1501,"&gt;0")&gt;0," ",IF(COUNTIF(M1495:M1501,"&gt;0")&gt;0," ","DELETE"))," ")," ")</f>
        <v>DELETE</v>
      </c>
      <c r="Y1504" s="417">
        <f>IF(M1504&lt;0,1,IF(M1504=0,IF(O1504&lt;0,1,2),2))</f>
        <v>2</v>
      </c>
      <c r="Z1504" s="417">
        <f>IF(O1504&lt;0,1,IF(O1504=0,IF(M1504&lt;0,1,2),2))</f>
        <v>2</v>
      </c>
    </row>
    <row r="1505" spans="2:18" ht="9" customHeight="1" thickBot="1" x14ac:dyDescent="0.5">
      <c r="B1505" s="461"/>
      <c r="C1505" s="369"/>
      <c r="M1505" s="439"/>
      <c r="N1505" s="393"/>
      <c r="O1505" s="439"/>
      <c r="P1505" s="478"/>
      <c r="Q1505" s="389"/>
      <c r="R1505" s="416" t="str">
        <f t="shared" ref="R1505:R1510" si="104">R$1504</f>
        <v>DELETE</v>
      </c>
    </row>
    <row r="1506" spans="2:18" ht="9" customHeight="1" thickTop="1" x14ac:dyDescent="0.45">
      <c r="B1506" s="461"/>
      <c r="C1506" s="369"/>
      <c r="M1506" s="441"/>
      <c r="N1506" s="400"/>
      <c r="O1506" s="441"/>
      <c r="P1506" s="478"/>
      <c r="Q1506" s="389"/>
      <c r="R1506" s="416" t="str">
        <f t="shared" si="104"/>
        <v>DELETE</v>
      </c>
    </row>
    <row r="1507" spans="2:18" ht="31.5" customHeight="1" x14ac:dyDescent="0.45">
      <c r="B1507" s="461"/>
      <c r="C1507" s="369"/>
      <c r="M1507" s="441"/>
      <c r="N1507" s="400"/>
      <c r="O1507" s="441"/>
      <c r="P1507" s="478"/>
      <c r="Q1507" s="389"/>
      <c r="R1507" s="416" t="str">
        <f t="shared" si="104"/>
        <v>DELETE</v>
      </c>
    </row>
    <row r="1508" spans="2:18" ht="31.5" customHeight="1" x14ac:dyDescent="0.45">
      <c r="B1508" s="461"/>
      <c r="C1508" s="369"/>
      <c r="M1508" s="441"/>
      <c r="N1508" s="400"/>
      <c r="O1508" s="441"/>
      <c r="P1508" s="478"/>
      <c r="Q1508" s="389"/>
      <c r="R1508" s="416" t="str">
        <f t="shared" si="104"/>
        <v>DELETE</v>
      </c>
    </row>
    <row r="1509" spans="2:18" ht="31.5" customHeight="1" x14ac:dyDescent="0.45">
      <c r="B1509" s="462"/>
      <c r="C1509" s="407"/>
      <c r="D1509" s="383"/>
      <c r="E1509" s="383"/>
      <c r="F1509" s="383"/>
      <c r="G1509" s="383"/>
      <c r="H1509" s="383"/>
      <c r="I1509" s="383"/>
      <c r="J1509" s="383"/>
      <c r="K1509" s="383"/>
      <c r="L1509" s="383"/>
      <c r="M1509" s="438"/>
      <c r="N1509" s="392"/>
      <c r="O1509" s="438"/>
      <c r="P1509" s="475"/>
      <c r="Q1509" s="398"/>
      <c r="R1509" s="416" t="str">
        <f t="shared" si="104"/>
        <v>DELETE</v>
      </c>
    </row>
    <row r="1510" spans="2:18" ht="31.5" customHeight="1" x14ac:dyDescent="0.45">
      <c r="B1510" s="445"/>
      <c r="C1510" s="369"/>
      <c r="M1510" s="434"/>
      <c r="N1510" s="390"/>
      <c r="O1510" s="434"/>
      <c r="R1510" s="416" t="str">
        <f t="shared" si="104"/>
        <v>DELETE</v>
      </c>
    </row>
    <row r="1511" spans="2:18" ht="31.5" customHeight="1" x14ac:dyDescent="0.45">
      <c r="M1511" s="479"/>
      <c r="N1511" s="469"/>
      <c r="O1511" s="479"/>
    </row>
    <row r="1512" spans="2:18" ht="31.5" customHeight="1" x14ac:dyDescent="0.45">
      <c r="D1512" s="369" t="str">
        <f>Criteria!E9</f>
        <v>ABC TRUST</v>
      </c>
      <c r="M1512" s="479"/>
      <c r="N1512" s="469"/>
      <c r="O1512" s="434" t="s">
        <v>105</v>
      </c>
      <c r="Q1512" s="370">
        <f>MAX($Q$114:Q1511)+1</f>
        <v>34</v>
      </c>
    </row>
    <row r="1513" spans="2:18" ht="31.5" customHeight="1" x14ac:dyDescent="0.45">
      <c r="D1513" s="369" t="str">
        <f>IF(Criteria!E13=0," ",CONCATENATE("T/A ",Criteria!E13))</f>
        <v>T/A RENTAL PROPERTIES</v>
      </c>
      <c r="M1513" s="479"/>
      <c r="N1513" s="469"/>
      <c r="O1513" s="479"/>
      <c r="R1513" s="416" t="str">
        <f>IF(Criteria!E13=0,"DELETE"," ")</f>
        <v xml:space="preserve"> </v>
      </c>
    </row>
    <row r="1514" spans="2:18" ht="31.5" customHeight="1" x14ac:dyDescent="0.45">
      <c r="M1514" s="479"/>
      <c r="N1514" s="469"/>
      <c r="O1514" s="479"/>
    </row>
    <row r="1515" spans="2:18" ht="31.5" customHeight="1" x14ac:dyDescent="0.45">
      <c r="D1515" s="369" t="s">
        <v>100</v>
      </c>
      <c r="M1515" s="479"/>
      <c r="N1515" s="469"/>
      <c r="O1515" s="479"/>
    </row>
    <row r="1516" spans="2:18" ht="31.5" customHeight="1" x14ac:dyDescent="0.45">
      <c r="D1516" s="369" t="str">
        <f>Criteria!E20</f>
        <v>29 FEBRUARY 2024</v>
      </c>
      <c r="M1516" s="479"/>
      <c r="N1516" s="469"/>
      <c r="O1516" s="479"/>
    </row>
    <row r="1517" spans="2:18" ht="31.5" customHeight="1" x14ac:dyDescent="0.45">
      <c r="M1517" s="479"/>
      <c r="N1517" s="469"/>
      <c r="O1517" s="479"/>
    </row>
    <row r="1518" spans="2:18" ht="31.5" customHeight="1" x14ac:dyDescent="0.45">
      <c r="B1518" s="385"/>
      <c r="C1518" s="386"/>
      <c r="D1518" s="386"/>
      <c r="E1518" s="386"/>
      <c r="F1518" s="386"/>
      <c r="G1518" s="386"/>
      <c r="H1518" s="386"/>
      <c r="I1518" s="386"/>
      <c r="J1518" s="386"/>
      <c r="K1518" s="386"/>
      <c r="L1518" s="386"/>
      <c r="M1518" s="484"/>
      <c r="N1518" s="485"/>
      <c r="O1518" s="484"/>
      <c r="P1518" s="481"/>
      <c r="Q1518" s="387"/>
    </row>
    <row r="1519" spans="2:18" ht="31.5" customHeight="1" x14ac:dyDescent="0.45">
      <c r="B1519" s="388"/>
      <c r="J1519" s="370"/>
      <c r="K1519" s="370" t="s">
        <v>113</v>
      </c>
      <c r="L1519" s="370"/>
      <c r="M1519" s="430">
        <f>Criteria!E22</f>
        <v>2024</v>
      </c>
      <c r="N1519" s="379"/>
      <c r="O1519" s="430">
        <f>Criteria!E27</f>
        <v>2023</v>
      </c>
      <c r="P1519" s="380"/>
      <c r="Q1519" s="389"/>
    </row>
    <row r="1520" spans="2:18" ht="31.5" customHeight="1" x14ac:dyDescent="0.45">
      <c r="B1520" s="388"/>
      <c r="J1520" s="370"/>
      <c r="K1520" s="370"/>
      <c r="L1520" s="370"/>
      <c r="M1520" s="434"/>
      <c r="N1520" s="390"/>
      <c r="O1520" s="434"/>
      <c r="P1520" s="380"/>
      <c r="Q1520" s="389"/>
    </row>
    <row r="1521" spans="2:24" ht="31.5" customHeight="1" x14ac:dyDescent="0.45">
      <c r="B1521" s="388"/>
      <c r="C1521" s="369" t="s">
        <v>1044</v>
      </c>
      <c r="J1521" s="370"/>
      <c r="K1521" s="370"/>
      <c r="L1521" s="370"/>
      <c r="M1521" s="434">
        <f>-SUM(TrialBalance!L6:L7)</f>
        <v>0</v>
      </c>
      <c r="N1521" s="390"/>
      <c r="O1521" s="434">
        <f>-SUM(TrialBalance!N6:N7)</f>
        <v>0</v>
      </c>
      <c r="P1521" s="380"/>
      <c r="Q1521" s="389"/>
      <c r="R1521" s="416" t="str">
        <f>IF(M1521+O1521=0,IF(M1523+O1523=0," ","DELETE")," ")</f>
        <v xml:space="preserve"> </v>
      </c>
      <c r="S1521" s="421">
        <f>M1521</f>
        <v>0</v>
      </c>
      <c r="T1521" s="421"/>
      <c r="U1521" s="421">
        <f>O1521</f>
        <v>0</v>
      </c>
      <c r="V1521" s="421"/>
      <c r="W1521" s="421"/>
      <c r="X1521" s="421"/>
    </row>
    <row r="1522" spans="2:24" ht="31.5" customHeight="1" x14ac:dyDescent="0.45">
      <c r="B1522" s="388"/>
      <c r="C1522" s="369"/>
      <c r="J1522" s="370"/>
      <c r="K1522" s="370"/>
      <c r="L1522" s="370"/>
      <c r="M1522" s="434"/>
      <c r="N1522" s="390"/>
      <c r="O1522" s="434"/>
      <c r="P1522" s="380"/>
      <c r="Q1522" s="389"/>
      <c r="R1522" s="416" t="str">
        <f>R1521</f>
        <v xml:space="preserve"> </v>
      </c>
      <c r="S1522" s="421"/>
      <c r="T1522" s="421"/>
      <c r="U1522" s="421"/>
      <c r="V1522" s="421"/>
      <c r="W1522" s="421"/>
      <c r="X1522" s="421"/>
    </row>
    <row r="1523" spans="2:24" ht="31.5" customHeight="1" x14ac:dyDescent="0.45">
      <c r="B1523" s="388"/>
      <c r="C1523" s="369" t="s">
        <v>497</v>
      </c>
      <c r="J1523" s="370"/>
      <c r="K1523" s="370"/>
      <c r="L1523" s="370"/>
      <c r="M1523" s="434">
        <f>-TrialBalance!L8</f>
        <v>0</v>
      </c>
      <c r="N1523" s="390"/>
      <c r="O1523" s="434">
        <f>-TrialBalance!N8</f>
        <v>0</v>
      </c>
      <c r="P1523" s="380"/>
      <c r="Q1523" s="389"/>
      <c r="R1523" s="416" t="str">
        <f>IF(M1523+O1523=0,"DELETE"," ")</f>
        <v>DELETE</v>
      </c>
      <c r="S1523" s="421">
        <f>M1523</f>
        <v>0</v>
      </c>
      <c r="T1523" s="421"/>
      <c r="U1523" s="421">
        <f>O1523</f>
        <v>0</v>
      </c>
      <c r="V1523" s="421"/>
      <c r="W1523" s="421"/>
      <c r="X1523" s="421"/>
    </row>
    <row r="1524" spans="2:24" ht="31.5" customHeight="1" x14ac:dyDescent="0.45">
      <c r="B1524" s="388"/>
      <c r="C1524" s="369"/>
      <c r="J1524" s="370"/>
      <c r="K1524" s="370"/>
      <c r="L1524" s="370"/>
      <c r="M1524" s="434"/>
      <c r="N1524" s="390"/>
      <c r="O1524" s="434"/>
      <c r="P1524" s="380"/>
      <c r="Q1524" s="389"/>
      <c r="R1524" s="416" t="str">
        <f>R1523</f>
        <v>DELETE</v>
      </c>
    </row>
    <row r="1525" spans="2:24" ht="31.5" customHeight="1" x14ac:dyDescent="0.45">
      <c r="B1525" s="388"/>
      <c r="C1525" s="369" t="s">
        <v>275</v>
      </c>
      <c r="J1525" s="370"/>
      <c r="K1525" s="370"/>
      <c r="L1525" s="370"/>
      <c r="M1525" s="434">
        <f>SUM(M1528:M1535)</f>
        <v>0</v>
      </c>
      <c r="N1525" s="390"/>
      <c r="O1525" s="434">
        <f>SUM(O1528:O1535)</f>
        <v>0</v>
      </c>
      <c r="P1525" s="380"/>
      <c r="Q1525" s="389"/>
      <c r="R1525" s="416" t="str">
        <f>IF(M1525+O1525=0,"DELETE"," ")</f>
        <v>DELETE</v>
      </c>
      <c r="S1525" s="421">
        <f>-M1525</f>
        <v>0</v>
      </c>
      <c r="T1525" s="421"/>
      <c r="U1525" s="421">
        <f>-O1525</f>
        <v>0</v>
      </c>
      <c r="V1525" s="421"/>
      <c r="W1525" s="421"/>
      <c r="X1525" s="421"/>
    </row>
    <row r="1526" spans="2:24" ht="9" customHeight="1" x14ac:dyDescent="0.45">
      <c r="B1526" s="388"/>
      <c r="C1526" s="369"/>
      <c r="J1526" s="370"/>
      <c r="K1526" s="370"/>
      <c r="L1526" s="370"/>
      <c r="M1526" s="434"/>
      <c r="N1526" s="390"/>
      <c r="O1526" s="434"/>
      <c r="P1526" s="380"/>
      <c r="Q1526" s="389"/>
      <c r="R1526" s="416" t="str">
        <f>R1525</f>
        <v>DELETE</v>
      </c>
    </row>
    <row r="1527" spans="2:24" ht="9" customHeight="1" x14ac:dyDescent="0.45">
      <c r="B1527" s="388"/>
      <c r="C1527" s="369"/>
      <c r="J1527" s="370"/>
      <c r="K1527" s="370"/>
      <c r="L1527" s="370"/>
      <c r="M1527" s="435"/>
      <c r="N1527" s="391"/>
      <c r="O1527" s="450"/>
      <c r="P1527" s="380"/>
      <c r="Q1527" s="389"/>
      <c r="R1527" s="416" t="str">
        <f>R1526</f>
        <v>DELETE</v>
      </c>
    </row>
    <row r="1528" spans="2:24" ht="31.5" customHeight="1" x14ac:dyDescent="0.45">
      <c r="B1528" s="388"/>
      <c r="C1528" s="369"/>
      <c r="D1528" s="368" t="s">
        <v>499</v>
      </c>
      <c r="J1528" s="370"/>
      <c r="K1528" s="370"/>
      <c r="L1528" s="370"/>
      <c r="M1528" s="436">
        <f>SUM(TrialBalance!L10:L13)</f>
        <v>0</v>
      </c>
      <c r="N1528" s="390"/>
      <c r="O1528" s="451">
        <f>SUM(TrialBalance!N10:N13)</f>
        <v>0</v>
      </c>
      <c r="P1528" s="380"/>
      <c r="Q1528" s="389"/>
      <c r="R1528" s="416" t="str">
        <f t="shared" ref="R1528:R1535" si="105">IF(M1528+O1528=0,"DELETE"," ")</f>
        <v>DELETE</v>
      </c>
    </row>
    <row r="1529" spans="2:24" ht="31.5" customHeight="1" x14ac:dyDescent="0.45">
      <c r="B1529" s="388"/>
      <c r="C1529" s="369"/>
      <c r="D1529" s="368" t="s">
        <v>276</v>
      </c>
      <c r="J1529" s="370"/>
      <c r="K1529" s="370"/>
      <c r="L1529" s="370"/>
      <c r="M1529" s="436">
        <f>TrialBalance!L14</f>
        <v>0</v>
      </c>
      <c r="N1529" s="390"/>
      <c r="O1529" s="451">
        <f>TrialBalance!N14</f>
        <v>0</v>
      </c>
      <c r="P1529" s="380"/>
      <c r="Q1529" s="389"/>
      <c r="R1529" s="416" t="str">
        <f t="shared" si="105"/>
        <v>DELETE</v>
      </c>
    </row>
    <row r="1530" spans="2:24" ht="31.5" customHeight="1" x14ac:dyDescent="0.45">
      <c r="B1530" s="388"/>
      <c r="C1530" s="369"/>
      <c r="D1530" s="368">
        <f>TrialBalance!C15</f>
        <v>0</v>
      </c>
      <c r="J1530" s="370"/>
      <c r="K1530" s="370"/>
      <c r="L1530" s="370"/>
      <c r="M1530" s="436">
        <f>TrialBalance!L15</f>
        <v>0</v>
      </c>
      <c r="N1530" s="390"/>
      <c r="O1530" s="451">
        <f>TrialBalance!N15</f>
        <v>0</v>
      </c>
      <c r="P1530" s="380"/>
      <c r="Q1530" s="389"/>
      <c r="R1530" s="416" t="str">
        <f t="shared" si="105"/>
        <v>DELETE</v>
      </c>
    </row>
    <row r="1531" spans="2:24" ht="31.5" customHeight="1" x14ac:dyDescent="0.45">
      <c r="B1531" s="388"/>
      <c r="C1531" s="369"/>
      <c r="D1531" s="368">
        <f>TrialBalance!C16</f>
        <v>0</v>
      </c>
      <c r="J1531" s="370"/>
      <c r="K1531" s="370"/>
      <c r="L1531" s="370"/>
      <c r="M1531" s="436">
        <f>TrialBalance!L16</f>
        <v>0</v>
      </c>
      <c r="N1531" s="390"/>
      <c r="O1531" s="451">
        <f>TrialBalance!N16</f>
        <v>0</v>
      </c>
      <c r="P1531" s="380"/>
      <c r="Q1531" s="389"/>
      <c r="R1531" s="416" t="str">
        <f t="shared" si="105"/>
        <v>DELETE</v>
      </c>
    </row>
    <row r="1532" spans="2:24" ht="31.5" customHeight="1" x14ac:dyDescent="0.45">
      <c r="B1532" s="388"/>
      <c r="C1532" s="369"/>
      <c r="D1532" s="368">
        <f>TrialBalance!C17</f>
        <v>0</v>
      </c>
      <c r="J1532" s="370"/>
      <c r="K1532" s="370"/>
      <c r="L1532" s="370"/>
      <c r="M1532" s="436">
        <f>TrialBalance!L17</f>
        <v>0</v>
      </c>
      <c r="N1532" s="390"/>
      <c r="O1532" s="451">
        <f>TrialBalance!N17</f>
        <v>0</v>
      </c>
      <c r="P1532" s="380"/>
      <c r="Q1532" s="389"/>
      <c r="R1532" s="416" t="str">
        <f t="shared" si="105"/>
        <v>DELETE</v>
      </c>
    </row>
    <row r="1533" spans="2:24" ht="31.5" customHeight="1" x14ac:dyDescent="0.45">
      <c r="B1533" s="388"/>
      <c r="C1533" s="369"/>
      <c r="D1533" s="368">
        <f>TrialBalance!C18</f>
        <v>0</v>
      </c>
      <c r="J1533" s="370"/>
      <c r="K1533" s="370"/>
      <c r="L1533" s="370"/>
      <c r="M1533" s="436">
        <f>TrialBalance!L18</f>
        <v>0</v>
      </c>
      <c r="N1533" s="390"/>
      <c r="O1533" s="451">
        <f>TrialBalance!N18</f>
        <v>0</v>
      </c>
      <c r="P1533" s="380"/>
      <c r="Q1533" s="389"/>
      <c r="R1533" s="416" t="str">
        <f t="shared" si="105"/>
        <v>DELETE</v>
      </c>
    </row>
    <row r="1534" spans="2:24" ht="31.5" customHeight="1" x14ac:dyDescent="0.45">
      <c r="B1534" s="388"/>
      <c r="C1534" s="369"/>
      <c r="D1534" s="368">
        <f>TrialBalance!C19</f>
        <v>0</v>
      </c>
      <c r="J1534" s="370"/>
      <c r="K1534" s="370"/>
      <c r="L1534" s="370"/>
      <c r="M1534" s="436">
        <f>TrialBalance!L19</f>
        <v>0</v>
      </c>
      <c r="N1534" s="390"/>
      <c r="O1534" s="451">
        <f>TrialBalance!N19</f>
        <v>0</v>
      </c>
      <c r="P1534" s="380"/>
      <c r="Q1534" s="389"/>
      <c r="R1534" s="416" t="str">
        <f t="shared" si="105"/>
        <v>DELETE</v>
      </c>
    </row>
    <row r="1535" spans="2:24" ht="31.5" customHeight="1" x14ac:dyDescent="0.45">
      <c r="B1535" s="388"/>
      <c r="C1535" s="369"/>
      <c r="D1535" s="368" t="s">
        <v>500</v>
      </c>
      <c r="J1535" s="370"/>
      <c r="K1535" s="370"/>
      <c r="L1535" s="370"/>
      <c r="M1535" s="436">
        <f>SUM(TrialBalance!L20:L23)</f>
        <v>0</v>
      </c>
      <c r="N1535" s="390"/>
      <c r="O1535" s="451">
        <f>SUM(TrialBalance!N20:N23)</f>
        <v>0</v>
      </c>
      <c r="P1535" s="380"/>
      <c r="Q1535" s="389"/>
      <c r="R1535" s="416" t="str">
        <f t="shared" si="105"/>
        <v>DELETE</v>
      </c>
    </row>
    <row r="1536" spans="2:24" ht="9" customHeight="1" x14ac:dyDescent="0.45">
      <c r="B1536" s="388"/>
      <c r="C1536" s="369"/>
      <c r="J1536" s="370"/>
      <c r="K1536" s="370"/>
      <c r="L1536" s="370"/>
      <c r="M1536" s="437"/>
      <c r="N1536" s="392"/>
      <c r="O1536" s="452"/>
      <c r="P1536" s="380"/>
      <c r="Q1536" s="389"/>
      <c r="R1536" s="416" t="str">
        <f>R1525</f>
        <v>DELETE</v>
      </c>
    </row>
    <row r="1537" spans="2:26" ht="9" customHeight="1" x14ac:dyDescent="0.45">
      <c r="B1537" s="388"/>
      <c r="C1537" s="369"/>
      <c r="J1537" s="370"/>
      <c r="K1537" s="370"/>
      <c r="L1537" s="370"/>
      <c r="M1537" s="438"/>
      <c r="N1537" s="392"/>
      <c r="O1537" s="438"/>
      <c r="P1537" s="380"/>
      <c r="Q1537" s="389"/>
      <c r="R1537" s="416" t="str">
        <f>R1525</f>
        <v>DELETE</v>
      </c>
    </row>
    <row r="1538" spans="2:26" ht="9" customHeight="1" x14ac:dyDescent="0.45">
      <c r="B1538" s="388"/>
      <c r="C1538" s="369"/>
      <c r="J1538" s="370"/>
      <c r="K1538" s="370"/>
      <c r="L1538" s="370"/>
      <c r="M1538" s="434"/>
      <c r="N1538" s="390"/>
      <c r="O1538" s="434"/>
      <c r="P1538" s="380"/>
      <c r="Q1538" s="389"/>
      <c r="R1538" s="416" t="str">
        <f>R1537</f>
        <v>DELETE</v>
      </c>
    </row>
    <row r="1539" spans="2:26" ht="31.5" customHeight="1" x14ac:dyDescent="0.45">
      <c r="B1539" s="388"/>
      <c r="C1539" s="411" t="str">
        <f>IF((Y1539+Z1539)=3,"GROSS PROFIT/(LOSS)",(IF((Y1539+Z1539=4),"GROSS PROFIT","GROSS LOSS")))</f>
        <v>GROSS PROFIT</v>
      </c>
      <c r="J1539" s="370"/>
      <c r="K1539" s="370"/>
      <c r="L1539" s="370"/>
      <c r="M1539" s="434">
        <f>SUM(S1521:S1536)</f>
        <v>0</v>
      </c>
      <c r="N1539" s="390"/>
      <c r="O1539" s="434">
        <f>SUM(U1521:U1536)</f>
        <v>0</v>
      </c>
      <c r="P1539" s="380"/>
      <c r="Q1539" s="389"/>
      <c r="R1539" s="416" t="str">
        <f>R1538</f>
        <v>DELETE</v>
      </c>
      <c r="Y1539" s="417">
        <f>IF(M1539&lt;0,1,IF(M1539=0,IF(O1539&lt;0,1,2),2))</f>
        <v>2</v>
      </c>
      <c r="Z1539" s="417">
        <f>IF(O1539&lt;0,1,IF(O1539=0,IF(M1539&lt;0,1,2),2))</f>
        <v>2</v>
      </c>
    </row>
    <row r="1540" spans="2:26" ht="31.5" customHeight="1" x14ac:dyDescent="0.45">
      <c r="B1540" s="388"/>
      <c r="C1540" s="369"/>
      <c r="J1540" s="370"/>
      <c r="K1540" s="370"/>
      <c r="L1540" s="370"/>
      <c r="M1540" s="434"/>
      <c r="N1540" s="390"/>
      <c r="O1540" s="434"/>
      <c r="P1540" s="380"/>
      <c r="Q1540" s="389"/>
      <c r="R1540" s="416" t="str">
        <f>R1539</f>
        <v>DELETE</v>
      </c>
    </row>
    <row r="1541" spans="2:26" ht="31.5" customHeight="1" x14ac:dyDescent="0.45">
      <c r="B1541" s="388"/>
      <c r="C1541" s="369" t="s">
        <v>319</v>
      </c>
      <c r="J1541" s="370"/>
      <c r="K1541" s="370"/>
      <c r="L1541" s="370"/>
      <c r="M1541" s="434">
        <f>SUM(M1543:M1550)</f>
        <v>0</v>
      </c>
      <c r="N1541" s="390"/>
      <c r="O1541" s="434">
        <f>SUM(O1543:O1550)</f>
        <v>0</v>
      </c>
      <c r="P1541" s="380"/>
      <c r="Q1541" s="389"/>
      <c r="R1541" s="416" t="str">
        <f>IF(M1541+O1541=0,"DELETE"," ")</f>
        <v>DELETE</v>
      </c>
      <c r="S1541" s="421">
        <f>M1541</f>
        <v>0</v>
      </c>
      <c r="T1541" s="421"/>
      <c r="U1541" s="421">
        <f>O1541</f>
        <v>0</v>
      </c>
    </row>
    <row r="1542" spans="2:26" ht="9" customHeight="1" x14ac:dyDescent="0.45">
      <c r="B1542" s="388"/>
      <c r="C1542" s="369"/>
      <c r="J1542" s="370"/>
      <c r="K1542" s="370"/>
      <c r="L1542" s="370"/>
      <c r="M1542" s="434"/>
      <c r="N1542" s="390"/>
      <c r="O1542" s="434"/>
      <c r="P1542" s="380"/>
      <c r="Q1542" s="389"/>
      <c r="R1542" s="416" t="str">
        <f>R1541</f>
        <v>DELETE</v>
      </c>
    </row>
    <row r="1543" spans="2:26" ht="9" customHeight="1" x14ac:dyDescent="0.45">
      <c r="B1543" s="388"/>
      <c r="C1543" s="369"/>
      <c r="J1543" s="370"/>
      <c r="K1543" s="370"/>
      <c r="L1543" s="370"/>
      <c r="M1543" s="435"/>
      <c r="N1543" s="391"/>
      <c r="O1543" s="450"/>
      <c r="P1543" s="380"/>
      <c r="Q1543" s="389"/>
      <c r="R1543" s="416" t="str">
        <f>R1541</f>
        <v>DELETE</v>
      </c>
    </row>
    <row r="1544" spans="2:26" ht="31.5" customHeight="1" x14ac:dyDescent="0.45">
      <c r="B1544" s="388"/>
      <c r="C1544" s="369"/>
      <c r="D1544" s="368" t="str">
        <f>TrialBalance!C25</f>
        <v>Insurance claims - Rental Properties</v>
      </c>
      <c r="J1544" s="370"/>
      <c r="K1544" s="370"/>
      <c r="L1544" s="370"/>
      <c r="M1544" s="436">
        <f>-TrialBalance!L25</f>
        <v>0</v>
      </c>
      <c r="N1544" s="390"/>
      <c r="O1544" s="451">
        <f>-TrialBalance!N25</f>
        <v>0</v>
      </c>
      <c r="P1544" s="380"/>
      <c r="Q1544" s="389"/>
      <c r="R1544" s="416" t="str">
        <f t="shared" ref="R1544:R1549" si="106">IF(M1544+O1544=0,"DELETE"," ")</f>
        <v>DELETE</v>
      </c>
    </row>
    <row r="1545" spans="2:26" ht="31.5" customHeight="1" x14ac:dyDescent="0.45">
      <c r="B1545" s="388"/>
      <c r="C1545" s="369"/>
      <c r="D1545" s="368" t="str">
        <f>TrialBalance!C26</f>
        <v>Government grants received</v>
      </c>
      <c r="J1545" s="370"/>
      <c r="K1545" s="370"/>
      <c r="L1545" s="370"/>
      <c r="M1545" s="436">
        <f>-TrialBalance!L26</f>
        <v>0</v>
      </c>
      <c r="N1545" s="390"/>
      <c r="O1545" s="451">
        <f>-TrialBalance!N26</f>
        <v>0</v>
      </c>
      <c r="P1545" s="380"/>
      <c r="Q1545" s="389"/>
      <c r="R1545" s="416" t="str">
        <f t="shared" si="106"/>
        <v>DELETE</v>
      </c>
    </row>
    <row r="1546" spans="2:26" ht="31.5" customHeight="1" x14ac:dyDescent="0.45">
      <c r="B1546" s="388"/>
      <c r="C1546" s="369"/>
      <c r="D1546" s="368">
        <f>TrialBalance!C27</f>
        <v>0</v>
      </c>
      <c r="J1546" s="370"/>
      <c r="K1546" s="370"/>
      <c r="L1546" s="370"/>
      <c r="M1546" s="436">
        <f>-TrialBalance!L27</f>
        <v>0</v>
      </c>
      <c r="N1546" s="390"/>
      <c r="O1546" s="451">
        <f>-TrialBalance!N27</f>
        <v>0</v>
      </c>
      <c r="P1546" s="380"/>
      <c r="Q1546" s="389"/>
      <c r="R1546" s="416" t="str">
        <f t="shared" si="106"/>
        <v>DELETE</v>
      </c>
    </row>
    <row r="1547" spans="2:26" ht="31.5" customHeight="1" x14ac:dyDescent="0.45">
      <c r="B1547" s="388"/>
      <c r="C1547" s="369"/>
      <c r="D1547" s="368">
        <f>TrialBalance!C28</f>
        <v>0</v>
      </c>
      <c r="J1547" s="370"/>
      <c r="K1547" s="370"/>
      <c r="L1547" s="370"/>
      <c r="M1547" s="436">
        <f>-TrialBalance!L28</f>
        <v>0</v>
      </c>
      <c r="N1547" s="390"/>
      <c r="O1547" s="451">
        <f>-TrialBalance!N28</f>
        <v>0</v>
      </c>
      <c r="P1547" s="380"/>
      <c r="Q1547" s="389"/>
      <c r="R1547" s="416" t="str">
        <f t="shared" si="106"/>
        <v>DELETE</v>
      </c>
    </row>
    <row r="1548" spans="2:26" ht="31.5" customHeight="1" x14ac:dyDescent="0.45">
      <c r="B1548" s="388"/>
      <c r="C1548" s="369"/>
      <c r="D1548" s="368">
        <f>TrialBalance!C29</f>
        <v>0</v>
      </c>
      <c r="J1548" s="370"/>
      <c r="K1548" s="370"/>
      <c r="L1548" s="370"/>
      <c r="M1548" s="436">
        <f>-TrialBalance!L29</f>
        <v>0</v>
      </c>
      <c r="N1548" s="390"/>
      <c r="O1548" s="451">
        <f>-TrialBalance!N29</f>
        <v>0</v>
      </c>
      <c r="P1548" s="380"/>
      <c r="Q1548" s="389"/>
      <c r="R1548" s="416" t="str">
        <f t="shared" si="106"/>
        <v>DELETE</v>
      </c>
    </row>
    <row r="1549" spans="2:26" ht="31.5" customHeight="1" x14ac:dyDescent="0.45">
      <c r="B1549" s="388"/>
      <c r="C1549" s="369"/>
      <c r="D1549" s="368" t="str">
        <f>TrialBalance!C30</f>
        <v>Recoupment of depreciation</v>
      </c>
      <c r="J1549" s="370"/>
      <c r="K1549" s="370"/>
      <c r="L1549" s="370"/>
      <c r="M1549" s="436">
        <f>-TrialBalance!L30</f>
        <v>0</v>
      </c>
      <c r="N1549" s="390"/>
      <c r="O1549" s="451">
        <f>-TrialBalance!N30</f>
        <v>0</v>
      </c>
      <c r="P1549" s="380"/>
      <c r="Q1549" s="389"/>
      <c r="R1549" s="416" t="str">
        <f t="shared" si="106"/>
        <v>DELETE</v>
      </c>
    </row>
    <row r="1550" spans="2:26" ht="9" customHeight="1" x14ac:dyDescent="0.45">
      <c r="B1550" s="388"/>
      <c r="C1550" s="369"/>
      <c r="J1550" s="370"/>
      <c r="K1550" s="370"/>
      <c r="L1550" s="370"/>
      <c r="M1550" s="437"/>
      <c r="N1550" s="392"/>
      <c r="O1550" s="452"/>
      <c r="P1550" s="380"/>
      <c r="Q1550" s="389"/>
      <c r="R1550" s="416" t="str">
        <f>R1541</f>
        <v>DELETE</v>
      </c>
    </row>
    <row r="1551" spans="2:26" ht="9" customHeight="1" x14ac:dyDescent="0.45">
      <c r="B1551" s="388"/>
      <c r="C1551" s="369"/>
      <c r="J1551" s="370"/>
      <c r="K1551" s="370"/>
      <c r="L1551" s="370"/>
      <c r="M1551" s="447"/>
      <c r="N1551" s="408"/>
      <c r="O1551" s="447"/>
      <c r="P1551" s="380"/>
      <c r="Q1551" s="389"/>
      <c r="R1551" s="416" t="str">
        <f>R1550</f>
        <v>DELETE</v>
      </c>
    </row>
    <row r="1552" spans="2:26" ht="9" customHeight="1" x14ac:dyDescent="0.45">
      <c r="B1552" s="388"/>
      <c r="C1552" s="369"/>
      <c r="J1552" s="370"/>
      <c r="K1552" s="370"/>
      <c r="L1552" s="370"/>
      <c r="M1552" s="434"/>
      <c r="N1552" s="390"/>
      <c r="O1552" s="434"/>
      <c r="P1552" s="380"/>
      <c r="Q1552" s="389"/>
      <c r="R1552" s="416" t="str">
        <f>R1551</f>
        <v>DELETE</v>
      </c>
    </row>
    <row r="1553" spans="2:24" ht="31.5" customHeight="1" x14ac:dyDescent="0.45">
      <c r="B1553" s="388"/>
      <c r="C1553" s="369"/>
      <c r="J1553" s="370"/>
      <c r="K1553" s="370"/>
      <c r="L1553" s="370"/>
      <c r="M1553" s="434">
        <f>SUM(S1521:S1541)</f>
        <v>0</v>
      </c>
      <c r="N1553" s="390"/>
      <c r="O1553" s="434">
        <f>SUM(U1521:U1541)</f>
        <v>0</v>
      </c>
      <c r="P1553" s="380"/>
      <c r="Q1553" s="389"/>
      <c r="R1553" s="416" t="str">
        <f>R1541</f>
        <v>DELETE</v>
      </c>
    </row>
    <row r="1554" spans="2:24" ht="31.5" customHeight="1" x14ac:dyDescent="0.45">
      <c r="B1554" s="388"/>
      <c r="C1554" s="369"/>
      <c r="J1554" s="370"/>
      <c r="K1554" s="370"/>
      <c r="L1554" s="370"/>
      <c r="M1554" s="434"/>
      <c r="N1554" s="390"/>
      <c r="O1554" s="434"/>
      <c r="P1554" s="380"/>
      <c r="Q1554" s="389"/>
      <c r="R1554" s="416" t="str">
        <f>R1553</f>
        <v>DELETE</v>
      </c>
    </row>
    <row r="1555" spans="2:24" ht="31.5" customHeight="1" x14ac:dyDescent="0.45">
      <c r="B1555" s="388"/>
      <c r="C1555" s="369" t="s">
        <v>1051</v>
      </c>
      <c r="J1555" s="370"/>
      <c r="K1555" s="370"/>
      <c r="L1555" s="370"/>
      <c r="M1555" s="434">
        <f>SUM(M1557:M1585)</f>
        <v>0</v>
      </c>
      <c r="N1555" s="390"/>
      <c r="O1555" s="434">
        <f>SUM(O1557:O1585)</f>
        <v>0</v>
      </c>
      <c r="P1555" s="380"/>
      <c r="Q1555" s="389"/>
      <c r="R1555" s="416" t="str">
        <f>IF(M1555+O1555=0,"DELETE"," ")</f>
        <v>DELETE</v>
      </c>
      <c r="S1555" s="421">
        <f>-M1555</f>
        <v>0</v>
      </c>
      <c r="T1555" s="421"/>
      <c r="U1555" s="421">
        <f>-O1555</f>
        <v>0</v>
      </c>
      <c r="V1555" s="421"/>
      <c r="W1555" s="421"/>
      <c r="X1555" s="421"/>
    </row>
    <row r="1556" spans="2:24" ht="9" customHeight="1" x14ac:dyDescent="0.45">
      <c r="B1556" s="388"/>
      <c r="C1556" s="369"/>
      <c r="J1556" s="370"/>
      <c r="K1556" s="370"/>
      <c r="L1556" s="370"/>
      <c r="M1556" s="434"/>
      <c r="N1556" s="390"/>
      <c r="O1556" s="434"/>
      <c r="P1556" s="380"/>
      <c r="Q1556" s="389"/>
      <c r="R1556" s="416" t="str">
        <f>R1555</f>
        <v>DELETE</v>
      </c>
    </row>
    <row r="1557" spans="2:24" ht="9" customHeight="1" x14ac:dyDescent="0.45">
      <c r="B1557" s="388"/>
      <c r="C1557" s="369"/>
      <c r="J1557" s="370"/>
      <c r="K1557" s="370"/>
      <c r="L1557" s="370"/>
      <c r="M1557" s="435"/>
      <c r="N1557" s="391"/>
      <c r="O1557" s="450"/>
      <c r="P1557" s="380"/>
      <c r="Q1557" s="389"/>
      <c r="R1557" s="416" t="str">
        <f>R1556</f>
        <v>DELETE</v>
      </c>
    </row>
    <row r="1558" spans="2:24" ht="31.5" customHeight="1" x14ac:dyDescent="0.45">
      <c r="B1558" s="388"/>
      <c r="C1558" s="369"/>
      <c r="D1558" s="368" t="s">
        <v>277</v>
      </c>
      <c r="J1558" s="370"/>
      <c r="K1558" s="370"/>
      <c r="L1558" s="370"/>
      <c r="M1558" s="436">
        <f>TrialBalance!L37</f>
        <v>0</v>
      </c>
      <c r="N1558" s="390"/>
      <c r="O1558" s="451">
        <f>TrialBalance!N37</f>
        <v>0</v>
      </c>
      <c r="P1558" s="380"/>
      <c r="Q1558" s="389"/>
      <c r="R1558" s="416" t="str">
        <f t="shared" ref="R1558:R1575" si="107">IF(M1558+O1558=0,"DELETE"," ")</f>
        <v>DELETE</v>
      </c>
    </row>
    <row r="1559" spans="2:24" ht="31.5" customHeight="1" x14ac:dyDescent="0.45">
      <c r="B1559" s="388"/>
      <c r="C1559" s="369"/>
      <c r="D1559" s="368" t="s">
        <v>703</v>
      </c>
      <c r="J1559" s="370"/>
      <c r="K1559" s="370"/>
      <c r="L1559" s="370"/>
      <c r="M1559" s="436">
        <f>TrialBalance!L38</f>
        <v>0</v>
      </c>
      <c r="N1559" s="390"/>
      <c r="O1559" s="451">
        <f>TrialBalance!N38</f>
        <v>0</v>
      </c>
      <c r="P1559" s="380"/>
      <c r="Q1559" s="389"/>
      <c r="R1559" s="416" t="str">
        <f t="shared" si="107"/>
        <v>DELETE</v>
      </c>
    </row>
    <row r="1560" spans="2:24" ht="31.5" customHeight="1" x14ac:dyDescent="0.45">
      <c r="B1560" s="388"/>
      <c r="C1560" s="369"/>
      <c r="D1560" s="368" t="s">
        <v>278</v>
      </c>
      <c r="J1560" s="370"/>
      <c r="K1560" s="370"/>
      <c r="L1560" s="370"/>
      <c r="M1560" s="436">
        <f>TrialBalance!L39</f>
        <v>0</v>
      </c>
      <c r="N1560" s="390"/>
      <c r="O1560" s="451">
        <f>TrialBalance!N39</f>
        <v>0</v>
      </c>
      <c r="P1560" s="380"/>
      <c r="Q1560" s="389"/>
      <c r="R1560" s="416" t="str">
        <f t="shared" si="107"/>
        <v>DELETE</v>
      </c>
    </row>
    <row r="1561" spans="2:24" ht="31.5" customHeight="1" x14ac:dyDescent="0.45">
      <c r="B1561" s="388"/>
      <c r="C1561" s="369"/>
      <c r="D1561" s="368" t="s">
        <v>279</v>
      </c>
      <c r="J1561" s="370"/>
      <c r="K1561" s="370">
        <f>C$747</f>
        <v>6.2999999999999989</v>
      </c>
      <c r="L1561" s="370"/>
      <c r="M1561" s="436">
        <f>SUM(TrialBalance!L41:L43)</f>
        <v>0</v>
      </c>
      <c r="N1561" s="390"/>
      <c r="O1561" s="451">
        <f>SUM(TrialBalance!N41:N43)</f>
        <v>0</v>
      </c>
      <c r="P1561" s="380"/>
      <c r="Q1561" s="389"/>
      <c r="R1561" s="416" t="str">
        <f t="shared" si="107"/>
        <v>DELETE</v>
      </c>
    </row>
    <row r="1562" spans="2:24" ht="31.5" customHeight="1" x14ac:dyDescent="0.45">
      <c r="B1562" s="388"/>
      <c r="C1562" s="369"/>
      <c r="D1562" s="368" t="s">
        <v>501</v>
      </c>
      <c r="J1562" s="370"/>
      <c r="K1562" s="370"/>
      <c r="L1562" s="370"/>
      <c r="M1562" s="436">
        <f>TrialBalance!L44</f>
        <v>0</v>
      </c>
      <c r="N1562" s="390"/>
      <c r="O1562" s="451">
        <f>TrialBalance!N44</f>
        <v>0</v>
      </c>
      <c r="P1562" s="380"/>
      <c r="Q1562" s="389"/>
      <c r="R1562" s="416" t="str">
        <f t="shared" si="107"/>
        <v>DELETE</v>
      </c>
      <c r="S1562" s="422"/>
      <c r="T1562" s="422"/>
      <c r="U1562" s="422"/>
      <c r="V1562" s="422"/>
      <c r="W1562" s="422"/>
      <c r="X1562" s="422"/>
    </row>
    <row r="1563" spans="2:24" ht="31.5" customHeight="1" x14ac:dyDescent="0.45">
      <c r="B1563" s="388"/>
      <c r="C1563" s="369"/>
      <c r="D1563" s="368" t="s">
        <v>733</v>
      </c>
      <c r="J1563" s="370"/>
      <c r="K1563" s="370"/>
      <c r="L1563" s="370"/>
      <c r="M1563" s="436">
        <f>TrialBalance!L45</f>
        <v>0</v>
      </c>
      <c r="N1563" s="390"/>
      <c r="O1563" s="451">
        <f>TrialBalance!N45</f>
        <v>0</v>
      </c>
      <c r="P1563" s="380"/>
      <c r="Q1563" s="389"/>
      <c r="R1563" s="416" t="str">
        <f t="shared" si="107"/>
        <v>DELETE</v>
      </c>
    </row>
    <row r="1564" spans="2:24" ht="31.5" customHeight="1" x14ac:dyDescent="0.45">
      <c r="B1564" s="388"/>
      <c r="C1564" s="369"/>
      <c r="D1564" s="368" t="s">
        <v>68</v>
      </c>
      <c r="J1564" s="370"/>
      <c r="K1564" s="370"/>
      <c r="L1564" s="370"/>
      <c r="M1564" s="436">
        <f>TrialBalance!L46</f>
        <v>0</v>
      </c>
      <c r="N1564" s="390"/>
      <c r="O1564" s="451">
        <f>TrialBalance!N46</f>
        <v>0</v>
      </c>
      <c r="P1564" s="380"/>
      <c r="Q1564" s="389"/>
      <c r="R1564" s="416" t="str">
        <f t="shared" si="107"/>
        <v>DELETE</v>
      </c>
    </row>
    <row r="1565" spans="2:24" ht="31.5" customHeight="1" x14ac:dyDescent="0.45">
      <c r="B1565" s="388"/>
      <c r="C1565" s="369"/>
      <c r="D1565" s="368" t="s">
        <v>280</v>
      </c>
      <c r="J1565" s="370"/>
      <c r="K1565" s="370"/>
      <c r="L1565" s="370"/>
      <c r="M1565" s="436">
        <f>TrialBalance!L47</f>
        <v>0</v>
      </c>
      <c r="N1565" s="390"/>
      <c r="O1565" s="451">
        <f>TrialBalance!N47</f>
        <v>0</v>
      </c>
      <c r="P1565" s="380"/>
      <c r="Q1565" s="389"/>
      <c r="R1565" s="416" t="str">
        <f t="shared" si="107"/>
        <v>DELETE</v>
      </c>
    </row>
    <row r="1566" spans="2:24" ht="31.5" customHeight="1" x14ac:dyDescent="0.45">
      <c r="B1566" s="388"/>
      <c r="C1566" s="369"/>
      <c r="D1566" s="368" t="s">
        <v>518</v>
      </c>
      <c r="J1566" s="370"/>
      <c r="K1566" s="370"/>
      <c r="L1566" s="370"/>
      <c r="M1566" s="436">
        <f>SUM(TrialBalance!L48:L49)</f>
        <v>0</v>
      </c>
      <c r="N1566" s="390"/>
      <c r="O1566" s="451">
        <f>SUM(TrialBalance!N48:N49)</f>
        <v>0</v>
      </c>
      <c r="P1566" s="380"/>
      <c r="Q1566" s="389"/>
      <c r="R1566" s="416" t="str">
        <f t="shared" si="107"/>
        <v>DELETE</v>
      </c>
    </row>
    <row r="1567" spans="2:24" ht="31.5" customHeight="1" x14ac:dyDescent="0.45">
      <c r="B1567" s="388"/>
      <c r="C1567" s="369"/>
      <c r="D1567" s="368" t="s">
        <v>516</v>
      </c>
      <c r="J1567" s="370"/>
      <c r="K1567" s="370"/>
      <c r="L1567" s="370"/>
      <c r="M1567" s="436">
        <f>TrialBalance!L50</f>
        <v>0</v>
      </c>
      <c r="N1567" s="390"/>
      <c r="O1567" s="451">
        <f>TrialBalance!N50</f>
        <v>0</v>
      </c>
      <c r="P1567" s="380"/>
      <c r="Q1567" s="389"/>
      <c r="R1567" s="416" t="str">
        <f t="shared" si="107"/>
        <v>DELETE</v>
      </c>
    </row>
    <row r="1568" spans="2:24" ht="31.5" customHeight="1" x14ac:dyDescent="0.45">
      <c r="B1568" s="388"/>
      <c r="C1568" s="369"/>
      <c r="D1568" s="368" t="s">
        <v>502</v>
      </c>
      <c r="J1568" s="370"/>
      <c r="K1568" s="370"/>
      <c r="L1568" s="370"/>
      <c r="M1568" s="436">
        <f>SUM(TrialBalance!L52:L56)</f>
        <v>0</v>
      </c>
      <c r="N1568" s="390"/>
      <c r="O1568" s="451">
        <f>SUM(TrialBalance!N52:N56)</f>
        <v>0</v>
      </c>
      <c r="P1568" s="380"/>
      <c r="Q1568" s="389"/>
      <c r="R1568" s="416" t="str">
        <f t="shared" si="107"/>
        <v>DELETE</v>
      </c>
    </row>
    <row r="1569" spans="2:24" ht="31.5" customHeight="1" x14ac:dyDescent="0.45">
      <c r="B1569" s="388"/>
      <c r="C1569" s="369"/>
      <c r="D1569" s="368" t="s">
        <v>483</v>
      </c>
      <c r="J1569" s="370"/>
      <c r="K1569" s="370">
        <f>C$715</f>
        <v>6.1999999999999993</v>
      </c>
      <c r="L1569" s="370"/>
      <c r="M1569" s="436">
        <f>SUM(TrialBalance!L58:L60)</f>
        <v>0</v>
      </c>
      <c r="N1569" s="390"/>
      <c r="O1569" s="451">
        <f>SUM(TrialBalance!N58:N60)</f>
        <v>0</v>
      </c>
      <c r="P1569" s="380"/>
      <c r="Q1569" s="389"/>
      <c r="R1569" s="416" t="str">
        <f t="shared" si="107"/>
        <v>DELETE</v>
      </c>
      <c r="X1569" s="421"/>
    </row>
    <row r="1570" spans="2:24" ht="31.5" customHeight="1" x14ac:dyDescent="0.45">
      <c r="B1570" s="388"/>
      <c r="C1570" s="369"/>
      <c r="D1570" s="368" t="s">
        <v>76</v>
      </c>
      <c r="J1570" s="370"/>
      <c r="K1570" s="370"/>
      <c r="L1570" s="370"/>
      <c r="M1570" s="436">
        <f>TrialBalance!L61</f>
        <v>0</v>
      </c>
      <c r="N1570" s="390"/>
      <c r="O1570" s="451">
        <f>TrialBalance!N61</f>
        <v>0</v>
      </c>
      <c r="P1570" s="380"/>
      <c r="Q1570" s="389"/>
      <c r="R1570" s="416" t="str">
        <f t="shared" si="107"/>
        <v>DELETE</v>
      </c>
    </row>
    <row r="1571" spans="2:24" ht="31.5" customHeight="1" x14ac:dyDescent="0.45">
      <c r="B1571" s="388"/>
      <c r="C1571" s="369"/>
      <c r="D1571" s="368" t="s">
        <v>254</v>
      </c>
      <c r="J1571" s="370"/>
      <c r="K1571" s="370"/>
      <c r="L1571" s="370"/>
      <c r="M1571" s="436">
        <f>SUM(TrialBalance!L62:L64)</f>
        <v>0</v>
      </c>
      <c r="N1571" s="390"/>
      <c r="O1571" s="451">
        <f>SUM(TrialBalance!N62:N64)</f>
        <v>0</v>
      </c>
      <c r="P1571" s="380"/>
      <c r="Q1571" s="389"/>
      <c r="R1571" s="416" t="str">
        <f t="shared" si="107"/>
        <v>DELETE</v>
      </c>
    </row>
    <row r="1572" spans="2:24" ht="31.5" customHeight="1" x14ac:dyDescent="0.45">
      <c r="B1572" s="388"/>
      <c r="C1572" s="369"/>
      <c r="D1572" s="368" t="s">
        <v>734</v>
      </c>
      <c r="J1572" s="370"/>
      <c r="K1572" s="370"/>
      <c r="L1572" s="370"/>
      <c r="M1572" s="436">
        <f>SUM(TrialBalance!L65:L66)</f>
        <v>0</v>
      </c>
      <c r="N1572" s="390"/>
      <c r="O1572" s="451">
        <f>SUM(TrialBalance!N65:N66)</f>
        <v>0</v>
      </c>
      <c r="P1572" s="380"/>
      <c r="Q1572" s="389"/>
      <c r="R1572" s="416" t="str">
        <f t="shared" si="107"/>
        <v>DELETE</v>
      </c>
    </row>
    <row r="1573" spans="2:24" ht="31.5" customHeight="1" x14ac:dyDescent="0.45">
      <c r="B1573" s="388"/>
      <c r="C1573" s="369"/>
      <c r="D1573" s="368" t="s">
        <v>255</v>
      </c>
      <c r="J1573" s="370"/>
      <c r="K1573" s="370"/>
      <c r="L1573" s="370"/>
      <c r="M1573" s="436">
        <f>TrialBalance!L67</f>
        <v>0</v>
      </c>
      <c r="N1573" s="390"/>
      <c r="O1573" s="451">
        <f>TrialBalance!N67</f>
        <v>0</v>
      </c>
      <c r="P1573" s="380"/>
      <c r="Q1573" s="389"/>
      <c r="R1573" s="416" t="str">
        <f t="shared" si="107"/>
        <v>DELETE</v>
      </c>
    </row>
    <row r="1574" spans="2:24" ht="31.5" customHeight="1" x14ac:dyDescent="0.45">
      <c r="B1574" s="388"/>
      <c r="C1574" s="369"/>
      <c r="D1574" s="368" t="s">
        <v>392</v>
      </c>
      <c r="J1574" s="370"/>
      <c r="K1574" s="370"/>
      <c r="L1574" s="370"/>
      <c r="M1574" s="436">
        <f>TrialBalance!L68</f>
        <v>0</v>
      </c>
      <c r="N1574" s="390"/>
      <c r="O1574" s="451">
        <f>TrialBalance!N68</f>
        <v>0</v>
      </c>
      <c r="P1574" s="380"/>
      <c r="Q1574" s="389"/>
      <c r="R1574" s="416" t="str">
        <f t="shared" si="107"/>
        <v>DELETE</v>
      </c>
    </row>
    <row r="1575" spans="2:24" ht="31.5" customHeight="1" x14ac:dyDescent="0.45">
      <c r="B1575" s="388"/>
      <c r="C1575" s="369"/>
      <c r="D1575" s="368">
        <f>TrialBalance!C69</f>
        <v>0</v>
      </c>
      <c r="J1575" s="370"/>
      <c r="K1575" s="370"/>
      <c r="L1575" s="370"/>
      <c r="M1575" s="436">
        <f>TrialBalance!L69</f>
        <v>0</v>
      </c>
      <c r="N1575" s="390"/>
      <c r="O1575" s="451">
        <f>TrialBalance!N69</f>
        <v>0</v>
      </c>
      <c r="P1575" s="380"/>
      <c r="Q1575" s="389"/>
      <c r="R1575" s="416" t="str">
        <f t="shared" si="107"/>
        <v>DELETE</v>
      </c>
    </row>
    <row r="1576" spans="2:24" ht="31.5" customHeight="1" x14ac:dyDescent="0.45">
      <c r="B1576" s="388"/>
      <c r="C1576" s="369"/>
      <c r="D1576" s="368">
        <f>TrialBalance!C70</f>
        <v>0</v>
      </c>
      <c r="J1576" s="370"/>
      <c r="K1576" s="370"/>
      <c r="L1576" s="370"/>
      <c r="M1576" s="436">
        <f>TrialBalance!L70</f>
        <v>0</v>
      </c>
      <c r="N1576" s="390"/>
      <c r="O1576" s="451">
        <f>TrialBalance!N70</f>
        <v>0</v>
      </c>
      <c r="P1576" s="380"/>
      <c r="Q1576" s="389"/>
      <c r="R1576" s="416" t="str">
        <f t="shared" ref="R1576:R1584" si="108">IF(M1576+O1576=0,"DELETE"," ")</f>
        <v>DELETE</v>
      </c>
    </row>
    <row r="1577" spans="2:24" ht="31.5" customHeight="1" x14ac:dyDescent="0.45">
      <c r="B1577" s="388"/>
      <c r="C1577" s="369"/>
      <c r="D1577" s="368">
        <f>TrialBalance!C71</f>
        <v>0</v>
      </c>
      <c r="J1577" s="370"/>
      <c r="K1577" s="370"/>
      <c r="L1577" s="370"/>
      <c r="M1577" s="436">
        <f>TrialBalance!L71</f>
        <v>0</v>
      </c>
      <c r="N1577" s="390"/>
      <c r="O1577" s="451">
        <f>TrialBalance!N71</f>
        <v>0</v>
      </c>
      <c r="P1577" s="380"/>
      <c r="Q1577" s="389"/>
      <c r="R1577" s="416" t="str">
        <f t="shared" si="108"/>
        <v>DELETE</v>
      </c>
    </row>
    <row r="1578" spans="2:24" ht="31.5" customHeight="1" x14ac:dyDescent="0.45">
      <c r="B1578" s="388"/>
      <c r="C1578" s="369"/>
      <c r="D1578" s="368">
        <f>TrialBalance!C72</f>
        <v>0</v>
      </c>
      <c r="J1578" s="370"/>
      <c r="K1578" s="370"/>
      <c r="L1578" s="370"/>
      <c r="M1578" s="436">
        <f>TrialBalance!L72</f>
        <v>0</v>
      </c>
      <c r="N1578" s="390"/>
      <c r="O1578" s="451">
        <f>TrialBalance!N72</f>
        <v>0</v>
      </c>
      <c r="P1578" s="380"/>
      <c r="Q1578" s="389"/>
      <c r="R1578" s="416" t="str">
        <f t="shared" si="108"/>
        <v>DELETE</v>
      </c>
    </row>
    <row r="1579" spans="2:24" ht="31.5" customHeight="1" x14ac:dyDescent="0.45">
      <c r="B1579" s="388"/>
      <c r="C1579" s="369"/>
      <c r="D1579" s="368">
        <f>TrialBalance!C73</f>
        <v>0</v>
      </c>
      <c r="J1579" s="370"/>
      <c r="K1579" s="370"/>
      <c r="L1579" s="370"/>
      <c r="M1579" s="436">
        <f>TrialBalance!L73</f>
        <v>0</v>
      </c>
      <c r="N1579" s="390"/>
      <c r="O1579" s="451">
        <f>TrialBalance!N73</f>
        <v>0</v>
      </c>
      <c r="P1579" s="380"/>
      <c r="Q1579" s="389"/>
      <c r="R1579" s="416" t="str">
        <f t="shared" si="108"/>
        <v>DELETE</v>
      </c>
    </row>
    <row r="1580" spans="2:24" ht="31.5" customHeight="1" x14ac:dyDescent="0.45">
      <c r="B1580" s="388"/>
      <c r="C1580" s="369"/>
      <c r="D1580" s="368">
        <f>TrialBalance!C74</f>
        <v>0</v>
      </c>
      <c r="J1580" s="370"/>
      <c r="K1580" s="370"/>
      <c r="L1580" s="370"/>
      <c r="M1580" s="436">
        <f>TrialBalance!L74</f>
        <v>0</v>
      </c>
      <c r="N1580" s="390"/>
      <c r="O1580" s="451">
        <f>TrialBalance!N74</f>
        <v>0</v>
      </c>
      <c r="P1580" s="380"/>
      <c r="Q1580" s="389"/>
      <c r="R1580" s="416" t="str">
        <f t="shared" si="108"/>
        <v>DELETE</v>
      </c>
    </row>
    <row r="1581" spans="2:24" ht="31.5" customHeight="1" x14ac:dyDescent="0.45">
      <c r="B1581" s="388"/>
      <c r="C1581" s="369"/>
      <c r="D1581" s="368">
        <f>TrialBalance!C75</f>
        <v>0</v>
      </c>
      <c r="J1581" s="370"/>
      <c r="K1581" s="370"/>
      <c r="L1581" s="370"/>
      <c r="M1581" s="436">
        <f>TrialBalance!L75</f>
        <v>0</v>
      </c>
      <c r="N1581" s="390"/>
      <c r="O1581" s="451">
        <f>TrialBalance!N75</f>
        <v>0</v>
      </c>
      <c r="P1581" s="380"/>
      <c r="Q1581" s="389"/>
      <c r="R1581" s="416" t="str">
        <f t="shared" si="108"/>
        <v>DELETE</v>
      </c>
    </row>
    <row r="1582" spans="2:24" ht="31.5" customHeight="1" x14ac:dyDescent="0.45">
      <c r="B1582" s="388"/>
      <c r="C1582" s="369"/>
      <c r="D1582" s="368">
        <f>TrialBalance!C76</f>
        <v>0</v>
      </c>
      <c r="J1582" s="370"/>
      <c r="K1582" s="370"/>
      <c r="L1582" s="370"/>
      <c r="M1582" s="436">
        <f>TrialBalance!L76</f>
        <v>0</v>
      </c>
      <c r="N1582" s="390"/>
      <c r="O1582" s="451">
        <f>TrialBalance!N76</f>
        <v>0</v>
      </c>
      <c r="P1582" s="380"/>
      <c r="Q1582" s="389"/>
      <c r="R1582" s="416" t="str">
        <f t="shared" si="108"/>
        <v>DELETE</v>
      </c>
    </row>
    <row r="1583" spans="2:24" ht="31.5" customHeight="1" x14ac:dyDescent="0.45">
      <c r="B1583" s="388"/>
      <c r="C1583" s="369"/>
      <c r="D1583" s="368">
        <f>TrialBalance!C77</f>
        <v>0</v>
      </c>
      <c r="J1583" s="370"/>
      <c r="K1583" s="370"/>
      <c r="L1583" s="370"/>
      <c r="M1583" s="436">
        <f>TrialBalance!L77</f>
        <v>0</v>
      </c>
      <c r="N1583" s="390"/>
      <c r="O1583" s="451">
        <f>TrialBalance!N77</f>
        <v>0</v>
      </c>
      <c r="P1583" s="380"/>
      <c r="Q1583" s="389"/>
      <c r="R1583" s="416" t="str">
        <f t="shared" si="108"/>
        <v>DELETE</v>
      </c>
    </row>
    <row r="1584" spans="2:24" ht="31.5" customHeight="1" x14ac:dyDescent="0.45">
      <c r="B1584" s="388"/>
      <c r="C1584" s="369"/>
      <c r="D1584" s="368">
        <f>TrialBalance!C78</f>
        <v>0</v>
      </c>
      <c r="J1584" s="370"/>
      <c r="K1584" s="370"/>
      <c r="L1584" s="370"/>
      <c r="M1584" s="436">
        <f>TrialBalance!L78</f>
        <v>0</v>
      </c>
      <c r="N1584" s="390"/>
      <c r="O1584" s="451">
        <f>TrialBalance!N78</f>
        <v>0</v>
      </c>
      <c r="P1584" s="380"/>
      <c r="Q1584" s="389"/>
      <c r="R1584" s="416" t="str">
        <f t="shared" si="108"/>
        <v>DELETE</v>
      </c>
    </row>
    <row r="1585" spans="2:26" ht="9" customHeight="1" x14ac:dyDescent="0.45">
      <c r="B1585" s="388"/>
      <c r="C1585" s="369"/>
      <c r="J1585" s="370"/>
      <c r="K1585" s="370"/>
      <c r="L1585" s="370"/>
      <c r="M1585" s="437"/>
      <c r="N1585" s="392"/>
      <c r="O1585" s="452"/>
      <c r="P1585" s="380"/>
      <c r="Q1585" s="389"/>
      <c r="R1585" s="416" t="str">
        <f>R1555</f>
        <v>DELETE</v>
      </c>
    </row>
    <row r="1586" spans="2:26" ht="9" customHeight="1" x14ac:dyDescent="0.45">
      <c r="B1586" s="388"/>
      <c r="C1586" s="369"/>
      <c r="J1586" s="370"/>
      <c r="K1586" s="370"/>
      <c r="L1586" s="370"/>
      <c r="M1586" s="438"/>
      <c r="N1586" s="392"/>
      <c r="O1586" s="438"/>
      <c r="P1586" s="380"/>
      <c r="Q1586" s="389"/>
    </row>
    <row r="1587" spans="2:26" ht="9" customHeight="1" x14ac:dyDescent="0.45">
      <c r="B1587" s="388"/>
      <c r="C1587" s="369"/>
      <c r="J1587" s="370"/>
      <c r="K1587" s="370"/>
      <c r="L1587" s="370"/>
      <c r="M1587" s="434"/>
      <c r="N1587" s="390"/>
      <c r="O1587" s="434"/>
      <c r="P1587" s="380"/>
      <c r="Q1587" s="389"/>
    </row>
    <row r="1588" spans="2:26" ht="31.5" customHeight="1" x14ac:dyDescent="0.45">
      <c r="B1588" s="388"/>
      <c r="C1588" s="411" t="str">
        <f>IF((Y1588+Z1588)=3,"OPERATING PROFIT/(LOSS)",(IF((Y1588+Z1588=4),"OPERATING PROFIT","OPERATING LOSS")))</f>
        <v>OPERATING PROFIT</v>
      </c>
      <c r="J1588" s="370"/>
      <c r="K1588" s="370"/>
      <c r="L1588" s="370"/>
      <c r="M1588" s="434">
        <f>SUM(S1521:S1586)</f>
        <v>0</v>
      </c>
      <c r="N1588" s="390"/>
      <c r="O1588" s="434">
        <f>SUM(U1521:U1586)</f>
        <v>0</v>
      </c>
      <c r="P1588" s="380"/>
      <c r="Q1588" s="389"/>
      <c r="Y1588" s="417">
        <f>IF(M1588&lt;0,1,IF(M1588=0,IF(O1588&lt;0,1,2),2))</f>
        <v>2</v>
      </c>
      <c r="Z1588" s="417">
        <f>IF(O1588&lt;0,1,IF(O1588=0,IF(M1588&lt;0,1,2),2))</f>
        <v>2</v>
      </c>
    </row>
    <row r="1589" spans="2:26" ht="31.5" customHeight="1" x14ac:dyDescent="0.45">
      <c r="B1589" s="388"/>
      <c r="C1589" s="369"/>
      <c r="D1589" s="368" t="s">
        <v>257</v>
      </c>
      <c r="J1589" s="370"/>
      <c r="K1589" s="370"/>
      <c r="L1589" s="370"/>
      <c r="M1589" s="434"/>
      <c r="N1589" s="390"/>
      <c r="O1589" s="434"/>
      <c r="P1589" s="380"/>
      <c r="Q1589" s="389"/>
    </row>
    <row r="1590" spans="2:26" ht="31.5" customHeight="1" x14ac:dyDescent="0.45">
      <c r="B1590" s="388"/>
      <c r="C1590" s="369"/>
      <c r="J1590" s="370"/>
      <c r="K1590" s="370"/>
      <c r="L1590" s="370"/>
      <c r="M1590" s="434"/>
      <c r="N1590" s="390"/>
      <c r="O1590" s="434"/>
      <c r="P1590" s="380"/>
      <c r="Q1590" s="389"/>
    </row>
    <row r="1591" spans="2:26" ht="31.5" customHeight="1" x14ac:dyDescent="0.45">
      <c r="B1591" s="388"/>
      <c r="C1591" s="369"/>
      <c r="J1591" s="370"/>
      <c r="K1591" s="370"/>
      <c r="L1591" s="370"/>
      <c r="M1591" s="434"/>
      <c r="N1591" s="390"/>
      <c r="O1591" s="434"/>
      <c r="P1591" s="380"/>
      <c r="Q1591" s="389"/>
    </row>
    <row r="1592" spans="2:26" ht="31.5" customHeight="1" x14ac:dyDescent="0.45">
      <c r="B1592" s="396"/>
      <c r="C1592" s="407"/>
      <c r="D1592" s="383"/>
      <c r="E1592" s="383"/>
      <c r="F1592" s="383"/>
      <c r="G1592" s="383"/>
      <c r="H1592" s="383"/>
      <c r="I1592" s="383"/>
      <c r="J1592" s="403"/>
      <c r="K1592" s="403"/>
      <c r="L1592" s="403"/>
      <c r="M1592" s="438"/>
      <c r="N1592" s="392"/>
      <c r="O1592" s="438"/>
      <c r="P1592" s="404"/>
      <c r="Q1592" s="398"/>
    </row>
    <row r="1593" spans="2:26" ht="31.5" customHeight="1" x14ac:dyDescent="0.45">
      <c r="C1593" s="369"/>
      <c r="J1593" s="370"/>
      <c r="K1593" s="370"/>
      <c r="L1593" s="370"/>
      <c r="M1593" s="434"/>
      <c r="N1593" s="390"/>
      <c r="O1593" s="434"/>
      <c r="P1593" s="380"/>
    </row>
    <row r="1594" spans="2:26" ht="31.5" customHeight="1" x14ac:dyDescent="0.45">
      <c r="C1594" s="369"/>
      <c r="J1594" s="370"/>
      <c r="K1594" s="370"/>
      <c r="L1594" s="370"/>
      <c r="M1594" s="434"/>
      <c r="N1594" s="390"/>
      <c r="O1594" s="434"/>
      <c r="P1594" s="380"/>
    </row>
    <row r="1595" spans="2:26" ht="31.5" customHeight="1" x14ac:dyDescent="0.45">
      <c r="C1595" s="369"/>
      <c r="D1595" s="369" t="str">
        <f>Criteria!E9</f>
        <v>ABC TRUST</v>
      </c>
      <c r="J1595" s="370"/>
      <c r="K1595" s="370"/>
      <c r="L1595" s="370"/>
      <c r="M1595" s="434"/>
      <c r="N1595" s="390"/>
      <c r="O1595" s="434" t="s">
        <v>105</v>
      </c>
      <c r="P1595" s="380"/>
      <c r="Q1595" s="370">
        <f>MAX($Q$114:Q1594)+1</f>
        <v>35</v>
      </c>
    </row>
    <row r="1596" spans="2:26" ht="31.5" customHeight="1" x14ac:dyDescent="0.45">
      <c r="C1596" s="369"/>
      <c r="D1596" s="369" t="str">
        <f>IF(Criteria!E13=0," ",CONCATENATE("T/A ",Criteria!E13))</f>
        <v>T/A RENTAL PROPERTIES</v>
      </c>
      <c r="J1596" s="370"/>
      <c r="K1596" s="370"/>
      <c r="L1596" s="370"/>
      <c r="M1596" s="434"/>
      <c r="N1596" s="390"/>
      <c r="O1596" s="434"/>
      <c r="P1596" s="380"/>
      <c r="R1596" s="416" t="str">
        <f>IF(Criteria!E13=0,"DELETE"," ")</f>
        <v xml:space="preserve"> </v>
      </c>
    </row>
    <row r="1597" spans="2:26" ht="31.5" customHeight="1" x14ac:dyDescent="0.45">
      <c r="C1597" s="369"/>
      <c r="J1597" s="370"/>
      <c r="K1597" s="370"/>
      <c r="L1597" s="370"/>
      <c r="M1597" s="434"/>
      <c r="N1597" s="390"/>
      <c r="O1597" s="434"/>
      <c r="P1597" s="380"/>
    </row>
    <row r="1598" spans="2:26" ht="31.5" customHeight="1" x14ac:dyDescent="0.45">
      <c r="C1598" s="369"/>
      <c r="D1598" s="369" t="s">
        <v>100</v>
      </c>
      <c r="J1598" s="370"/>
      <c r="K1598" s="370"/>
      <c r="L1598" s="370"/>
      <c r="M1598" s="434"/>
      <c r="N1598" s="390"/>
      <c r="O1598" s="434"/>
      <c r="P1598" s="380"/>
    </row>
    <row r="1599" spans="2:26" ht="31.5" customHeight="1" x14ac:dyDescent="0.45">
      <c r="C1599" s="369"/>
      <c r="D1599" s="369" t="str">
        <f>D1516</f>
        <v>29 FEBRUARY 2024</v>
      </c>
      <c r="H1599" s="368" t="s">
        <v>111</v>
      </c>
      <c r="J1599" s="370"/>
      <c r="K1599" s="370"/>
      <c r="L1599" s="370"/>
      <c r="M1599" s="434"/>
      <c r="N1599" s="390"/>
      <c r="O1599" s="434"/>
      <c r="P1599" s="380"/>
    </row>
    <row r="1600" spans="2:26" ht="31.5" customHeight="1" x14ac:dyDescent="0.45">
      <c r="C1600" s="369"/>
      <c r="J1600" s="370"/>
      <c r="K1600" s="403"/>
      <c r="L1600" s="403"/>
      <c r="M1600" s="438"/>
      <c r="N1600" s="392"/>
      <c r="O1600" s="438"/>
      <c r="P1600" s="380"/>
    </row>
    <row r="1601" spans="2:26" ht="31.5" customHeight="1" x14ac:dyDescent="0.45">
      <c r="B1601" s="385"/>
      <c r="C1601" s="410"/>
      <c r="D1601" s="386"/>
      <c r="E1601" s="386"/>
      <c r="F1601" s="386"/>
      <c r="G1601" s="386"/>
      <c r="H1601" s="386"/>
      <c r="I1601" s="386"/>
      <c r="J1601" s="413"/>
      <c r="M1601" s="479"/>
      <c r="N1601" s="469"/>
      <c r="O1601" s="479"/>
      <c r="P1601" s="406"/>
      <c r="Q1601" s="387"/>
    </row>
    <row r="1602" spans="2:26" ht="31.5" customHeight="1" x14ac:dyDescent="0.45">
      <c r="B1602" s="388"/>
      <c r="C1602" s="369"/>
      <c r="J1602" s="370"/>
      <c r="K1602" s="370" t="s">
        <v>113</v>
      </c>
      <c r="L1602" s="370"/>
      <c r="M1602" s="430">
        <f>Criteria!E22</f>
        <v>2024</v>
      </c>
      <c r="N1602" s="379"/>
      <c r="O1602" s="430">
        <f>Criteria!E27</f>
        <v>2023</v>
      </c>
      <c r="P1602" s="380"/>
      <c r="Q1602" s="389"/>
    </row>
    <row r="1603" spans="2:26" ht="31.5" customHeight="1" x14ac:dyDescent="0.45">
      <c r="B1603" s="388"/>
      <c r="C1603" s="369"/>
      <c r="J1603" s="370"/>
      <c r="K1603" s="370"/>
      <c r="L1603" s="370"/>
      <c r="M1603" s="434"/>
      <c r="N1603" s="390"/>
      <c r="O1603" s="434"/>
      <c r="P1603" s="380"/>
      <c r="Q1603" s="389"/>
    </row>
    <row r="1604" spans="2:26" ht="31.5" customHeight="1" x14ac:dyDescent="0.45">
      <c r="B1604" s="388"/>
      <c r="C1604" s="411" t="str">
        <f>IF((Y1604+Z1604)=3,"OPERATING PROFIT/(LOSS)",(IF((Y1604+Z1604=4),"OPERATING PROFIT","OPERATING LOSS")))</f>
        <v>OPERATING PROFIT</v>
      </c>
      <c r="J1604" s="370"/>
      <c r="K1604" s="370"/>
      <c r="L1604" s="370"/>
      <c r="M1604" s="434">
        <f>SUM(S1521:S1585)</f>
        <v>0</v>
      </c>
      <c r="N1604" s="390"/>
      <c r="O1604" s="434">
        <f>SUM(U1521:U1585)</f>
        <v>0</v>
      </c>
      <c r="P1604" s="380"/>
      <c r="Q1604" s="389"/>
      <c r="V1604" s="417" t="b">
        <f>M1604=M1588</f>
        <v>1</v>
      </c>
      <c r="X1604" s="417" t="b">
        <f>O1604=O1588</f>
        <v>1</v>
      </c>
      <c r="Y1604" s="417">
        <f>IF(M1604&lt;0,1,IF(M1604=0,IF(O1604&lt;0,1,2),2))</f>
        <v>2</v>
      </c>
      <c r="Z1604" s="417">
        <f>IF(O1604&lt;0,1,IF(O1604=0,IF(M1604&lt;0,1,2),2))</f>
        <v>2</v>
      </c>
    </row>
    <row r="1605" spans="2:26" ht="31.5" customHeight="1" x14ac:dyDescent="0.45">
      <c r="B1605" s="388"/>
      <c r="C1605" s="369"/>
      <c r="D1605" s="368" t="s">
        <v>258</v>
      </c>
      <c r="J1605" s="370"/>
      <c r="K1605" s="370"/>
      <c r="L1605" s="370"/>
      <c r="M1605" s="434"/>
      <c r="N1605" s="390"/>
      <c r="O1605" s="434"/>
      <c r="P1605" s="380"/>
      <c r="Q1605" s="389"/>
    </row>
    <row r="1606" spans="2:26" ht="31.5" customHeight="1" x14ac:dyDescent="0.45">
      <c r="B1606" s="388"/>
      <c r="C1606" s="369"/>
      <c r="J1606" s="370"/>
      <c r="K1606" s="370"/>
      <c r="L1606" s="370"/>
      <c r="M1606" s="434"/>
      <c r="N1606" s="390"/>
      <c r="O1606" s="434"/>
      <c r="P1606" s="380"/>
      <c r="Q1606" s="389"/>
    </row>
    <row r="1607" spans="2:26" ht="31.5" customHeight="1" x14ac:dyDescent="0.45">
      <c r="B1607" s="388"/>
      <c r="C1607" s="369" t="s">
        <v>1045</v>
      </c>
      <c r="J1607" s="370"/>
      <c r="K1607" s="370"/>
      <c r="L1607" s="370"/>
      <c r="M1607" s="434">
        <f>SUM(M1610:M1643)</f>
        <v>0</v>
      </c>
      <c r="N1607" s="390"/>
      <c r="O1607" s="434">
        <f>SUM(O1610:O1643)</f>
        <v>0</v>
      </c>
      <c r="P1607" s="380"/>
      <c r="Q1607" s="389"/>
      <c r="R1607" s="416" t="str">
        <f>IF(M1607+O1607=0,"DELETE"," ")</f>
        <v>DELETE</v>
      </c>
      <c r="S1607" s="421">
        <f>-M1607</f>
        <v>0</v>
      </c>
      <c r="T1607" s="421"/>
      <c r="U1607" s="421">
        <f>-O1607</f>
        <v>0</v>
      </c>
      <c r="V1607" s="421"/>
      <c r="W1607" s="421"/>
      <c r="X1607" s="421"/>
    </row>
    <row r="1608" spans="2:26" ht="9" customHeight="1" x14ac:dyDescent="0.45">
      <c r="B1608" s="388"/>
      <c r="C1608" s="369"/>
      <c r="J1608" s="370"/>
      <c r="K1608" s="370"/>
      <c r="L1608" s="370"/>
      <c r="M1608" s="434"/>
      <c r="N1608" s="390"/>
      <c r="O1608" s="434"/>
      <c r="P1608" s="380"/>
      <c r="Q1608" s="389"/>
      <c r="R1608" s="416" t="str">
        <f>R1607</f>
        <v>DELETE</v>
      </c>
    </row>
    <row r="1609" spans="2:26" ht="9" customHeight="1" x14ac:dyDescent="0.45">
      <c r="B1609" s="388"/>
      <c r="C1609" s="369"/>
      <c r="J1609" s="370"/>
      <c r="K1609" s="370"/>
      <c r="L1609" s="370"/>
      <c r="M1609" s="435"/>
      <c r="N1609" s="391"/>
      <c r="O1609" s="450"/>
      <c r="P1609" s="380"/>
      <c r="Q1609" s="389"/>
      <c r="R1609" s="416" t="str">
        <f>R1608</f>
        <v>DELETE</v>
      </c>
    </row>
    <row r="1610" spans="2:26" ht="31.5" customHeight="1" x14ac:dyDescent="0.45">
      <c r="B1610" s="388"/>
      <c r="C1610" s="369"/>
      <c r="D1610" s="368" t="s">
        <v>218</v>
      </c>
      <c r="J1610" s="370"/>
      <c r="K1610" s="370"/>
      <c r="L1610" s="370"/>
      <c r="M1610" s="436">
        <f>SUM(TrialBalance!L88:L88)</f>
        <v>0</v>
      </c>
      <c r="N1610" s="390"/>
      <c r="O1610" s="451">
        <f>SUM(TrialBalance!N88:N88)</f>
        <v>0</v>
      </c>
      <c r="P1610" s="380"/>
      <c r="Q1610" s="389"/>
      <c r="R1610" s="416" t="str">
        <f t="shared" ref="R1610:R1636" si="109">IF(M1610+O1610=0,"DELETE"," ")</f>
        <v>DELETE</v>
      </c>
    </row>
    <row r="1611" spans="2:26" ht="31.5" customHeight="1" x14ac:dyDescent="0.45">
      <c r="B1611" s="388"/>
      <c r="C1611" s="369"/>
      <c r="D1611" s="368" t="s">
        <v>640</v>
      </c>
      <c r="J1611" s="370"/>
      <c r="K1611" s="370"/>
      <c r="L1611" s="370"/>
      <c r="M1611" s="436">
        <f>SUM(TrialBalance!L85:L87)</f>
        <v>0</v>
      </c>
      <c r="N1611" s="390"/>
      <c r="O1611" s="451">
        <f>SUM(TrialBalance!N85:N87)</f>
        <v>0</v>
      </c>
      <c r="P1611" s="380"/>
      <c r="Q1611" s="389"/>
      <c r="R1611" s="416" t="str">
        <f t="shared" si="109"/>
        <v>DELETE</v>
      </c>
    </row>
    <row r="1612" spans="2:26" ht="31.5" customHeight="1" x14ac:dyDescent="0.45">
      <c r="B1612" s="388"/>
      <c r="C1612" s="369"/>
      <c r="D1612" s="368" t="s">
        <v>222</v>
      </c>
      <c r="J1612" s="370"/>
      <c r="K1612" s="370"/>
      <c r="L1612" s="370"/>
      <c r="M1612" s="436">
        <f>TrialBalance!L90</f>
        <v>0</v>
      </c>
      <c r="N1612" s="390"/>
      <c r="O1612" s="451">
        <f>TrialBalance!N90</f>
        <v>0</v>
      </c>
      <c r="P1612" s="380"/>
      <c r="Q1612" s="389"/>
      <c r="R1612" s="416" t="str">
        <f t="shared" ref="R1612" si="110">IF(M1612+O1612=0,"DELETE"," ")</f>
        <v>DELETE</v>
      </c>
    </row>
    <row r="1613" spans="2:26" ht="31.5" customHeight="1" x14ac:dyDescent="0.45">
      <c r="B1613" s="388"/>
      <c r="C1613" s="369"/>
      <c r="D1613" s="368" t="s">
        <v>220</v>
      </c>
      <c r="J1613" s="370"/>
      <c r="K1613" s="370"/>
      <c r="L1613" s="370"/>
      <c r="M1613" s="436">
        <f>TrialBalance!L89</f>
        <v>0</v>
      </c>
      <c r="N1613" s="390"/>
      <c r="O1613" s="451">
        <f>TrialBalance!N89</f>
        <v>0</v>
      </c>
      <c r="P1613" s="380"/>
      <c r="Q1613" s="389"/>
      <c r="R1613" s="416" t="str">
        <f t="shared" si="109"/>
        <v>DELETE</v>
      </c>
    </row>
    <row r="1614" spans="2:26" ht="31.5" customHeight="1" x14ac:dyDescent="0.45">
      <c r="B1614" s="388"/>
      <c r="C1614" s="369"/>
      <c r="D1614" s="368" t="s">
        <v>259</v>
      </c>
      <c r="J1614" s="370"/>
      <c r="K1614" s="370"/>
      <c r="L1614" s="370"/>
      <c r="M1614" s="436">
        <f>TrialBalance!L91</f>
        <v>0</v>
      </c>
      <c r="N1614" s="390"/>
      <c r="O1614" s="451">
        <f>TrialBalance!N91</f>
        <v>0</v>
      </c>
      <c r="P1614" s="380"/>
      <c r="Q1614" s="389"/>
      <c r="R1614" s="416" t="str">
        <f t="shared" si="109"/>
        <v>DELETE</v>
      </c>
    </row>
    <row r="1615" spans="2:26" ht="31.5" customHeight="1" x14ac:dyDescent="0.45">
      <c r="B1615" s="388"/>
      <c r="C1615" s="369"/>
      <c r="D1615" s="368" t="s">
        <v>225</v>
      </c>
      <c r="J1615" s="370"/>
      <c r="K1615" s="370"/>
      <c r="L1615" s="370"/>
      <c r="M1615" s="436">
        <f>TrialBalance!L92</f>
        <v>0</v>
      </c>
      <c r="N1615" s="390"/>
      <c r="O1615" s="451">
        <f>TrialBalance!N92</f>
        <v>0</v>
      </c>
      <c r="P1615" s="380"/>
      <c r="Q1615" s="389"/>
      <c r="R1615" s="416" t="str">
        <f t="shared" si="109"/>
        <v>DELETE</v>
      </c>
    </row>
    <row r="1616" spans="2:26" ht="31.5" customHeight="1" x14ac:dyDescent="0.45">
      <c r="B1616" s="388"/>
      <c r="C1616" s="369"/>
      <c r="D1616" s="368" t="s">
        <v>735</v>
      </c>
      <c r="J1616" s="370"/>
      <c r="K1616" s="370"/>
      <c r="L1616" s="370"/>
      <c r="M1616" s="436">
        <f>TrialBalance!L93</f>
        <v>0</v>
      </c>
      <c r="N1616" s="390"/>
      <c r="O1616" s="451">
        <f>TrialBalance!N93</f>
        <v>0</v>
      </c>
      <c r="P1616" s="380"/>
      <c r="Q1616" s="389"/>
      <c r="R1616" s="416" t="str">
        <f t="shared" ref="R1616" si="111">IF(M1616+O1616=0,"DELETE"," ")</f>
        <v>DELETE</v>
      </c>
    </row>
    <row r="1617" spans="2:18" ht="31.5" customHeight="1" x14ac:dyDescent="0.45">
      <c r="B1617" s="388"/>
      <c r="C1617" s="369"/>
      <c r="D1617" s="368" t="s">
        <v>279</v>
      </c>
      <c r="J1617" s="370"/>
      <c r="K1617" s="370">
        <f>C$747</f>
        <v>6.2999999999999989</v>
      </c>
      <c r="L1617" s="370"/>
      <c r="M1617" s="436">
        <f>SUM(TrialBalance!L95:L96)</f>
        <v>0</v>
      </c>
      <c r="N1617" s="390"/>
      <c r="O1617" s="451">
        <f>SUM(TrialBalance!N95:N96)</f>
        <v>0</v>
      </c>
      <c r="P1617" s="380"/>
      <c r="Q1617" s="389"/>
      <c r="R1617" s="416" t="str">
        <f t="shared" si="109"/>
        <v>DELETE</v>
      </c>
    </row>
    <row r="1618" spans="2:18" ht="31.5" customHeight="1" x14ac:dyDescent="0.45">
      <c r="B1618" s="388"/>
      <c r="C1618" s="369"/>
      <c r="D1618" s="368" t="s">
        <v>260</v>
      </c>
      <c r="J1618" s="370"/>
      <c r="K1618" s="370"/>
      <c r="L1618" s="370"/>
      <c r="M1618" s="436">
        <f>TrialBalance!L103</f>
        <v>0</v>
      </c>
      <c r="N1618" s="390"/>
      <c r="O1618" s="451">
        <f>TrialBalance!N103</f>
        <v>0</v>
      </c>
      <c r="P1618" s="380"/>
      <c r="Q1618" s="389"/>
      <c r="R1618" s="416" t="str">
        <f t="shared" si="109"/>
        <v>DELETE</v>
      </c>
    </row>
    <row r="1619" spans="2:18" ht="31.5" customHeight="1" x14ac:dyDescent="0.45">
      <c r="B1619" s="388"/>
      <c r="C1619" s="369"/>
      <c r="D1619" s="368" t="s">
        <v>375</v>
      </c>
      <c r="J1619" s="370"/>
      <c r="K1619" s="370"/>
      <c r="L1619" s="370"/>
      <c r="M1619" s="436">
        <f>TrialBalance!L104</f>
        <v>0</v>
      </c>
      <c r="N1619" s="390"/>
      <c r="O1619" s="451">
        <f>TrialBalance!N104</f>
        <v>0</v>
      </c>
      <c r="P1619" s="380"/>
      <c r="Q1619" s="389"/>
      <c r="R1619" s="416" t="str">
        <f t="shared" si="109"/>
        <v>DELETE</v>
      </c>
    </row>
    <row r="1620" spans="2:18" ht="31.5" customHeight="1" x14ac:dyDescent="0.45">
      <c r="B1620" s="388"/>
      <c r="C1620" s="369"/>
      <c r="D1620" s="368" t="s">
        <v>326</v>
      </c>
      <c r="J1620" s="370"/>
      <c r="K1620" s="370"/>
      <c r="L1620" s="370"/>
      <c r="M1620" s="436">
        <f>TrialBalance!L105</f>
        <v>0</v>
      </c>
      <c r="N1620" s="390"/>
      <c r="O1620" s="451">
        <f>TrialBalance!N105</f>
        <v>0</v>
      </c>
      <c r="P1620" s="380"/>
      <c r="Q1620" s="389"/>
      <c r="R1620" s="416" t="str">
        <f t="shared" si="109"/>
        <v>DELETE</v>
      </c>
    </row>
    <row r="1621" spans="2:18" ht="31.5" customHeight="1" x14ac:dyDescent="0.45">
      <c r="B1621" s="388"/>
      <c r="C1621" s="369"/>
      <c r="D1621" s="368" t="s">
        <v>377</v>
      </c>
      <c r="J1621" s="370"/>
      <c r="K1621" s="370"/>
      <c r="L1621" s="370"/>
      <c r="M1621" s="436">
        <f>TrialBalance!L106</f>
        <v>0</v>
      </c>
      <c r="N1621" s="390"/>
      <c r="O1621" s="451">
        <f>TrialBalance!N106</f>
        <v>0</v>
      </c>
      <c r="P1621" s="380"/>
      <c r="Q1621" s="389"/>
      <c r="R1621" s="416" t="str">
        <f t="shared" ref="R1621" si="112">IF(M1621+O1621=0,"DELETE"," ")</f>
        <v>DELETE</v>
      </c>
    </row>
    <row r="1622" spans="2:18" ht="31.5" customHeight="1" x14ac:dyDescent="0.45">
      <c r="B1622" s="388"/>
      <c r="C1622" s="369"/>
      <c r="D1622" s="368" t="str">
        <f>TrialBalance!C141</f>
        <v>Impairment losses</v>
      </c>
      <c r="J1622" s="370"/>
      <c r="K1622" s="370"/>
      <c r="L1622" s="370"/>
      <c r="M1622" s="436">
        <f>TrialBalance!L141</f>
        <v>0</v>
      </c>
      <c r="N1622" s="390"/>
      <c r="O1622" s="451">
        <f>TrialBalance!N141</f>
        <v>0</v>
      </c>
      <c r="P1622" s="380"/>
      <c r="Q1622" s="389"/>
      <c r="R1622" s="416" t="str">
        <f>IF(M1622+O1622=0,"DELETE"," ")</f>
        <v>DELETE</v>
      </c>
    </row>
    <row r="1623" spans="2:18" ht="31.5" customHeight="1" x14ac:dyDescent="0.45">
      <c r="B1623" s="388"/>
      <c r="C1623" s="369"/>
      <c r="D1623" s="368" t="s">
        <v>496</v>
      </c>
      <c r="J1623" s="370"/>
      <c r="K1623" s="370"/>
      <c r="L1623" s="370"/>
      <c r="M1623" s="436">
        <f>TrialBalance!L107+TrialBalance!L108</f>
        <v>0</v>
      </c>
      <c r="N1623" s="390"/>
      <c r="O1623" s="451">
        <f>TrialBalance!N107+TrialBalance!N108</f>
        <v>0</v>
      </c>
      <c r="P1623" s="380"/>
      <c r="Q1623" s="389"/>
      <c r="R1623" s="416" t="str">
        <f t="shared" si="109"/>
        <v>DELETE</v>
      </c>
    </row>
    <row r="1624" spans="2:18" ht="31.5" customHeight="1" x14ac:dyDescent="0.45">
      <c r="B1624" s="388"/>
      <c r="C1624" s="369"/>
      <c r="D1624" s="368" t="s">
        <v>519</v>
      </c>
      <c r="J1624" s="370"/>
      <c r="K1624" s="370"/>
      <c r="L1624" s="370"/>
      <c r="M1624" s="436">
        <f>IF(TrialBalance!L81&gt;0,TrialBalance!L81,0)</f>
        <v>0</v>
      </c>
      <c r="N1624" s="390"/>
      <c r="O1624" s="451">
        <f>IF(TrialBalance!N81&gt;0,TrialBalance!N81,0)</f>
        <v>0</v>
      </c>
      <c r="P1624" s="380"/>
      <c r="Q1624" s="389"/>
      <c r="R1624" s="416" t="str">
        <f t="shared" ref="R1624" si="113">IF(M1624+O1624=0,"DELETE"," ")</f>
        <v>DELETE</v>
      </c>
    </row>
    <row r="1625" spans="2:18" ht="31.5" customHeight="1" x14ac:dyDescent="0.45">
      <c r="B1625" s="388"/>
      <c r="C1625" s="369"/>
      <c r="D1625" s="368" t="s">
        <v>736</v>
      </c>
      <c r="J1625" s="370"/>
      <c r="K1625" s="370"/>
      <c r="L1625" s="370"/>
      <c r="M1625" s="436">
        <f>TrialBalance!L109</f>
        <v>0</v>
      </c>
      <c r="N1625" s="390"/>
      <c r="O1625" s="451">
        <f>TrialBalance!N109</f>
        <v>0</v>
      </c>
      <c r="P1625" s="380"/>
      <c r="Q1625" s="389"/>
      <c r="R1625" s="416" t="str">
        <f t="shared" ref="R1625" si="114">IF(M1625+O1625=0,"DELETE"," ")</f>
        <v>DELETE</v>
      </c>
    </row>
    <row r="1626" spans="2:18" ht="31.5" customHeight="1" x14ac:dyDescent="0.45">
      <c r="B1626" s="388"/>
      <c r="C1626" s="369"/>
      <c r="D1626" s="368" t="s">
        <v>261</v>
      </c>
      <c r="J1626" s="370"/>
      <c r="K1626" s="370"/>
      <c r="L1626" s="370"/>
      <c r="M1626" s="436">
        <f>TrialBalance!L110</f>
        <v>0</v>
      </c>
      <c r="N1626" s="390"/>
      <c r="O1626" s="451">
        <f>TrialBalance!N110</f>
        <v>0</v>
      </c>
      <c r="P1626" s="380"/>
      <c r="Q1626" s="389"/>
      <c r="R1626" s="416" t="str">
        <f t="shared" si="109"/>
        <v>DELETE</v>
      </c>
    </row>
    <row r="1627" spans="2:18" ht="31.5" customHeight="1" x14ac:dyDescent="0.45">
      <c r="B1627" s="388"/>
      <c r="C1627" s="369"/>
      <c r="D1627" s="368" t="s">
        <v>254</v>
      </c>
      <c r="J1627" s="370"/>
      <c r="K1627" s="370"/>
      <c r="L1627" s="370"/>
      <c r="M1627" s="436">
        <f>SUM(TrialBalance!L111:L112)</f>
        <v>0</v>
      </c>
      <c r="N1627" s="390"/>
      <c r="O1627" s="451">
        <f>SUM(TrialBalance!N111:N112)</f>
        <v>0</v>
      </c>
      <c r="P1627" s="380"/>
      <c r="Q1627" s="389"/>
      <c r="R1627" s="416" t="str">
        <f t="shared" si="109"/>
        <v>DELETE</v>
      </c>
    </row>
    <row r="1628" spans="2:18" ht="31.5" customHeight="1" x14ac:dyDescent="0.45">
      <c r="B1628" s="388"/>
      <c r="C1628" s="369"/>
      <c r="D1628" s="368" t="s">
        <v>262</v>
      </c>
      <c r="J1628" s="370"/>
      <c r="K1628" s="370"/>
      <c r="L1628" s="370"/>
      <c r="M1628" s="436">
        <f>TrialBalance!L113</f>
        <v>0</v>
      </c>
      <c r="N1628" s="390"/>
      <c r="O1628" s="451">
        <f>TrialBalance!N113</f>
        <v>0</v>
      </c>
      <c r="P1628" s="380"/>
      <c r="Q1628" s="389"/>
      <c r="R1628" s="416" t="str">
        <f t="shared" si="109"/>
        <v>DELETE</v>
      </c>
    </row>
    <row r="1629" spans="2:18" ht="31.5" customHeight="1" x14ac:dyDescent="0.45">
      <c r="B1629" s="388"/>
      <c r="C1629" s="369"/>
      <c r="D1629" s="368" t="s">
        <v>737</v>
      </c>
      <c r="J1629" s="370"/>
      <c r="K1629" s="370"/>
      <c r="L1629" s="370"/>
      <c r="M1629" s="436">
        <f>TrialBalance!L114</f>
        <v>0</v>
      </c>
      <c r="N1629" s="390"/>
      <c r="O1629" s="451">
        <f>TrialBalance!N114</f>
        <v>0</v>
      </c>
      <c r="P1629" s="380"/>
      <c r="Q1629" s="389"/>
      <c r="R1629" s="416" t="str">
        <f t="shared" si="109"/>
        <v>DELETE</v>
      </c>
    </row>
    <row r="1630" spans="2:18" ht="31.5" customHeight="1" x14ac:dyDescent="0.45">
      <c r="B1630" s="388"/>
      <c r="C1630" s="369"/>
      <c r="D1630" s="368" t="s">
        <v>88</v>
      </c>
      <c r="J1630" s="370"/>
      <c r="K1630" s="370"/>
      <c r="L1630" s="370"/>
      <c r="M1630" s="436">
        <f>TrialBalance!L115</f>
        <v>0</v>
      </c>
      <c r="N1630" s="390"/>
      <c r="O1630" s="451">
        <f>TrialBalance!N115</f>
        <v>0</v>
      </c>
      <c r="P1630" s="380"/>
      <c r="Q1630" s="389"/>
      <c r="R1630" s="416" t="str">
        <f t="shared" si="109"/>
        <v>DELETE</v>
      </c>
    </row>
    <row r="1631" spans="2:18" ht="31.5" customHeight="1" x14ac:dyDescent="0.45">
      <c r="B1631" s="388"/>
      <c r="C1631" s="369"/>
      <c r="D1631" s="368" t="str">
        <f>IF(MAX(Criteria!I38:I42)&gt;1,"Trustees' remuneration","Trustee's remuneration")</f>
        <v>Trustees' remuneration</v>
      </c>
      <c r="J1631" s="370"/>
      <c r="K1631" s="370">
        <f>C$688</f>
        <v>6.1</v>
      </c>
      <c r="L1631" s="370"/>
      <c r="M1631" s="436">
        <f>SUM(TrialBalance!L98:L102)</f>
        <v>0</v>
      </c>
      <c r="N1631" s="390"/>
      <c r="O1631" s="451">
        <f>SUM(TrialBalance!N98:N102)</f>
        <v>0</v>
      </c>
      <c r="P1631" s="380"/>
      <c r="Q1631" s="389"/>
      <c r="R1631" s="416" t="str">
        <f t="shared" si="109"/>
        <v>DELETE</v>
      </c>
    </row>
    <row r="1632" spans="2:18" ht="31.5" customHeight="1" x14ac:dyDescent="0.45">
      <c r="B1632" s="388"/>
      <c r="C1632" s="369"/>
      <c r="D1632" s="368">
        <f>TrialBalance!C116</f>
        <v>0</v>
      </c>
      <c r="J1632" s="370"/>
      <c r="K1632" s="370"/>
      <c r="L1632" s="370"/>
      <c r="M1632" s="436">
        <f>TrialBalance!L116</f>
        <v>0</v>
      </c>
      <c r="N1632" s="390"/>
      <c r="O1632" s="451">
        <f>TrialBalance!N116</f>
        <v>0</v>
      </c>
      <c r="P1632" s="380"/>
      <c r="Q1632" s="389"/>
      <c r="R1632" s="416" t="str">
        <f t="shared" si="109"/>
        <v>DELETE</v>
      </c>
    </row>
    <row r="1633" spans="2:26" ht="31.5" customHeight="1" x14ac:dyDescent="0.45">
      <c r="B1633" s="388"/>
      <c r="C1633" s="369"/>
      <c r="D1633" s="368">
        <f>TrialBalance!C117</f>
        <v>0</v>
      </c>
      <c r="J1633" s="370"/>
      <c r="K1633" s="370"/>
      <c r="L1633" s="370"/>
      <c r="M1633" s="436">
        <f>TrialBalance!L117</f>
        <v>0</v>
      </c>
      <c r="N1633" s="390"/>
      <c r="O1633" s="451">
        <f>TrialBalance!N117</f>
        <v>0</v>
      </c>
      <c r="P1633" s="380"/>
      <c r="Q1633" s="389"/>
      <c r="R1633" s="416" t="str">
        <f t="shared" si="109"/>
        <v>DELETE</v>
      </c>
    </row>
    <row r="1634" spans="2:26" ht="31.5" customHeight="1" x14ac:dyDescent="0.45">
      <c r="B1634" s="388"/>
      <c r="C1634" s="369"/>
      <c r="D1634" s="368">
        <f>TrialBalance!C118</f>
        <v>0</v>
      </c>
      <c r="J1634" s="370"/>
      <c r="K1634" s="370"/>
      <c r="L1634" s="370"/>
      <c r="M1634" s="436">
        <f>TrialBalance!L118</f>
        <v>0</v>
      </c>
      <c r="N1634" s="390"/>
      <c r="O1634" s="451">
        <f>TrialBalance!N118</f>
        <v>0</v>
      </c>
      <c r="P1634" s="380"/>
      <c r="Q1634" s="389"/>
      <c r="R1634" s="416" t="str">
        <f>IF(M1634+O1634=0,"DELETE"," ")</f>
        <v>DELETE</v>
      </c>
    </row>
    <row r="1635" spans="2:26" ht="31.5" customHeight="1" x14ac:dyDescent="0.45">
      <c r="B1635" s="388"/>
      <c r="C1635" s="369"/>
      <c r="D1635" s="368">
        <f>TrialBalance!C119</f>
        <v>0</v>
      </c>
      <c r="J1635" s="370"/>
      <c r="K1635" s="370"/>
      <c r="L1635" s="370"/>
      <c r="M1635" s="436">
        <f>TrialBalance!L119</f>
        <v>0</v>
      </c>
      <c r="N1635" s="390"/>
      <c r="O1635" s="451">
        <f>TrialBalance!N119</f>
        <v>0</v>
      </c>
      <c r="P1635" s="380"/>
      <c r="Q1635" s="389"/>
      <c r="R1635" s="416" t="str">
        <f t="shared" si="109"/>
        <v>DELETE</v>
      </c>
    </row>
    <row r="1636" spans="2:26" ht="31.5" customHeight="1" x14ac:dyDescent="0.45">
      <c r="B1636" s="388"/>
      <c r="C1636" s="369"/>
      <c r="D1636" s="368">
        <f>TrialBalance!C120</f>
        <v>0</v>
      </c>
      <c r="J1636" s="370"/>
      <c r="K1636" s="370"/>
      <c r="L1636" s="370"/>
      <c r="M1636" s="436">
        <f>TrialBalance!L120</f>
        <v>0</v>
      </c>
      <c r="N1636" s="390"/>
      <c r="O1636" s="451">
        <f>TrialBalance!N120</f>
        <v>0</v>
      </c>
      <c r="P1636" s="380"/>
      <c r="Q1636" s="389"/>
      <c r="R1636" s="416" t="str">
        <f t="shared" si="109"/>
        <v>DELETE</v>
      </c>
    </row>
    <row r="1637" spans="2:26" ht="31.5" customHeight="1" x14ac:dyDescent="0.45">
      <c r="B1637" s="388"/>
      <c r="C1637" s="369"/>
      <c r="D1637" s="368">
        <f>TrialBalance!C121</f>
        <v>0</v>
      </c>
      <c r="J1637" s="370"/>
      <c r="K1637" s="370"/>
      <c r="L1637" s="370"/>
      <c r="M1637" s="436">
        <f>TrialBalance!L121</f>
        <v>0</v>
      </c>
      <c r="N1637" s="390"/>
      <c r="O1637" s="451">
        <f>TrialBalance!N121</f>
        <v>0</v>
      </c>
      <c r="P1637" s="380"/>
      <c r="Q1637" s="389"/>
      <c r="R1637" s="416" t="str">
        <f t="shared" ref="R1637:R1640" si="115">IF(M1637+O1637=0,"DELETE"," ")</f>
        <v>DELETE</v>
      </c>
    </row>
    <row r="1638" spans="2:26" ht="31.5" customHeight="1" x14ac:dyDescent="0.45">
      <c r="B1638" s="388"/>
      <c r="C1638" s="369"/>
      <c r="D1638" s="368">
        <f>TrialBalance!C122</f>
        <v>0</v>
      </c>
      <c r="J1638" s="370"/>
      <c r="K1638" s="370"/>
      <c r="L1638" s="370"/>
      <c r="M1638" s="436">
        <f>TrialBalance!L122</f>
        <v>0</v>
      </c>
      <c r="N1638" s="390"/>
      <c r="O1638" s="451">
        <f>TrialBalance!N122</f>
        <v>0</v>
      </c>
      <c r="P1638" s="380"/>
      <c r="Q1638" s="389"/>
      <c r="R1638" s="416" t="str">
        <f t="shared" si="115"/>
        <v>DELETE</v>
      </c>
    </row>
    <row r="1639" spans="2:26" ht="31.5" customHeight="1" x14ac:dyDescent="0.45">
      <c r="B1639" s="388"/>
      <c r="C1639" s="369"/>
      <c r="D1639" s="368">
        <f>TrialBalance!C123</f>
        <v>0</v>
      </c>
      <c r="J1639" s="370"/>
      <c r="K1639" s="370"/>
      <c r="L1639" s="370"/>
      <c r="M1639" s="436">
        <f>TrialBalance!L123</f>
        <v>0</v>
      </c>
      <c r="N1639" s="390"/>
      <c r="O1639" s="451">
        <f>TrialBalance!N123</f>
        <v>0</v>
      </c>
      <c r="P1639" s="380"/>
      <c r="Q1639" s="389"/>
      <c r="R1639" s="416" t="str">
        <f t="shared" si="115"/>
        <v>DELETE</v>
      </c>
    </row>
    <row r="1640" spans="2:26" ht="31.5" customHeight="1" x14ac:dyDescent="0.45">
      <c r="B1640" s="388"/>
      <c r="C1640" s="369"/>
      <c r="D1640" s="368">
        <f>TrialBalance!C124</f>
        <v>0</v>
      </c>
      <c r="J1640" s="370"/>
      <c r="K1640" s="370"/>
      <c r="L1640" s="370"/>
      <c r="M1640" s="436">
        <f>TrialBalance!L124</f>
        <v>0</v>
      </c>
      <c r="N1640" s="390"/>
      <c r="O1640" s="451">
        <f>TrialBalance!N124</f>
        <v>0</v>
      </c>
      <c r="P1640" s="380"/>
      <c r="Q1640" s="389"/>
      <c r="R1640" s="416" t="str">
        <f t="shared" si="115"/>
        <v>DELETE</v>
      </c>
    </row>
    <row r="1641" spans="2:26" ht="31.5" customHeight="1" x14ac:dyDescent="0.45">
      <c r="B1641" s="388"/>
      <c r="C1641" s="369"/>
      <c r="D1641" s="368" t="str">
        <f>TrialBalance!C125</f>
        <v>Amortisation of prepaid lease agreement</v>
      </c>
      <c r="J1641" s="370"/>
      <c r="K1641" s="370"/>
      <c r="L1641" s="370"/>
      <c r="M1641" s="436">
        <f>TrialBalance!L125</f>
        <v>0</v>
      </c>
      <c r="N1641" s="390"/>
      <c r="O1641" s="451">
        <f>TrialBalance!N125</f>
        <v>0</v>
      </c>
      <c r="P1641" s="380"/>
      <c r="Q1641" s="389"/>
      <c r="R1641" s="416" t="str">
        <f t="shared" ref="R1641" si="116">IF(M1641+O1641=0,"DELETE"," ")</f>
        <v>DELETE</v>
      </c>
    </row>
    <row r="1642" spans="2:26" ht="31.5" customHeight="1" x14ac:dyDescent="0.45">
      <c r="B1642" s="388"/>
      <c r="C1642" s="369"/>
      <c r="D1642" s="368" t="str">
        <f>TrialBalance!C126</f>
        <v>Amortisation of goodwill</v>
      </c>
      <c r="J1642" s="370"/>
      <c r="K1642" s="370"/>
      <c r="L1642" s="370"/>
      <c r="M1642" s="436">
        <f>TrialBalance!L126</f>
        <v>0</v>
      </c>
      <c r="N1642" s="390"/>
      <c r="O1642" s="451">
        <f>TrialBalance!N126</f>
        <v>0</v>
      </c>
      <c r="P1642" s="380"/>
      <c r="Q1642" s="389"/>
      <c r="R1642" s="416" t="str">
        <f t="shared" ref="R1642" si="117">IF(M1642+O1642=0,"DELETE"," ")</f>
        <v>DELETE</v>
      </c>
    </row>
    <row r="1643" spans="2:26" ht="9" customHeight="1" x14ac:dyDescent="0.45">
      <c r="B1643" s="388"/>
      <c r="C1643" s="369"/>
      <c r="J1643" s="370"/>
      <c r="K1643" s="370"/>
      <c r="L1643" s="370"/>
      <c r="M1643" s="437"/>
      <c r="N1643" s="392"/>
      <c r="O1643" s="452"/>
      <c r="P1643" s="380"/>
      <c r="Q1643" s="389"/>
      <c r="R1643" s="416" t="str">
        <f>R1607</f>
        <v>DELETE</v>
      </c>
    </row>
    <row r="1644" spans="2:26" ht="9" customHeight="1" x14ac:dyDescent="0.45">
      <c r="B1644" s="388"/>
      <c r="C1644" s="369"/>
      <c r="J1644" s="370"/>
      <c r="K1644" s="370"/>
      <c r="L1644" s="370"/>
      <c r="M1644" s="438"/>
      <c r="N1644" s="392"/>
      <c r="O1644" s="438"/>
      <c r="P1644" s="380"/>
      <c r="Q1644" s="389"/>
    </row>
    <row r="1645" spans="2:26" ht="9" customHeight="1" x14ac:dyDescent="0.45">
      <c r="B1645" s="388"/>
      <c r="C1645" s="369"/>
      <c r="J1645" s="370"/>
      <c r="K1645" s="370"/>
      <c r="L1645" s="370"/>
      <c r="M1645" s="434"/>
      <c r="N1645" s="390"/>
      <c r="O1645" s="434"/>
      <c r="P1645" s="380"/>
      <c r="Q1645" s="389"/>
    </row>
    <row r="1646" spans="2:26" ht="31.5" customHeight="1" x14ac:dyDescent="0.45">
      <c r="B1646" s="388"/>
      <c r="C1646" s="411" t="str">
        <f>IF((Y1646+Z1646)=3,"OPERATING PROFIT/(LOSS) FOR THE YEAR",(IF((Y1646+Z1646=4),"OPERATING PROFIT FOR THE YEAR","OPERATING LOSS FOR THE YEAR")))</f>
        <v>OPERATING PROFIT FOR THE YEAR</v>
      </c>
      <c r="J1646" s="370"/>
      <c r="K1646" s="370">
        <f>B685</f>
        <v>6</v>
      </c>
      <c r="L1646" s="370"/>
      <c r="M1646" s="434">
        <f>SUM(S1521:S1643)</f>
        <v>0</v>
      </c>
      <c r="N1646" s="390"/>
      <c r="O1646" s="434">
        <f>SUM(U1521:U1643)</f>
        <v>0</v>
      </c>
      <c r="P1646" s="380"/>
      <c r="Q1646" s="389"/>
      <c r="Y1646" s="417">
        <f>IF(M1646&lt;0,1,IF(M1646=0,IF(O1646&lt;0,1,2),2))</f>
        <v>2</v>
      </c>
      <c r="Z1646" s="417">
        <f>IF(O1646&lt;0,1,IF(O1646=0,IF(M1646&lt;0,1,2),2))</f>
        <v>2</v>
      </c>
    </row>
    <row r="1647" spans="2:26" ht="31.5" customHeight="1" x14ac:dyDescent="0.45">
      <c r="B1647" s="388"/>
      <c r="C1647" s="369"/>
      <c r="J1647" s="370"/>
      <c r="K1647" s="370"/>
      <c r="L1647" s="370"/>
      <c r="M1647" s="434"/>
      <c r="N1647" s="390"/>
      <c r="O1647" s="434"/>
      <c r="P1647" s="380"/>
      <c r="Q1647" s="389"/>
    </row>
    <row r="1648" spans="2:26" ht="31.5" customHeight="1" x14ac:dyDescent="0.45">
      <c r="B1648" s="388"/>
      <c r="C1648" s="369" t="s">
        <v>122</v>
      </c>
      <c r="J1648" s="370"/>
      <c r="K1648" s="370"/>
      <c r="L1648" s="370"/>
      <c r="M1648" s="434">
        <f>SUM(M1651:M1655)</f>
        <v>0</v>
      </c>
      <c r="N1648" s="390"/>
      <c r="O1648" s="434">
        <f>SUM(O1651:O1655)</f>
        <v>0</v>
      </c>
      <c r="P1648" s="380"/>
      <c r="Q1648" s="389"/>
      <c r="R1648" s="416" t="str">
        <f>IF(M1648+O1648=0,"DELETE"," ")</f>
        <v>DELETE</v>
      </c>
      <c r="S1648" s="421">
        <f>M1648</f>
        <v>0</v>
      </c>
      <c r="T1648" s="421"/>
      <c r="U1648" s="421">
        <f>O1648</f>
        <v>0</v>
      </c>
      <c r="V1648" s="421"/>
      <c r="W1648" s="421"/>
      <c r="X1648" s="421"/>
    </row>
    <row r="1649" spans="2:26" ht="9" customHeight="1" x14ac:dyDescent="0.45">
      <c r="B1649" s="388"/>
      <c r="C1649" s="369"/>
      <c r="J1649" s="370"/>
      <c r="K1649" s="370"/>
      <c r="L1649" s="370"/>
      <c r="M1649" s="434"/>
      <c r="N1649" s="390"/>
      <c r="O1649" s="434"/>
      <c r="P1649" s="380"/>
      <c r="Q1649" s="389"/>
      <c r="R1649" s="416" t="str">
        <f>R1648</f>
        <v>DELETE</v>
      </c>
    </row>
    <row r="1650" spans="2:26" ht="9" customHeight="1" x14ac:dyDescent="0.45">
      <c r="B1650" s="388"/>
      <c r="C1650" s="369"/>
      <c r="J1650" s="370"/>
      <c r="K1650" s="370"/>
      <c r="L1650" s="370"/>
      <c r="M1650" s="435"/>
      <c r="N1650" s="391"/>
      <c r="O1650" s="450"/>
      <c r="P1650" s="380"/>
      <c r="Q1650" s="389"/>
      <c r="R1650" s="416" t="str">
        <f>R1649</f>
        <v>DELETE</v>
      </c>
    </row>
    <row r="1651" spans="2:26" ht="31.5" customHeight="1" x14ac:dyDescent="0.45">
      <c r="B1651" s="388"/>
      <c r="C1651" s="369"/>
      <c r="D1651" s="368" t="s">
        <v>208</v>
      </c>
      <c r="J1651" s="370"/>
      <c r="K1651" s="370"/>
      <c r="L1651" s="370"/>
      <c r="M1651" s="436">
        <f>-TrialBalance!L82</f>
        <v>0</v>
      </c>
      <c r="N1651" s="390"/>
      <c r="O1651" s="451">
        <f>-TrialBalance!N82</f>
        <v>0</v>
      </c>
      <c r="P1651" s="380"/>
      <c r="Q1651" s="389"/>
      <c r="R1651" s="416" t="str">
        <f t="shared" ref="R1651:R1654" si="118">IF(M1651+O1651=0,"DELETE"," ")</f>
        <v>DELETE</v>
      </c>
    </row>
    <row r="1652" spans="2:26" ht="31.5" customHeight="1" x14ac:dyDescent="0.45">
      <c r="B1652" s="388"/>
      <c r="C1652" s="369"/>
      <c r="D1652" s="368" t="s">
        <v>210</v>
      </c>
      <c r="J1652" s="370"/>
      <c r="K1652" s="370"/>
      <c r="L1652" s="370"/>
      <c r="M1652" s="442">
        <f>-SUM(TrialBalance!L83)</f>
        <v>0</v>
      </c>
      <c r="N1652" s="414"/>
      <c r="O1652" s="454">
        <f>-TrialBalance!N83</f>
        <v>0</v>
      </c>
      <c r="P1652" s="380"/>
      <c r="Q1652" s="389"/>
      <c r="R1652" s="416" t="str">
        <f t="shared" si="118"/>
        <v>DELETE</v>
      </c>
    </row>
    <row r="1653" spans="2:26" ht="31.5" customHeight="1" x14ac:dyDescent="0.45">
      <c r="B1653" s="388"/>
      <c r="C1653" s="369"/>
      <c r="D1653" s="368" t="s">
        <v>520</v>
      </c>
      <c r="J1653" s="370"/>
      <c r="K1653" s="370"/>
      <c r="L1653" s="370"/>
      <c r="M1653" s="436">
        <f>IF(TrialBalance!L81&lt;0,-TrialBalance!L81,0)</f>
        <v>0</v>
      </c>
      <c r="N1653" s="390"/>
      <c r="O1653" s="451">
        <f>IF(TrialBalance!N81&lt;0,-TrialBalance!N81,0)</f>
        <v>0</v>
      </c>
      <c r="P1653" s="380"/>
      <c r="Q1653" s="389"/>
      <c r="R1653" s="416" t="str">
        <f t="shared" si="118"/>
        <v>DELETE</v>
      </c>
    </row>
    <row r="1654" spans="2:26" ht="31.5" customHeight="1" x14ac:dyDescent="0.45">
      <c r="B1654" s="388"/>
      <c r="C1654" s="369"/>
      <c r="D1654" s="368" t="s">
        <v>365</v>
      </c>
      <c r="J1654" s="370"/>
      <c r="K1654" s="370"/>
      <c r="L1654" s="370"/>
      <c r="M1654" s="436">
        <f>-TrialBalance!L80</f>
        <v>0</v>
      </c>
      <c r="N1654" s="390"/>
      <c r="O1654" s="451">
        <f>-TrialBalance!N80</f>
        <v>0</v>
      </c>
      <c r="P1654" s="380"/>
      <c r="Q1654" s="389"/>
      <c r="R1654" s="416" t="str">
        <f t="shared" si="118"/>
        <v>DELETE</v>
      </c>
    </row>
    <row r="1655" spans="2:26" ht="9" customHeight="1" x14ac:dyDescent="0.45">
      <c r="B1655" s="388"/>
      <c r="C1655" s="369"/>
      <c r="J1655" s="370"/>
      <c r="K1655" s="370"/>
      <c r="L1655" s="370"/>
      <c r="M1655" s="437"/>
      <c r="N1655" s="392"/>
      <c r="O1655" s="452"/>
      <c r="P1655" s="380"/>
      <c r="Q1655" s="389"/>
      <c r="R1655" s="416" t="str">
        <f>R1648</f>
        <v>DELETE</v>
      </c>
    </row>
    <row r="1656" spans="2:26" ht="9" customHeight="1" x14ac:dyDescent="0.45">
      <c r="B1656" s="388"/>
      <c r="C1656" s="369"/>
      <c r="J1656" s="370"/>
      <c r="K1656" s="370"/>
      <c r="L1656" s="370"/>
      <c r="M1656" s="438"/>
      <c r="N1656" s="392"/>
      <c r="O1656" s="438"/>
      <c r="P1656" s="380"/>
      <c r="Q1656" s="389"/>
      <c r="R1656" s="416" t="str">
        <f>R1655</f>
        <v>DELETE</v>
      </c>
    </row>
    <row r="1657" spans="2:26" ht="9" customHeight="1" x14ac:dyDescent="0.45">
      <c r="B1657" s="388"/>
      <c r="C1657" s="369"/>
      <c r="J1657" s="370"/>
      <c r="K1657" s="370"/>
      <c r="L1657" s="370"/>
      <c r="M1657" s="434"/>
      <c r="N1657" s="390"/>
      <c r="O1657" s="434"/>
      <c r="P1657" s="380"/>
      <c r="Q1657" s="389"/>
      <c r="R1657" s="416" t="str">
        <f>R1656</f>
        <v>DELETE</v>
      </c>
    </row>
    <row r="1658" spans="2:26" ht="31.5" customHeight="1" x14ac:dyDescent="0.45">
      <c r="B1658" s="388"/>
      <c r="C1658" s="369"/>
      <c r="J1658" s="370"/>
      <c r="K1658" s="370"/>
      <c r="L1658" s="370"/>
      <c r="M1658" s="434">
        <f>SUM(S1521:S1655)</f>
        <v>0</v>
      </c>
      <c r="N1658" s="390"/>
      <c r="O1658" s="434">
        <f>SUM(U1521:U1655)</f>
        <v>0</v>
      </c>
      <c r="P1658" s="380"/>
      <c r="Q1658" s="389"/>
      <c r="R1658" s="416" t="str">
        <f>R1657</f>
        <v>DELETE</v>
      </c>
    </row>
    <row r="1659" spans="2:26" ht="31.5" customHeight="1" x14ac:dyDescent="0.45">
      <c r="B1659" s="388"/>
      <c r="C1659" s="369"/>
      <c r="J1659" s="370"/>
      <c r="K1659" s="370"/>
      <c r="L1659" s="370"/>
      <c r="M1659" s="434"/>
      <c r="N1659" s="390"/>
      <c r="O1659" s="434"/>
      <c r="P1659" s="380"/>
      <c r="Q1659" s="389"/>
      <c r="R1659" s="416" t="str">
        <f>R1658</f>
        <v>DELETE</v>
      </c>
    </row>
    <row r="1660" spans="2:26" ht="31.5" customHeight="1" x14ac:dyDescent="0.45">
      <c r="B1660" s="388"/>
      <c r="C1660" s="369" t="s">
        <v>263</v>
      </c>
      <c r="J1660" s="370"/>
      <c r="K1660" s="370">
        <f>B602</f>
        <v>5</v>
      </c>
      <c r="L1660" s="370"/>
      <c r="M1660" s="434">
        <f>SUM(TrialBalance!L129:L139)</f>
        <v>0</v>
      </c>
      <c r="N1660" s="390"/>
      <c r="O1660" s="434">
        <f>SUM(TrialBalance!N129:N139)</f>
        <v>0</v>
      </c>
      <c r="P1660" s="380"/>
      <c r="Q1660" s="389"/>
      <c r="R1660" s="416" t="str">
        <f>IF(M1660+O1660=0,"DELETE"," ")</f>
        <v>DELETE</v>
      </c>
      <c r="S1660" s="421">
        <f>-M1660</f>
        <v>0</v>
      </c>
      <c r="T1660" s="421"/>
      <c r="U1660" s="421">
        <f>-O1660</f>
        <v>0</v>
      </c>
      <c r="V1660" s="421"/>
      <c r="W1660" s="421"/>
      <c r="X1660" s="421"/>
    </row>
    <row r="1661" spans="2:26" ht="9" customHeight="1" x14ac:dyDescent="0.45">
      <c r="B1661" s="388"/>
      <c r="C1661" s="369"/>
      <c r="J1661" s="370"/>
      <c r="K1661" s="370"/>
      <c r="L1661" s="370"/>
      <c r="M1661" s="438"/>
      <c r="N1661" s="392"/>
      <c r="O1661" s="438"/>
      <c r="P1661" s="380"/>
      <c r="Q1661" s="389"/>
    </row>
    <row r="1662" spans="2:26" ht="9" customHeight="1" x14ac:dyDescent="0.45">
      <c r="B1662" s="388"/>
      <c r="C1662" s="369"/>
      <c r="J1662" s="370"/>
      <c r="K1662" s="370"/>
      <c r="L1662" s="370"/>
      <c r="M1662" s="434"/>
      <c r="N1662" s="390"/>
      <c r="O1662" s="434"/>
      <c r="P1662" s="380"/>
      <c r="Q1662" s="389"/>
    </row>
    <row r="1663" spans="2:26" ht="31.5" customHeight="1" x14ac:dyDescent="0.45">
      <c r="B1663" s="388"/>
      <c r="C1663" s="411" t="str">
        <f>IF((Y1663+Z1663)=3,"PROFIT/(LOSS) BEFORE TAXATION",(IF((Y1663+Z1663=4),"PROFIT BEFORE TAXATION","LOSS BEFORE TAXATION")))</f>
        <v>PROFIT BEFORE TAXATION</v>
      </c>
      <c r="J1663" s="370"/>
      <c r="K1663" s="370"/>
      <c r="L1663" s="370"/>
      <c r="M1663" s="434">
        <f>SUM(S1521:S1662)</f>
        <v>0</v>
      </c>
      <c r="N1663" s="390"/>
      <c r="O1663" s="434">
        <f>SUM(U1521:U1662)</f>
        <v>0</v>
      </c>
      <c r="P1663" s="380"/>
      <c r="Q1663" s="389"/>
      <c r="Y1663" s="417">
        <f>IF(M1663&lt;0,1,IF(M1663=0,IF(O1663&lt;0,1,2),2))</f>
        <v>2</v>
      </c>
      <c r="Z1663" s="417">
        <f>IF(O1663&lt;0,1,IF(O1663=0,IF(M1663&lt;0,1,2),2))</f>
        <v>2</v>
      </c>
    </row>
    <row r="1664" spans="2:26" ht="9" customHeight="1" thickBot="1" x14ac:dyDescent="0.5">
      <c r="B1664" s="388"/>
      <c r="C1664" s="369"/>
      <c r="J1664" s="370"/>
      <c r="K1664" s="370"/>
      <c r="L1664" s="370"/>
      <c r="M1664" s="439"/>
      <c r="N1664" s="393"/>
      <c r="O1664" s="439"/>
      <c r="P1664" s="380"/>
      <c r="Q1664" s="389"/>
    </row>
    <row r="1665" spans="2:20" ht="9" customHeight="1" thickTop="1" x14ac:dyDescent="0.45">
      <c r="B1665" s="388"/>
      <c r="C1665" s="369"/>
      <c r="J1665" s="370"/>
      <c r="K1665" s="370"/>
      <c r="L1665" s="370"/>
      <c r="M1665" s="434"/>
      <c r="N1665" s="390"/>
      <c r="O1665" s="434"/>
      <c r="P1665" s="380"/>
      <c r="Q1665" s="389"/>
    </row>
    <row r="1666" spans="2:20" ht="31.5" customHeight="1" x14ac:dyDescent="0.45">
      <c r="B1666" s="388"/>
      <c r="C1666" s="369"/>
      <c r="J1666" s="370"/>
      <c r="K1666" s="370"/>
      <c r="L1666" s="370"/>
      <c r="M1666" s="434"/>
      <c r="N1666" s="390"/>
      <c r="O1666" s="434"/>
      <c r="P1666" s="380"/>
      <c r="Q1666" s="389"/>
    </row>
    <row r="1667" spans="2:20" ht="31.5" customHeight="1" x14ac:dyDescent="0.45">
      <c r="B1667" s="396"/>
      <c r="C1667" s="383"/>
      <c r="D1667" s="383"/>
      <c r="E1667" s="383"/>
      <c r="F1667" s="383"/>
      <c r="G1667" s="383"/>
      <c r="H1667" s="383"/>
      <c r="I1667" s="383"/>
      <c r="J1667" s="383"/>
      <c r="K1667" s="383"/>
      <c r="L1667" s="383"/>
      <c r="M1667" s="482"/>
      <c r="N1667" s="483"/>
      <c r="O1667" s="482"/>
      <c r="P1667" s="475"/>
      <c r="Q1667" s="398"/>
    </row>
    <row r="1668" spans="2:20" ht="31.5" customHeight="1" x14ac:dyDescent="0.45">
      <c r="M1668" s="479"/>
      <c r="N1668" s="469"/>
      <c r="O1668" s="479"/>
    </row>
    <row r="1669" spans="2:20" ht="31.5" customHeight="1" x14ac:dyDescent="0.45">
      <c r="M1669" s="479"/>
      <c r="N1669" s="469"/>
      <c r="O1669" s="479"/>
    </row>
    <row r="1670" spans="2:20" ht="31.5" customHeight="1" x14ac:dyDescent="0.45">
      <c r="D1670" s="369" t="str">
        <f>Criteria!E9</f>
        <v>ABC TRUST</v>
      </c>
      <c r="M1670" s="479"/>
      <c r="N1670" s="469"/>
      <c r="O1670" s="434" t="s">
        <v>105</v>
      </c>
      <c r="Q1670" s="370">
        <f>MAX($Q$114:Q1669)+1</f>
        <v>36</v>
      </c>
    </row>
    <row r="1671" spans="2:20" ht="31.5" customHeight="1" x14ac:dyDescent="0.45">
      <c r="D1671" s="369" t="str">
        <f>Criteria!E10</f>
        <v>T/A RENTAL PROPERTIES, SEAFRONT RESTAURANT AND SURF SHOP</v>
      </c>
      <c r="M1671" s="479"/>
      <c r="N1671" s="469"/>
      <c r="O1671" s="479"/>
      <c r="R1671" s="416" t="str">
        <f>IF(D1671=0,"DELETE"," ")</f>
        <v xml:space="preserve"> </v>
      </c>
    </row>
    <row r="1672" spans="2:20" ht="31.5" customHeight="1" x14ac:dyDescent="0.45">
      <c r="M1672" s="479"/>
      <c r="N1672" s="469"/>
      <c r="O1672" s="479"/>
    </row>
    <row r="1673" spans="2:20" ht="31.5" customHeight="1" x14ac:dyDescent="0.45">
      <c r="D1673" s="369" t="s">
        <v>264</v>
      </c>
      <c r="M1673" s="479"/>
      <c r="N1673" s="469"/>
      <c r="O1673" s="479"/>
    </row>
    <row r="1674" spans="2:20" ht="31.5" customHeight="1" x14ac:dyDescent="0.45">
      <c r="D1674" s="369" t="str">
        <f>Criteria!E20</f>
        <v>29 FEBRUARY 2024</v>
      </c>
      <c r="M1674" s="479"/>
      <c r="N1674" s="469"/>
      <c r="O1674" s="479"/>
    </row>
    <row r="1675" spans="2:20" ht="31.5" customHeight="1" x14ac:dyDescent="0.45">
      <c r="M1675" s="479"/>
      <c r="N1675" s="469"/>
      <c r="O1675" s="479"/>
    </row>
    <row r="1676" spans="2:20" ht="31.5" customHeight="1" x14ac:dyDescent="0.45">
      <c r="B1676" s="385"/>
      <c r="C1676" s="386"/>
      <c r="D1676" s="386"/>
      <c r="E1676" s="386"/>
      <c r="F1676" s="386"/>
      <c r="G1676" s="386"/>
      <c r="H1676" s="386"/>
      <c r="I1676" s="386"/>
      <c r="J1676" s="386"/>
      <c r="K1676" s="386"/>
      <c r="L1676" s="386"/>
      <c r="M1676" s="484"/>
      <c r="N1676" s="485"/>
      <c r="O1676" s="484"/>
      <c r="P1676" s="481"/>
      <c r="Q1676" s="387"/>
    </row>
    <row r="1677" spans="2:20" ht="31.5" customHeight="1" x14ac:dyDescent="0.45">
      <c r="B1677" s="388"/>
      <c r="M1677" s="479"/>
      <c r="N1677" s="469"/>
      <c r="O1677" s="479"/>
      <c r="Q1677" s="389"/>
    </row>
    <row r="1678" spans="2:20" ht="31.5" customHeight="1" x14ac:dyDescent="0.45">
      <c r="B1678" s="388"/>
      <c r="D1678" s="368" t="str">
        <f>IF(O1678&lt;0,"NET LOSS FOR THE YEAR","NET PROFIT FOR THE YEAR")</f>
        <v>NET PROFIT FOR THE YEAR</v>
      </c>
      <c r="M1678" s="479"/>
      <c r="N1678" s="469"/>
      <c r="O1678" s="479">
        <f>M321</f>
        <v>0</v>
      </c>
      <c r="Q1678" s="389"/>
      <c r="S1678" s="422">
        <f>O1678</f>
        <v>0</v>
      </c>
      <c r="T1678" s="422"/>
    </row>
    <row r="1679" spans="2:20" ht="31.5" customHeight="1" x14ac:dyDescent="0.45">
      <c r="B1679" s="388"/>
      <c r="M1679" s="479"/>
      <c r="N1679" s="469"/>
      <c r="O1679" s="479"/>
      <c r="Q1679" s="389"/>
    </row>
    <row r="1680" spans="2:20" ht="31.5" customHeight="1" x14ac:dyDescent="0.45">
      <c r="B1680" s="388"/>
      <c r="D1680" s="368" t="s">
        <v>265</v>
      </c>
      <c r="M1680" s="479"/>
      <c r="N1680" s="469"/>
      <c r="O1680" s="479">
        <f>SUM(M1680:M1696)</f>
        <v>0</v>
      </c>
      <c r="Q1680" s="389"/>
      <c r="R1680" s="416" t="str">
        <f>IF(O1680=0,"DELETE"," ")</f>
        <v>DELETE</v>
      </c>
      <c r="S1680" s="422">
        <f>O1680</f>
        <v>0</v>
      </c>
      <c r="T1680" s="422"/>
    </row>
    <row r="1681" spans="2:20" ht="31.5" customHeight="1" x14ac:dyDescent="0.45">
      <c r="B1681" s="388"/>
      <c r="D1681" s="368" t="s">
        <v>1083</v>
      </c>
      <c r="M1681" s="479">
        <f>TrialBalance!L126+TrialBalanceA!I126+TrialBalanceB!I126+TrialBalanceC!I126</f>
        <v>0</v>
      </c>
      <c r="N1681" s="469"/>
      <c r="O1681" s="479"/>
      <c r="Q1681" s="389"/>
      <c r="R1681" s="416" t="str">
        <f>IF(M1681=0,"DELETE"," ")</f>
        <v>DELETE</v>
      </c>
      <c r="S1681" s="422"/>
      <c r="T1681" s="422"/>
    </row>
    <row r="1682" spans="2:20" ht="31.5" customHeight="1" x14ac:dyDescent="0.45">
      <c r="B1682" s="388"/>
      <c r="D1682" s="368" t="s">
        <v>1056</v>
      </c>
      <c r="M1682" s="479">
        <f>TrialBalance!L125+TrialBalanceA!I125+TrialBalanceB!I125+TrialBalanceC!I125</f>
        <v>0</v>
      </c>
      <c r="N1682" s="469"/>
      <c r="O1682" s="479"/>
      <c r="Q1682" s="389"/>
      <c r="R1682" s="416" t="str">
        <f t="shared" ref="R1682:R1695" si="119">IF(M1682=0,"DELETE"," ")</f>
        <v>DELETE</v>
      </c>
      <c r="S1682" s="422"/>
      <c r="T1682" s="422"/>
    </row>
    <row r="1683" spans="2:20" ht="31.5" customHeight="1" x14ac:dyDescent="0.45">
      <c r="B1683" s="388"/>
      <c r="D1683" s="368" t="s">
        <v>521</v>
      </c>
      <c r="M1683" s="479">
        <f>O1769</f>
        <v>0</v>
      </c>
      <c r="N1683" s="469"/>
      <c r="O1683" s="479"/>
      <c r="Q1683" s="389"/>
      <c r="R1683" s="416" t="str">
        <f t="shared" si="119"/>
        <v>DELETE</v>
      </c>
    </row>
    <row r="1684" spans="2:20" ht="31.5" customHeight="1" x14ac:dyDescent="0.45">
      <c r="B1684" s="388"/>
      <c r="D1684" s="368" t="s">
        <v>279</v>
      </c>
      <c r="K1684" s="415"/>
      <c r="M1684" s="479">
        <f>M755</f>
        <v>0</v>
      </c>
      <c r="N1684" s="469"/>
      <c r="O1684" s="479"/>
      <c r="Q1684" s="389"/>
      <c r="R1684" s="416" t="str">
        <f t="shared" si="119"/>
        <v>DELETE</v>
      </c>
    </row>
    <row r="1685" spans="2:20" ht="31.5" customHeight="1" x14ac:dyDescent="0.45">
      <c r="B1685" s="388"/>
      <c r="D1685" s="368" t="s">
        <v>260</v>
      </c>
      <c r="K1685" s="415"/>
      <c r="M1685" s="479">
        <f>TrialBalance!L103+TrialBalanceA!I103+TrialBalanceB!I103+TrialBalanceC!I103</f>
        <v>0</v>
      </c>
      <c r="N1685" s="469"/>
      <c r="O1685" s="479"/>
      <c r="Q1685" s="389"/>
      <c r="R1685" s="416" t="str">
        <f t="shared" si="119"/>
        <v>DELETE</v>
      </c>
    </row>
    <row r="1686" spans="2:20" ht="31.5" customHeight="1" x14ac:dyDescent="0.45">
      <c r="B1686" s="388"/>
      <c r="D1686" s="368" t="s">
        <v>326</v>
      </c>
      <c r="K1686" s="415"/>
      <c r="M1686" s="479">
        <f>TrialBalance!L105+TrialBalanceA!I105+TrialBalanceB!I105+TrialBalanceC!I105</f>
        <v>0</v>
      </c>
      <c r="N1686" s="469"/>
      <c r="O1686" s="479"/>
      <c r="Q1686" s="389"/>
      <c r="R1686" s="416" t="str">
        <f t="shared" si="119"/>
        <v>DELETE</v>
      </c>
    </row>
    <row r="1687" spans="2:20" ht="31.5" customHeight="1" x14ac:dyDescent="0.45">
      <c r="B1687" s="388"/>
      <c r="D1687" s="368" t="s">
        <v>1081</v>
      </c>
      <c r="K1687" s="415"/>
      <c r="M1687" s="479">
        <f>TrialBalance!L141+TrialBalanceA!I141+TrialBalanceB!I141+TrialBalanceC!I141</f>
        <v>0</v>
      </c>
      <c r="N1687" s="469"/>
      <c r="O1687" s="479"/>
      <c r="Q1687" s="389"/>
      <c r="R1687" s="416" t="str">
        <f>IF(M1687=0,"DELETE"," ")</f>
        <v>DELETE</v>
      </c>
    </row>
    <row r="1688" spans="2:20" ht="31.5" customHeight="1" x14ac:dyDescent="0.45">
      <c r="B1688" s="388"/>
      <c r="D1688" s="368" t="s">
        <v>496</v>
      </c>
      <c r="K1688" s="415"/>
      <c r="M1688" s="479">
        <f>TrialBalance!L108+TrialBalanceA!I108+TrialBalanceB!I108+TrialBalanceC!I108</f>
        <v>0</v>
      </c>
      <c r="N1688" s="469"/>
      <c r="O1688" s="479"/>
      <c r="Q1688" s="389"/>
      <c r="R1688" s="416" t="str">
        <f>IF(M1688=0,"DELETE"," ")</f>
        <v>DELETE</v>
      </c>
    </row>
    <row r="1689" spans="2:20" ht="31.5" customHeight="1" x14ac:dyDescent="0.45">
      <c r="B1689" s="388"/>
      <c r="D1689" s="368" t="s">
        <v>519</v>
      </c>
      <c r="M1689" s="479">
        <f>IF(TrialBalance!L81&gt;0,TrialBalance!L81,0)+IF(TrialBalanceA!I81&gt;0,TrialBalanceA!I81,0)+IF(TrialBalanceB!I81&gt;0,TrialBalanceB!I81,0)+IF(TrialBalanceC!I81&gt;0,TrialBalanceC!I81,0)</f>
        <v>0</v>
      </c>
      <c r="N1689" s="469"/>
      <c r="O1689" s="479"/>
      <c r="Q1689" s="389"/>
      <c r="R1689" s="416" t="str">
        <f>IF(M1689=0,"DELETE"," ")</f>
        <v>DELETE</v>
      </c>
    </row>
    <row r="1690" spans="2:20" ht="31.5" customHeight="1" x14ac:dyDescent="0.45">
      <c r="B1690" s="388"/>
      <c r="D1690" s="368" t="str">
        <f>Criteria!C236</f>
        <v>section 8(4)(a) Recoupment of allowances</v>
      </c>
      <c r="M1690" s="479">
        <f>Criteria!G236</f>
        <v>0</v>
      </c>
      <c r="N1690" s="469"/>
      <c r="O1690" s="479"/>
      <c r="Q1690" s="389"/>
      <c r="R1690" s="416" t="str">
        <f t="shared" si="119"/>
        <v>DELETE</v>
      </c>
    </row>
    <row r="1691" spans="2:20" ht="31.5" customHeight="1" x14ac:dyDescent="0.45">
      <c r="B1691" s="388"/>
      <c r="D1691" s="368" t="s">
        <v>88</v>
      </c>
      <c r="M1691" s="479">
        <f>TrialBalance!L115+TrialBalanceA!I115+TrialBalanceB!I115+TrialBalanceC!I115</f>
        <v>0</v>
      </c>
      <c r="N1691" s="469"/>
      <c r="O1691" s="479"/>
      <c r="Q1691" s="389"/>
      <c r="R1691" s="416" t="str">
        <f t="shared" si="119"/>
        <v>DELETE</v>
      </c>
    </row>
    <row r="1692" spans="2:20" ht="31.5" customHeight="1" x14ac:dyDescent="0.45">
      <c r="B1692" s="388"/>
      <c r="D1692" s="368">
        <f>Criteria!C237</f>
        <v>0</v>
      </c>
      <c r="M1692" s="479">
        <f>Criteria!G237</f>
        <v>0</v>
      </c>
      <c r="N1692" s="469"/>
      <c r="O1692" s="479"/>
      <c r="Q1692" s="389"/>
      <c r="R1692" s="416" t="str">
        <f t="shared" si="119"/>
        <v>DELETE</v>
      </c>
    </row>
    <row r="1693" spans="2:20" ht="31.5" customHeight="1" x14ac:dyDescent="0.45">
      <c r="B1693" s="388"/>
      <c r="D1693" s="368">
        <f>Criteria!C238</f>
        <v>0</v>
      </c>
      <c r="M1693" s="479">
        <f>Criteria!G238</f>
        <v>0</v>
      </c>
      <c r="N1693" s="469"/>
      <c r="O1693" s="479"/>
      <c r="Q1693" s="389"/>
      <c r="R1693" s="416" t="str">
        <f t="shared" si="119"/>
        <v>DELETE</v>
      </c>
    </row>
    <row r="1694" spans="2:20" ht="31.5" customHeight="1" x14ac:dyDescent="0.45">
      <c r="B1694" s="388"/>
      <c r="D1694" s="368">
        <f>Criteria!C239</f>
        <v>0</v>
      </c>
      <c r="M1694" s="479">
        <f>Criteria!G239</f>
        <v>0</v>
      </c>
      <c r="N1694" s="469"/>
      <c r="O1694" s="479"/>
      <c r="Q1694" s="389"/>
      <c r="R1694" s="416" t="str">
        <f t="shared" si="119"/>
        <v>DELETE</v>
      </c>
    </row>
    <row r="1695" spans="2:20" ht="31.5" customHeight="1" x14ac:dyDescent="0.45">
      <c r="B1695" s="388"/>
      <c r="D1695" s="368">
        <f>Criteria!C240</f>
        <v>0</v>
      </c>
      <c r="M1695" s="479">
        <f>Criteria!G240</f>
        <v>0</v>
      </c>
      <c r="N1695" s="469"/>
      <c r="O1695" s="479"/>
      <c r="Q1695" s="389"/>
      <c r="R1695" s="416" t="str">
        <f t="shared" si="119"/>
        <v>DELETE</v>
      </c>
    </row>
    <row r="1696" spans="2:20" ht="9" customHeight="1" x14ac:dyDescent="0.45">
      <c r="B1696" s="388"/>
      <c r="M1696" s="482"/>
      <c r="N1696" s="483"/>
      <c r="O1696" s="482"/>
      <c r="Q1696" s="389"/>
      <c r="R1696" s="416" t="str">
        <f>R1680</f>
        <v>DELETE</v>
      </c>
    </row>
    <row r="1697" spans="2:20" ht="9" customHeight="1" x14ac:dyDescent="0.45">
      <c r="B1697" s="388"/>
      <c r="M1697" s="479"/>
      <c r="N1697" s="469"/>
      <c r="O1697" s="479"/>
      <c r="Q1697" s="389"/>
      <c r="R1697" s="416" t="str">
        <f>R1680</f>
        <v>DELETE</v>
      </c>
    </row>
    <row r="1698" spans="2:20" ht="31.5" customHeight="1" x14ac:dyDescent="0.45">
      <c r="B1698" s="388"/>
      <c r="M1698" s="479"/>
      <c r="N1698" s="469"/>
      <c r="O1698" s="479">
        <f>SUM(O1678:O1688)</f>
        <v>0</v>
      </c>
      <c r="Q1698" s="389"/>
      <c r="R1698" s="416" t="str">
        <f>R1680</f>
        <v>DELETE</v>
      </c>
    </row>
    <row r="1699" spans="2:20" ht="31.5" customHeight="1" x14ac:dyDescent="0.45">
      <c r="B1699" s="388"/>
      <c r="M1699" s="479"/>
      <c r="N1699" s="469"/>
      <c r="O1699" s="479"/>
      <c r="Q1699" s="389"/>
      <c r="R1699" s="416" t="str">
        <f>R1698</f>
        <v>DELETE</v>
      </c>
    </row>
    <row r="1700" spans="2:20" ht="31.5" customHeight="1" x14ac:dyDescent="0.45">
      <c r="B1700" s="388"/>
      <c r="D1700" s="368" t="s">
        <v>165</v>
      </c>
      <c r="M1700" s="479"/>
      <c r="N1700" s="469"/>
      <c r="O1700" s="479">
        <f>SUM(M1700:M1710)</f>
        <v>0</v>
      </c>
      <c r="Q1700" s="389"/>
      <c r="R1700" s="416" t="str">
        <f>IF(O1700=0,"DELETE"," ")</f>
        <v>DELETE</v>
      </c>
      <c r="S1700" s="422">
        <f>-O1700</f>
        <v>0</v>
      </c>
      <c r="T1700" s="422"/>
    </row>
    <row r="1701" spans="2:20" ht="31.5" customHeight="1" x14ac:dyDescent="0.45">
      <c r="B1701" s="388"/>
      <c r="D1701" s="368" t="str">
        <f>Criteria!C242</f>
        <v>section 11 (e) Wear-and-tear allowance</v>
      </c>
      <c r="K1701" s="415"/>
      <c r="M1701" s="479">
        <f>Criteria!G242</f>
        <v>0</v>
      </c>
      <c r="N1701" s="469"/>
      <c r="O1701" s="479"/>
      <c r="Q1701" s="389"/>
      <c r="R1701" s="416" t="str">
        <f t="shared" ref="R1701:R1707" si="120">IF(M1701=0,"DELETE"," ")</f>
        <v>DELETE</v>
      </c>
    </row>
    <row r="1702" spans="2:20" ht="31.5" customHeight="1" x14ac:dyDescent="0.45">
      <c r="B1702" s="388"/>
      <c r="D1702" s="368" t="str">
        <f>Criteria!C243</f>
        <v>a13 quin Commercial buildings allowance</v>
      </c>
      <c r="K1702" s="415"/>
      <c r="M1702" s="479">
        <f>Criteria!G243</f>
        <v>0</v>
      </c>
      <c r="N1702" s="469"/>
      <c r="O1702" s="479"/>
      <c r="Q1702" s="389"/>
      <c r="R1702" s="416" t="str">
        <f t="shared" si="120"/>
        <v>DELETE</v>
      </c>
    </row>
    <row r="1703" spans="2:20" ht="31.5" customHeight="1" x14ac:dyDescent="0.45">
      <c r="B1703" s="388"/>
      <c r="D1703" s="368" t="str">
        <f>Criteria!C244</f>
        <v>section 11(o) Scrapping allowance</v>
      </c>
      <c r="K1703" s="415"/>
      <c r="M1703" s="479">
        <f>Criteria!G244</f>
        <v>0</v>
      </c>
      <c r="N1703" s="469"/>
      <c r="O1703" s="479"/>
      <c r="Q1703" s="389"/>
      <c r="R1703" s="416" t="str">
        <f t="shared" si="120"/>
        <v>DELETE</v>
      </c>
    </row>
    <row r="1704" spans="2:20" ht="31.5" customHeight="1" x14ac:dyDescent="0.45">
      <c r="B1704" s="388"/>
      <c r="D1704" s="368" t="s">
        <v>522</v>
      </c>
      <c r="K1704" s="415"/>
      <c r="M1704" s="479">
        <f>-TrialBalance!L153-TrialBalanceA!I153-TrialBalanceB!I153-TrialBalanceC!I153</f>
        <v>0</v>
      </c>
      <c r="N1704" s="469"/>
      <c r="O1704" s="479"/>
      <c r="Q1704" s="389"/>
      <c r="R1704" s="416" t="str">
        <f t="shared" si="120"/>
        <v>DELETE</v>
      </c>
    </row>
    <row r="1705" spans="2:20" ht="31.5" customHeight="1" x14ac:dyDescent="0.45">
      <c r="B1705" s="388"/>
      <c r="D1705" s="368" t="s">
        <v>520</v>
      </c>
      <c r="M1705" s="479">
        <f>Criteria!G259</f>
        <v>0</v>
      </c>
      <c r="N1705" s="469"/>
      <c r="O1705" s="479"/>
      <c r="Q1705" s="389"/>
      <c r="R1705" s="416" t="str">
        <f t="shared" si="120"/>
        <v>DELETE</v>
      </c>
    </row>
    <row r="1706" spans="2:20" ht="31.5" customHeight="1" x14ac:dyDescent="0.45">
      <c r="B1706" s="388"/>
      <c r="D1706" s="368" t="s">
        <v>809</v>
      </c>
      <c r="M1706" s="479">
        <f>-TrialBalance!L26-TrialBalanceA!I26-TrialBalanceB!I26-TrialBalanceC!I26</f>
        <v>0</v>
      </c>
      <c r="N1706" s="469"/>
      <c r="O1706" s="479"/>
      <c r="Q1706" s="389"/>
      <c r="R1706" s="416" t="str">
        <f t="shared" si="120"/>
        <v>DELETE</v>
      </c>
    </row>
    <row r="1707" spans="2:20" ht="31.5" customHeight="1" x14ac:dyDescent="0.45">
      <c r="B1707" s="388"/>
      <c r="D1707" s="368" t="s">
        <v>1157</v>
      </c>
      <c r="M1707" s="479">
        <f>-TrialBalance!L30-TrialBalanceA!I30-TrialBalanceB!I30-TrialBalanceC!I30</f>
        <v>0</v>
      </c>
      <c r="N1707" s="469"/>
      <c r="O1707" s="479"/>
      <c r="Q1707" s="389"/>
      <c r="R1707" s="416" t="str">
        <f t="shared" si="120"/>
        <v>DELETE</v>
      </c>
    </row>
    <row r="1708" spans="2:20" ht="31.5" customHeight="1" x14ac:dyDescent="0.45">
      <c r="B1708" s="388"/>
      <c r="D1708" s="468">
        <f>Criteria!C245</f>
        <v>0</v>
      </c>
      <c r="M1708" s="479">
        <f>Criteria!G245</f>
        <v>0</v>
      </c>
      <c r="N1708" s="469"/>
      <c r="O1708" s="479"/>
      <c r="Q1708" s="389"/>
      <c r="R1708" s="416" t="str">
        <f t="shared" ref="R1708:R1709" si="121">IF(M1708=0,"DELETE"," ")</f>
        <v>DELETE</v>
      </c>
    </row>
    <row r="1709" spans="2:20" ht="31.5" customHeight="1" x14ac:dyDescent="0.45">
      <c r="B1709" s="388"/>
      <c r="D1709" s="412">
        <f>Criteria!C246</f>
        <v>0</v>
      </c>
      <c r="M1709" s="479">
        <f>Criteria!G246</f>
        <v>0</v>
      </c>
      <c r="N1709" s="469"/>
      <c r="O1709" s="479"/>
      <c r="Q1709" s="389"/>
      <c r="R1709" s="416" t="str">
        <f t="shared" si="121"/>
        <v>DELETE</v>
      </c>
    </row>
    <row r="1710" spans="2:20" ht="9" customHeight="1" x14ac:dyDescent="0.45">
      <c r="B1710" s="388"/>
      <c r="M1710" s="482"/>
      <c r="N1710" s="483"/>
      <c r="O1710" s="482"/>
      <c r="Q1710" s="389"/>
      <c r="R1710" s="416" t="str">
        <f>R1711</f>
        <v>DELETE</v>
      </c>
    </row>
    <row r="1711" spans="2:20" ht="9" customHeight="1" x14ac:dyDescent="0.45">
      <c r="B1711" s="388"/>
      <c r="M1711" s="479"/>
      <c r="N1711" s="469"/>
      <c r="O1711" s="479"/>
      <c r="Q1711" s="389"/>
      <c r="R1711" s="416" t="str">
        <f>R1712</f>
        <v>DELETE</v>
      </c>
    </row>
    <row r="1712" spans="2:20" ht="31.5" customHeight="1" x14ac:dyDescent="0.45">
      <c r="B1712" s="388"/>
      <c r="M1712" s="479"/>
      <c r="N1712" s="469"/>
      <c r="O1712" s="479">
        <f>SUM(S1678:S1709)</f>
        <v>0</v>
      </c>
      <c r="Q1712" s="389"/>
      <c r="R1712" s="416" t="str">
        <f>R1713</f>
        <v>DELETE</v>
      </c>
    </row>
    <row r="1713" spans="2:20" ht="31.5" customHeight="1" x14ac:dyDescent="0.45">
      <c r="B1713" s="388"/>
      <c r="D1713" s="368" t="s">
        <v>166</v>
      </c>
      <c r="M1713" s="479"/>
      <c r="N1713" s="469"/>
      <c r="O1713" s="479">
        <f>-Criteria!G232</f>
        <v>0</v>
      </c>
      <c r="Q1713" s="389"/>
      <c r="R1713" s="416" t="str">
        <f>IF(O1713=0,"DELETE"," ")</f>
        <v>DELETE</v>
      </c>
      <c r="S1713" s="421">
        <f>O1713</f>
        <v>0</v>
      </c>
      <c r="T1713" s="421"/>
    </row>
    <row r="1714" spans="2:20" ht="9" customHeight="1" x14ac:dyDescent="0.45">
      <c r="B1714" s="388"/>
      <c r="M1714" s="482"/>
      <c r="N1714" s="483"/>
      <c r="O1714" s="482"/>
      <c r="Q1714" s="389"/>
    </row>
    <row r="1715" spans="2:20" ht="9" customHeight="1" x14ac:dyDescent="0.45">
      <c r="B1715" s="388"/>
      <c r="M1715" s="479"/>
      <c r="N1715" s="469"/>
      <c r="O1715" s="479"/>
      <c r="Q1715" s="389"/>
    </row>
    <row r="1716" spans="2:20" ht="31.5" customHeight="1" x14ac:dyDescent="0.45">
      <c r="B1716" s="388"/>
      <c r="D1716" s="368" t="str">
        <f>IF(O1716&lt;0,"ESTIMATED TAX LOSS CARRIED FORWARD","TAXABLE INCOME FOR THE YEAR")</f>
        <v>TAXABLE INCOME FOR THE YEAR</v>
      </c>
      <c r="M1716" s="479"/>
      <c r="N1716" s="469"/>
      <c r="O1716" s="479">
        <f>SUM(S1678:S1714)</f>
        <v>0</v>
      </c>
      <c r="Q1716" s="389"/>
    </row>
    <row r="1717" spans="2:20" ht="9" customHeight="1" thickBot="1" x14ac:dyDescent="0.5">
      <c r="B1717" s="388"/>
      <c r="M1717" s="479"/>
      <c r="N1717" s="469"/>
      <c r="O1717" s="489"/>
      <c r="Q1717" s="389"/>
    </row>
    <row r="1718" spans="2:20" ht="9" customHeight="1" thickTop="1" x14ac:dyDescent="0.45">
      <c r="B1718" s="388"/>
      <c r="M1718" s="479"/>
      <c r="N1718" s="469"/>
      <c r="O1718" s="479"/>
      <c r="Q1718" s="389"/>
    </row>
    <row r="1719" spans="2:20" ht="31.5" customHeight="1" x14ac:dyDescent="0.45">
      <c r="B1719" s="388"/>
      <c r="K1719" s="412"/>
      <c r="Q1719" s="389"/>
    </row>
    <row r="1720" spans="2:20" ht="31.5" customHeight="1" x14ac:dyDescent="0.45">
      <c r="B1720" s="388"/>
      <c r="D1720" s="368" t="s">
        <v>228</v>
      </c>
      <c r="H1720" s="368" t="s">
        <v>1005</v>
      </c>
      <c r="M1720" s="490"/>
      <c r="Q1720" s="389"/>
    </row>
    <row r="1721" spans="2:20" ht="31.5" customHeight="1" x14ac:dyDescent="0.45">
      <c r="B1721" s="388"/>
      <c r="I1721" s="368" t="s">
        <v>1008</v>
      </c>
      <c r="M1721" s="449">
        <v>0.45</v>
      </c>
      <c r="N1721" s="491"/>
      <c r="O1721" s="467">
        <f>ROUND(IF(O1716&lt;0,0,O1716*0.45),2)</f>
        <v>0</v>
      </c>
      <c r="Q1721" s="389"/>
    </row>
    <row r="1722" spans="2:20" ht="9" customHeight="1" x14ac:dyDescent="0.45">
      <c r="B1722" s="388"/>
      <c r="O1722" s="474"/>
      <c r="Q1722" s="389"/>
    </row>
    <row r="1723" spans="2:20" ht="9" customHeight="1" x14ac:dyDescent="0.45">
      <c r="B1723" s="388"/>
      <c r="Q1723" s="389"/>
    </row>
    <row r="1724" spans="2:20" ht="31.5" customHeight="1" x14ac:dyDescent="0.45">
      <c r="B1724" s="388"/>
      <c r="D1724" s="368" t="s">
        <v>71</v>
      </c>
      <c r="O1724" s="467">
        <f>SUM(O1721:O1723)</f>
        <v>0</v>
      </c>
      <c r="Q1724" s="389"/>
      <c r="S1724" s="422">
        <f>O1724</f>
        <v>0</v>
      </c>
      <c r="T1724" s="422"/>
    </row>
    <row r="1725" spans="2:20" ht="31.5" customHeight="1" x14ac:dyDescent="0.45">
      <c r="B1725" s="388"/>
      <c r="Q1725" s="389"/>
    </row>
    <row r="1726" spans="2:20" ht="31.5" customHeight="1" x14ac:dyDescent="0.45">
      <c r="B1726" s="388"/>
      <c r="D1726" s="368" t="s">
        <v>94</v>
      </c>
      <c r="O1726" s="467">
        <f>SUM(M1728:M1731)</f>
        <v>0</v>
      </c>
      <c r="Q1726" s="389"/>
      <c r="S1726" s="422">
        <f>-O1726</f>
        <v>0</v>
      </c>
      <c r="T1726" s="422"/>
    </row>
    <row r="1727" spans="2:20" ht="31.5" customHeight="1" x14ac:dyDescent="0.45">
      <c r="B1727" s="388"/>
      <c r="D1727" s="368" t="s">
        <v>72</v>
      </c>
      <c r="Q1727" s="389"/>
    </row>
    <row r="1728" spans="2:20" ht="31.5" customHeight="1" x14ac:dyDescent="0.45">
      <c r="B1728" s="388"/>
      <c r="E1728" s="368" t="s">
        <v>73</v>
      </c>
      <c r="M1728" s="467">
        <f>TrialBalance!L388</f>
        <v>0</v>
      </c>
      <c r="Q1728" s="389"/>
    </row>
    <row r="1729" spans="2:18" ht="31.5" customHeight="1" x14ac:dyDescent="0.45">
      <c r="B1729" s="388"/>
      <c r="E1729" s="368" t="s">
        <v>74</v>
      </c>
      <c r="M1729" s="467">
        <f>TrialBalance!L389</f>
        <v>0</v>
      </c>
      <c r="Q1729" s="389"/>
    </row>
    <row r="1730" spans="2:18" ht="31.5" customHeight="1" x14ac:dyDescent="0.45">
      <c r="B1730" s="388"/>
      <c r="E1730" s="368" t="s">
        <v>75</v>
      </c>
      <c r="M1730" s="467">
        <f>TrialBalance!L390</f>
        <v>0</v>
      </c>
      <c r="Q1730" s="389"/>
      <c r="R1730" s="416" t="str">
        <f>IF(M1730=0,"DELETE"," ")</f>
        <v>DELETE</v>
      </c>
    </row>
    <row r="1731" spans="2:18" ht="9" customHeight="1" x14ac:dyDescent="0.45">
      <c r="B1731" s="388"/>
      <c r="M1731" s="474"/>
      <c r="N1731" s="475"/>
      <c r="O1731" s="474"/>
      <c r="Q1731" s="389"/>
    </row>
    <row r="1732" spans="2:18" ht="9" customHeight="1" x14ac:dyDescent="0.45">
      <c r="B1732" s="388"/>
      <c r="Q1732" s="389"/>
    </row>
    <row r="1733" spans="2:18" ht="31.5" customHeight="1" x14ac:dyDescent="0.45">
      <c r="B1733" s="388"/>
      <c r="D1733" s="368" t="str">
        <f>IF(O1733&lt;0,"Income tax refundable","Net income tax payable")</f>
        <v>Net income tax payable</v>
      </c>
      <c r="O1733" s="467">
        <f>SUM(S1719:S1731)</f>
        <v>0</v>
      </c>
      <c r="Q1733" s="389"/>
    </row>
    <row r="1734" spans="2:18" ht="9" customHeight="1" thickBot="1" x14ac:dyDescent="0.5">
      <c r="B1734" s="388"/>
      <c r="O1734" s="492"/>
      <c r="Q1734" s="389"/>
    </row>
    <row r="1735" spans="2:18" ht="9" customHeight="1" thickTop="1" x14ac:dyDescent="0.45">
      <c r="B1735" s="388"/>
      <c r="O1735" s="477"/>
      <c r="Q1735" s="389"/>
    </row>
    <row r="1736" spans="2:18" ht="31.5" customHeight="1" x14ac:dyDescent="0.45">
      <c r="B1736" s="388"/>
      <c r="Q1736" s="389"/>
    </row>
    <row r="1737" spans="2:18" ht="31.5" customHeight="1" x14ac:dyDescent="0.45">
      <c r="B1737" s="388"/>
      <c r="Q1737" s="389"/>
    </row>
    <row r="1738" spans="2:18" ht="31.5" customHeight="1" x14ac:dyDescent="0.45">
      <c r="B1738" s="388"/>
      <c r="Q1738" s="389"/>
    </row>
    <row r="1739" spans="2:18" ht="31.5" customHeight="1" x14ac:dyDescent="0.45">
      <c r="B1739" s="388"/>
      <c r="Q1739" s="389"/>
    </row>
    <row r="1740" spans="2:18" ht="31.5" customHeight="1" x14ac:dyDescent="0.45">
      <c r="B1740" s="396"/>
      <c r="C1740" s="383"/>
      <c r="D1740" s="383"/>
      <c r="E1740" s="383"/>
      <c r="F1740" s="383"/>
      <c r="G1740" s="383"/>
      <c r="H1740" s="383"/>
      <c r="I1740" s="383"/>
      <c r="J1740" s="383"/>
      <c r="K1740" s="383"/>
      <c r="L1740" s="383"/>
      <c r="M1740" s="474"/>
      <c r="N1740" s="475"/>
      <c r="O1740" s="474"/>
      <c r="P1740" s="475"/>
      <c r="Q1740" s="398"/>
    </row>
    <row r="1741" spans="2:18" ht="31.5" customHeight="1" x14ac:dyDescent="0.45"/>
    <row r="1742" spans="2:18" ht="31.5" customHeight="1" x14ac:dyDescent="0.45">
      <c r="R1742" s="416" t="str">
        <f>R$1765</f>
        <v>DELETE</v>
      </c>
    </row>
    <row r="1743" spans="2:18" ht="31.5" customHeight="1" x14ac:dyDescent="0.45">
      <c r="D1743" s="369" t="str">
        <f>Criteria!E9</f>
        <v>ABC TRUST</v>
      </c>
      <c r="O1743" s="433" t="s">
        <v>105</v>
      </c>
      <c r="Q1743" s="370">
        <f>MAX($Q$114:Q1742)+1</f>
        <v>37</v>
      </c>
      <c r="R1743" s="416" t="str">
        <f>R$1765</f>
        <v>DELETE</v>
      </c>
    </row>
    <row r="1744" spans="2:18" ht="31.5" customHeight="1" x14ac:dyDescent="0.45">
      <c r="D1744" s="369" t="str">
        <f>Criteria!E10</f>
        <v>T/A RENTAL PROPERTIES, SEAFRONT RESTAURANT AND SURF SHOP</v>
      </c>
      <c r="R1744" s="416" t="str">
        <f>IF(R$1765="DELETE","DELETE",IF(D1744=0,"DELETE"," "))</f>
        <v>DELETE</v>
      </c>
    </row>
    <row r="1745" spans="2:26" ht="31.5" customHeight="1" x14ac:dyDescent="0.45">
      <c r="R1745" s="416" t="str">
        <f t="shared" ref="R1745:R1764" si="122">R$1765</f>
        <v>DELETE</v>
      </c>
    </row>
    <row r="1746" spans="2:26" ht="31.5" customHeight="1" x14ac:dyDescent="0.45">
      <c r="D1746" s="369" t="s">
        <v>167</v>
      </c>
      <c r="R1746" s="416" t="str">
        <f t="shared" si="122"/>
        <v>DELETE</v>
      </c>
    </row>
    <row r="1747" spans="2:26" ht="31.5" customHeight="1" x14ac:dyDescent="0.45">
      <c r="D1747" s="369" t="str">
        <f>Criteria!E20</f>
        <v>29 FEBRUARY 2024</v>
      </c>
      <c r="R1747" s="416" t="str">
        <f t="shared" si="122"/>
        <v>DELETE</v>
      </c>
    </row>
    <row r="1748" spans="2:26" ht="31.5" customHeight="1" x14ac:dyDescent="0.45">
      <c r="R1748" s="416" t="str">
        <f t="shared" si="122"/>
        <v>DELETE</v>
      </c>
    </row>
    <row r="1749" spans="2:26" ht="31.5" customHeight="1" x14ac:dyDescent="0.45">
      <c r="B1749" s="385"/>
      <c r="C1749" s="386"/>
      <c r="D1749" s="386"/>
      <c r="E1749" s="386"/>
      <c r="F1749" s="386"/>
      <c r="G1749" s="386"/>
      <c r="H1749" s="386"/>
      <c r="I1749" s="386"/>
      <c r="J1749" s="386"/>
      <c r="K1749" s="386"/>
      <c r="L1749" s="386"/>
      <c r="M1749" s="480"/>
      <c r="N1749" s="481"/>
      <c r="O1749" s="480"/>
      <c r="P1749" s="481"/>
      <c r="Q1749" s="387"/>
      <c r="R1749" s="416" t="str">
        <f t="shared" si="122"/>
        <v>DELETE</v>
      </c>
    </row>
    <row r="1750" spans="2:26" ht="31.5" customHeight="1" x14ac:dyDescent="0.45">
      <c r="B1750" s="388"/>
      <c r="Q1750" s="389"/>
      <c r="R1750" s="416" t="str">
        <f t="shared" si="122"/>
        <v>DELETE</v>
      </c>
    </row>
    <row r="1751" spans="2:26" ht="31.5" customHeight="1" x14ac:dyDescent="0.45">
      <c r="B1751" s="388"/>
      <c r="Q1751" s="389"/>
      <c r="R1751" s="416" t="str">
        <f t="shared" si="122"/>
        <v>DELETE</v>
      </c>
    </row>
    <row r="1752" spans="2:26" ht="31.5" customHeight="1" x14ac:dyDescent="0.45">
      <c r="B1752" s="388"/>
      <c r="C1752" s="368">
        <v>1</v>
      </c>
      <c r="D1752" s="368" t="s">
        <v>719</v>
      </c>
      <c r="Q1752" s="389"/>
      <c r="R1752" s="416" t="str">
        <f t="shared" si="122"/>
        <v>DELETE</v>
      </c>
    </row>
    <row r="1753" spans="2:26" ht="31.5" customHeight="1" x14ac:dyDescent="0.45">
      <c r="B1753" s="388"/>
      <c r="Q1753" s="389"/>
      <c r="R1753" s="416" t="str">
        <f t="shared" si="122"/>
        <v>DELETE</v>
      </c>
    </row>
    <row r="1754" spans="2:26" ht="31.5" customHeight="1" x14ac:dyDescent="0.45">
      <c r="B1754" s="388"/>
      <c r="D1754" s="384" t="s">
        <v>721</v>
      </c>
      <c r="O1754" s="479">
        <f>Criteria!G249</f>
        <v>0</v>
      </c>
      <c r="Q1754" s="389"/>
      <c r="R1754" s="416" t="str">
        <f t="shared" si="122"/>
        <v>DELETE</v>
      </c>
      <c r="Y1754" s="417">
        <f>IF(M1754&lt;0,1,IF(M1754=0,IF(O1754&lt;0,1,2),2))</f>
        <v>2</v>
      </c>
      <c r="Z1754" s="417">
        <f>IF(O1754&lt;0,1,IF(O1754=0,IF(M1754&lt;0,1,2),2))</f>
        <v>2</v>
      </c>
    </row>
    <row r="1755" spans="2:26" ht="31.5" customHeight="1" x14ac:dyDescent="0.45">
      <c r="B1755" s="388"/>
      <c r="D1755" s="384" t="s">
        <v>1171</v>
      </c>
      <c r="O1755" s="479">
        <f>Criteria!G251</f>
        <v>0</v>
      </c>
      <c r="Q1755" s="389"/>
      <c r="R1755" s="416" t="str">
        <f t="shared" si="122"/>
        <v>DELETE</v>
      </c>
    </row>
    <row r="1756" spans="2:26" ht="9" customHeight="1" x14ac:dyDescent="0.45">
      <c r="B1756" s="388"/>
      <c r="D1756" s="384"/>
      <c r="O1756" s="482"/>
      <c r="Q1756" s="389"/>
      <c r="R1756" s="416" t="str">
        <f t="shared" si="122"/>
        <v>DELETE</v>
      </c>
    </row>
    <row r="1757" spans="2:26" ht="9" customHeight="1" x14ac:dyDescent="0.45">
      <c r="B1757" s="388"/>
      <c r="D1757" s="384"/>
      <c r="O1757" s="479"/>
      <c r="Q1757" s="389"/>
      <c r="R1757" s="416" t="str">
        <f t="shared" si="122"/>
        <v>DELETE</v>
      </c>
    </row>
    <row r="1758" spans="2:26" ht="31.5" customHeight="1" x14ac:dyDescent="0.45">
      <c r="B1758" s="388"/>
      <c r="D1758" s="384"/>
      <c r="O1758" s="479">
        <f>O1754-O1755</f>
        <v>0</v>
      </c>
      <c r="Q1758" s="389"/>
      <c r="R1758" s="416" t="str">
        <f t="shared" si="122"/>
        <v>DELETE</v>
      </c>
    </row>
    <row r="1759" spans="2:26" ht="31.5" customHeight="1" x14ac:dyDescent="0.45">
      <c r="B1759" s="388"/>
      <c r="D1759" s="384"/>
      <c r="O1759" s="479"/>
      <c r="Q1759" s="389"/>
      <c r="R1759" s="416" t="str">
        <f t="shared" si="122"/>
        <v>DELETE</v>
      </c>
    </row>
    <row r="1760" spans="2:26" ht="31.5" customHeight="1" x14ac:dyDescent="0.45">
      <c r="B1760" s="388"/>
      <c r="D1760" s="384" t="s">
        <v>738</v>
      </c>
      <c r="O1760" s="479">
        <f>-Criteria!H249</f>
        <v>0</v>
      </c>
      <c r="Q1760" s="389"/>
      <c r="R1760" s="416" t="str">
        <f t="shared" si="122"/>
        <v>DELETE</v>
      </c>
    </row>
    <row r="1761" spans="2:18" ht="31.5" customHeight="1" x14ac:dyDescent="0.45">
      <c r="B1761" s="388"/>
      <c r="O1761" s="479"/>
      <c r="Q1761" s="389"/>
      <c r="R1761" s="416" t="str">
        <f t="shared" si="122"/>
        <v>DELETE</v>
      </c>
    </row>
    <row r="1762" spans="2:18" ht="31.5" customHeight="1" x14ac:dyDescent="0.45">
      <c r="B1762" s="388"/>
      <c r="D1762" s="368" t="s">
        <v>718</v>
      </c>
      <c r="O1762" s="479">
        <f>-Criteria!G233</f>
        <v>0</v>
      </c>
      <c r="Q1762" s="389"/>
      <c r="R1762" s="416" t="str">
        <f t="shared" si="122"/>
        <v>DELETE</v>
      </c>
    </row>
    <row r="1763" spans="2:18" ht="9" customHeight="1" x14ac:dyDescent="0.45">
      <c r="B1763" s="388"/>
      <c r="O1763" s="482"/>
      <c r="Q1763" s="389"/>
      <c r="R1763" s="416" t="str">
        <f t="shared" si="122"/>
        <v>DELETE</v>
      </c>
    </row>
    <row r="1764" spans="2:18" ht="9" customHeight="1" x14ac:dyDescent="0.45">
      <c r="B1764" s="388"/>
      <c r="O1764" s="479"/>
      <c r="Q1764" s="389"/>
      <c r="R1764" s="416" t="str">
        <f t="shared" si="122"/>
        <v>DELETE</v>
      </c>
    </row>
    <row r="1765" spans="2:18" ht="31.5" customHeight="1" x14ac:dyDescent="0.45">
      <c r="B1765" s="388"/>
      <c r="D1765" s="368" t="str">
        <f>IF(O1765&lt;0,"Loss carried forward","Profit subject to CGT")</f>
        <v>Profit subject to CGT</v>
      </c>
      <c r="O1765" s="479">
        <f>SUM(O1758:O1763)</f>
        <v>0</v>
      </c>
      <c r="Q1765" s="389"/>
      <c r="R1765" s="416" t="str">
        <f>IF(O1754-O1760-O1762=0,"DELETE"," ")</f>
        <v>DELETE</v>
      </c>
    </row>
    <row r="1766" spans="2:18" ht="9" customHeight="1" thickBot="1" x14ac:dyDescent="0.5">
      <c r="B1766" s="388"/>
      <c r="O1766" s="489"/>
      <c r="Q1766" s="389"/>
      <c r="R1766" s="416" t="str">
        <f t="shared" ref="R1766:R1772" si="123">R$1765</f>
        <v>DELETE</v>
      </c>
    </row>
    <row r="1767" spans="2:18" ht="9" customHeight="1" thickTop="1" x14ac:dyDescent="0.45">
      <c r="B1767" s="388"/>
      <c r="O1767" s="493"/>
      <c r="Q1767" s="389"/>
      <c r="R1767" s="416" t="str">
        <f t="shared" si="123"/>
        <v>DELETE</v>
      </c>
    </row>
    <row r="1768" spans="2:18" ht="9" customHeight="1" x14ac:dyDescent="0.45">
      <c r="B1768" s="388"/>
      <c r="Q1768" s="389"/>
      <c r="R1768" s="416" t="str">
        <f t="shared" si="123"/>
        <v>DELETE</v>
      </c>
    </row>
    <row r="1769" spans="2:18" ht="31.5" customHeight="1" x14ac:dyDescent="0.45">
      <c r="B1769" s="388"/>
      <c r="D1769" s="368" t="s">
        <v>517</v>
      </c>
      <c r="O1769" s="479">
        <f>ROUND(IF(O1765&gt;0,O1765*0.8,0),0)</f>
        <v>0</v>
      </c>
      <c r="Q1769" s="389"/>
      <c r="R1769" s="416" t="str">
        <f t="shared" si="123"/>
        <v>DELETE</v>
      </c>
    </row>
    <row r="1770" spans="2:18" ht="9" customHeight="1" thickBot="1" x14ac:dyDescent="0.5">
      <c r="B1770" s="388"/>
      <c r="O1770" s="492"/>
      <c r="Q1770" s="389"/>
      <c r="R1770" s="416" t="str">
        <f t="shared" si="123"/>
        <v>DELETE</v>
      </c>
    </row>
    <row r="1771" spans="2:18" ht="9" customHeight="1" thickTop="1" x14ac:dyDescent="0.45">
      <c r="B1771" s="388"/>
      <c r="Q1771" s="389"/>
      <c r="R1771" s="416" t="str">
        <f t="shared" si="123"/>
        <v>DELETE</v>
      </c>
    </row>
    <row r="1772" spans="2:18" ht="31.5" customHeight="1" x14ac:dyDescent="0.45">
      <c r="B1772" s="388"/>
      <c r="Q1772" s="389"/>
      <c r="R1772" s="416" t="str">
        <f t="shared" si="123"/>
        <v>DELETE</v>
      </c>
    </row>
    <row r="1773" spans="2:18" ht="31.5" customHeight="1" x14ac:dyDescent="0.45">
      <c r="B1773" s="388"/>
      <c r="M1773" s="494"/>
      <c r="Q1773" s="389"/>
      <c r="R1773" s="416" t="str">
        <f t="shared" ref="R1773:R1809" si="124">R$1765</f>
        <v>DELETE</v>
      </c>
    </row>
    <row r="1774" spans="2:18" ht="31.5" customHeight="1" x14ac:dyDescent="0.45">
      <c r="B1774" s="388"/>
      <c r="Q1774" s="389"/>
      <c r="R1774" s="416" t="str">
        <f t="shared" si="124"/>
        <v>DELETE</v>
      </c>
    </row>
    <row r="1775" spans="2:18" ht="31.5" customHeight="1" x14ac:dyDescent="0.45">
      <c r="B1775" s="388"/>
      <c r="Q1775" s="389"/>
      <c r="R1775" s="416" t="str">
        <f t="shared" si="124"/>
        <v>DELETE</v>
      </c>
    </row>
    <row r="1776" spans="2:18" ht="31.5" customHeight="1" x14ac:dyDescent="0.45">
      <c r="B1776" s="388"/>
      <c r="Q1776" s="389"/>
      <c r="R1776" s="416" t="str">
        <f t="shared" si="124"/>
        <v>DELETE</v>
      </c>
    </row>
    <row r="1777" spans="2:18" ht="31.5" customHeight="1" x14ac:dyDescent="0.45">
      <c r="B1777" s="388"/>
      <c r="Q1777" s="389"/>
      <c r="R1777" s="416" t="str">
        <f t="shared" si="124"/>
        <v>DELETE</v>
      </c>
    </row>
    <row r="1778" spans="2:18" ht="31.5" customHeight="1" x14ac:dyDescent="0.45">
      <c r="B1778" s="388"/>
      <c r="Q1778" s="389"/>
      <c r="R1778" s="416" t="str">
        <f t="shared" si="124"/>
        <v>DELETE</v>
      </c>
    </row>
    <row r="1779" spans="2:18" ht="31.5" customHeight="1" x14ac:dyDescent="0.45">
      <c r="B1779" s="388"/>
      <c r="Q1779" s="389"/>
      <c r="R1779" s="416" t="str">
        <f t="shared" si="124"/>
        <v>DELETE</v>
      </c>
    </row>
    <row r="1780" spans="2:18" ht="31.5" customHeight="1" x14ac:dyDescent="0.45">
      <c r="B1780" s="388"/>
      <c r="Q1780" s="389"/>
      <c r="R1780" s="416" t="str">
        <f t="shared" si="124"/>
        <v>DELETE</v>
      </c>
    </row>
    <row r="1781" spans="2:18" ht="31.5" customHeight="1" x14ac:dyDescent="0.45">
      <c r="B1781" s="388"/>
      <c r="Q1781" s="389"/>
      <c r="R1781" s="416" t="str">
        <f t="shared" si="124"/>
        <v>DELETE</v>
      </c>
    </row>
    <row r="1782" spans="2:18" ht="31.5" customHeight="1" x14ac:dyDescent="0.45">
      <c r="B1782" s="388"/>
      <c r="Q1782" s="389"/>
      <c r="R1782" s="416" t="str">
        <f t="shared" si="124"/>
        <v>DELETE</v>
      </c>
    </row>
    <row r="1783" spans="2:18" ht="31.5" customHeight="1" x14ac:dyDescent="0.45">
      <c r="B1783" s="388"/>
      <c r="Q1783" s="389"/>
      <c r="R1783" s="416" t="str">
        <f t="shared" si="124"/>
        <v>DELETE</v>
      </c>
    </row>
    <row r="1784" spans="2:18" ht="31.5" customHeight="1" x14ac:dyDescent="0.45">
      <c r="B1784" s="388"/>
      <c r="Q1784" s="389"/>
      <c r="R1784" s="416" t="str">
        <f t="shared" si="124"/>
        <v>DELETE</v>
      </c>
    </row>
    <row r="1785" spans="2:18" ht="31.5" customHeight="1" x14ac:dyDescent="0.45">
      <c r="B1785" s="388"/>
      <c r="Q1785" s="389"/>
      <c r="R1785" s="416" t="str">
        <f t="shared" si="124"/>
        <v>DELETE</v>
      </c>
    </row>
    <row r="1786" spans="2:18" ht="31.5" customHeight="1" x14ac:dyDescent="0.45">
      <c r="B1786" s="388"/>
      <c r="Q1786" s="389"/>
      <c r="R1786" s="416" t="str">
        <f t="shared" si="124"/>
        <v>DELETE</v>
      </c>
    </row>
    <row r="1787" spans="2:18" ht="31.5" customHeight="1" x14ac:dyDescent="0.45">
      <c r="B1787" s="388"/>
      <c r="Q1787" s="389"/>
      <c r="R1787" s="416" t="str">
        <f t="shared" si="124"/>
        <v>DELETE</v>
      </c>
    </row>
    <row r="1788" spans="2:18" ht="31.5" customHeight="1" x14ac:dyDescent="0.45">
      <c r="B1788" s="388"/>
      <c r="Q1788" s="389"/>
      <c r="R1788" s="416" t="str">
        <f t="shared" si="124"/>
        <v>DELETE</v>
      </c>
    </row>
    <row r="1789" spans="2:18" ht="31.5" customHeight="1" x14ac:dyDescent="0.45">
      <c r="B1789" s="388"/>
      <c r="Q1789" s="389"/>
      <c r="R1789" s="416" t="str">
        <f t="shared" si="124"/>
        <v>DELETE</v>
      </c>
    </row>
    <row r="1790" spans="2:18" ht="31.5" customHeight="1" x14ac:dyDescent="0.45">
      <c r="B1790" s="388"/>
      <c r="Q1790" s="389"/>
      <c r="R1790" s="416" t="str">
        <f t="shared" si="124"/>
        <v>DELETE</v>
      </c>
    </row>
    <row r="1791" spans="2:18" ht="31.5" customHeight="1" x14ac:dyDescent="0.45">
      <c r="B1791" s="388"/>
      <c r="Q1791" s="389"/>
      <c r="R1791" s="416" t="str">
        <f t="shared" si="124"/>
        <v>DELETE</v>
      </c>
    </row>
    <row r="1792" spans="2:18" ht="31.5" customHeight="1" x14ac:dyDescent="0.45">
      <c r="B1792" s="388"/>
      <c r="Q1792" s="389"/>
      <c r="R1792" s="416" t="str">
        <f t="shared" si="124"/>
        <v>DELETE</v>
      </c>
    </row>
    <row r="1793" spans="2:18" ht="31.5" customHeight="1" x14ac:dyDescent="0.45">
      <c r="B1793" s="388"/>
      <c r="Q1793" s="389"/>
      <c r="R1793" s="416" t="str">
        <f t="shared" si="124"/>
        <v>DELETE</v>
      </c>
    </row>
    <row r="1794" spans="2:18" ht="31.5" customHeight="1" x14ac:dyDescent="0.45">
      <c r="B1794" s="388"/>
      <c r="Q1794" s="389"/>
      <c r="R1794" s="416" t="str">
        <f t="shared" si="124"/>
        <v>DELETE</v>
      </c>
    </row>
    <row r="1795" spans="2:18" ht="31.5" customHeight="1" x14ac:dyDescent="0.45">
      <c r="B1795" s="388"/>
      <c r="Q1795" s="389"/>
      <c r="R1795" s="416" t="str">
        <f t="shared" si="124"/>
        <v>DELETE</v>
      </c>
    </row>
    <row r="1796" spans="2:18" ht="31.5" customHeight="1" x14ac:dyDescent="0.45">
      <c r="B1796" s="388"/>
      <c r="Q1796" s="389"/>
      <c r="R1796" s="416" t="str">
        <f t="shared" si="124"/>
        <v>DELETE</v>
      </c>
    </row>
    <row r="1797" spans="2:18" ht="31.5" customHeight="1" x14ac:dyDescent="0.45">
      <c r="B1797" s="388"/>
      <c r="Q1797" s="389"/>
      <c r="R1797" s="416" t="str">
        <f t="shared" si="124"/>
        <v>DELETE</v>
      </c>
    </row>
    <row r="1798" spans="2:18" ht="31.5" customHeight="1" x14ac:dyDescent="0.45">
      <c r="B1798" s="388"/>
      <c r="Q1798" s="389"/>
      <c r="R1798" s="416" t="str">
        <f t="shared" si="124"/>
        <v>DELETE</v>
      </c>
    </row>
    <row r="1799" spans="2:18" ht="31.5" customHeight="1" x14ac:dyDescent="0.45">
      <c r="B1799" s="388"/>
      <c r="Q1799" s="389"/>
      <c r="R1799" s="416" t="str">
        <f t="shared" si="124"/>
        <v>DELETE</v>
      </c>
    </row>
    <row r="1800" spans="2:18" ht="31.5" customHeight="1" x14ac:dyDescent="0.45">
      <c r="B1800" s="388"/>
      <c r="Q1800" s="389"/>
      <c r="R1800" s="416" t="str">
        <f t="shared" si="124"/>
        <v>DELETE</v>
      </c>
    </row>
    <row r="1801" spans="2:18" ht="31.5" customHeight="1" x14ac:dyDescent="0.45">
      <c r="B1801" s="388"/>
      <c r="Q1801" s="389"/>
      <c r="R1801" s="416" t="str">
        <f t="shared" si="124"/>
        <v>DELETE</v>
      </c>
    </row>
    <row r="1802" spans="2:18" ht="31.5" customHeight="1" x14ac:dyDescent="0.45">
      <c r="B1802" s="388"/>
      <c r="Q1802" s="389"/>
      <c r="R1802" s="416" t="str">
        <f t="shared" si="124"/>
        <v>DELETE</v>
      </c>
    </row>
    <row r="1803" spans="2:18" ht="31.5" customHeight="1" x14ac:dyDescent="0.45">
      <c r="B1803" s="388"/>
      <c r="Q1803" s="389"/>
      <c r="R1803" s="416" t="str">
        <f t="shared" si="124"/>
        <v>DELETE</v>
      </c>
    </row>
    <row r="1804" spans="2:18" ht="31.5" customHeight="1" x14ac:dyDescent="0.45">
      <c r="B1804" s="388"/>
      <c r="Q1804" s="389"/>
      <c r="R1804" s="416" t="str">
        <f t="shared" si="124"/>
        <v>DELETE</v>
      </c>
    </row>
    <row r="1805" spans="2:18" ht="31.5" customHeight="1" x14ac:dyDescent="0.45">
      <c r="B1805" s="388"/>
      <c r="Q1805" s="389"/>
      <c r="R1805" s="416" t="str">
        <f t="shared" si="124"/>
        <v>DELETE</v>
      </c>
    </row>
    <row r="1806" spans="2:18" ht="31.5" customHeight="1" x14ac:dyDescent="0.45">
      <c r="B1806" s="388"/>
      <c r="Q1806" s="389"/>
      <c r="R1806" s="416" t="str">
        <f t="shared" si="124"/>
        <v>DELETE</v>
      </c>
    </row>
    <row r="1807" spans="2:18" ht="31.5" customHeight="1" x14ac:dyDescent="0.45">
      <c r="B1807" s="388"/>
      <c r="Q1807" s="389"/>
      <c r="R1807" s="416" t="str">
        <f t="shared" si="124"/>
        <v>DELETE</v>
      </c>
    </row>
    <row r="1808" spans="2:18" ht="31.5" customHeight="1" x14ac:dyDescent="0.45">
      <c r="B1808" s="396"/>
      <c r="C1808" s="383"/>
      <c r="D1808" s="383"/>
      <c r="E1808" s="383"/>
      <c r="F1808" s="383"/>
      <c r="G1808" s="383"/>
      <c r="H1808" s="383"/>
      <c r="I1808" s="383"/>
      <c r="J1808" s="383"/>
      <c r="K1808" s="383"/>
      <c r="L1808" s="383"/>
      <c r="M1808" s="474"/>
      <c r="N1808" s="475"/>
      <c r="O1808" s="474"/>
      <c r="P1808" s="475"/>
      <c r="Q1808" s="398"/>
      <c r="R1808" s="416" t="str">
        <f t="shared" si="124"/>
        <v>DELETE</v>
      </c>
    </row>
    <row r="1809" spans="2:26" ht="31.5" customHeight="1" x14ac:dyDescent="0.45">
      <c r="M1809" s="477"/>
      <c r="N1809" s="478"/>
      <c r="O1809" s="477"/>
      <c r="P1809" s="478"/>
      <c r="R1809" s="416" t="str">
        <f t="shared" si="124"/>
        <v>DELETE</v>
      </c>
    </row>
    <row r="1810" spans="2:26" ht="31.5" customHeight="1" x14ac:dyDescent="0.45">
      <c r="M1810" s="479"/>
      <c r="N1810" s="469"/>
      <c r="O1810" s="479"/>
      <c r="R1810" s="416" t="str">
        <f>IF(SUM(U1822:U1824)+SUM(U1842:U1849)+SUM(U1948:U1955)+O1963=0,"DELETE",IF(SUM(S1822:S1824)+SUM(U1822:U1824)+SUM(S1842:S1849)+SUM(U1842:U1849)+SUM(S1948:S1955)+SUM(U1948:U1955)+M1963+O1963=0,"DELETE"," "))</f>
        <v>DELETE</v>
      </c>
      <c r="T1810" s="425"/>
      <c r="V1810" s="420"/>
      <c r="W1810" s="420"/>
      <c r="X1810" s="420"/>
      <c r="Y1810" s="425"/>
    </row>
    <row r="1811" spans="2:26" ht="31.5" customHeight="1" x14ac:dyDescent="0.45">
      <c r="D1811" s="369" t="s">
        <v>498</v>
      </c>
      <c r="M1811" s="479"/>
      <c r="N1811" s="469"/>
      <c r="O1811" s="479"/>
      <c r="R1811" s="416" t="str">
        <f t="shared" ref="R1811:R1821" si="125">R$1810</f>
        <v>DELETE</v>
      </c>
      <c r="T1811" s="425"/>
      <c r="V1811" s="419"/>
      <c r="X1811" s="419"/>
      <c r="Z1811" s="419"/>
    </row>
    <row r="1812" spans="2:26" ht="31.5" customHeight="1" x14ac:dyDescent="0.45">
      <c r="M1812" s="479"/>
      <c r="N1812" s="469"/>
      <c r="O1812" s="479"/>
      <c r="R1812" s="416" t="str">
        <f t="shared" si="125"/>
        <v>DELETE</v>
      </c>
      <c r="T1812" s="425"/>
    </row>
    <row r="1813" spans="2:26" ht="31.5" customHeight="1" x14ac:dyDescent="0.45">
      <c r="D1813" s="369" t="str">
        <f>Criteria!E9</f>
        <v>ABC TRUST</v>
      </c>
      <c r="M1813" s="479"/>
      <c r="N1813" s="469"/>
      <c r="O1813" s="434" t="s">
        <v>105</v>
      </c>
      <c r="Q1813" s="370">
        <v>1</v>
      </c>
      <c r="R1813" s="416" t="str">
        <f t="shared" si="125"/>
        <v>DELETE</v>
      </c>
      <c r="T1813" s="425"/>
    </row>
    <row r="1814" spans="2:26" ht="31.5" customHeight="1" x14ac:dyDescent="0.45">
      <c r="D1814" s="369" t="str">
        <f>CONCATENATE("T/A ",Criteria!E14)</f>
        <v>T/A SEAFRONT RESTAURANT</v>
      </c>
      <c r="M1814" s="479"/>
      <c r="N1814" s="469"/>
      <c r="O1814" s="479"/>
      <c r="R1814" s="416" t="str">
        <f t="shared" si="125"/>
        <v>DELETE</v>
      </c>
      <c r="T1814" s="425"/>
    </row>
    <row r="1815" spans="2:26" ht="31.5" customHeight="1" x14ac:dyDescent="0.45">
      <c r="M1815" s="479"/>
      <c r="N1815" s="469"/>
      <c r="O1815" s="479"/>
      <c r="R1815" s="416" t="str">
        <f t="shared" si="125"/>
        <v>DELETE</v>
      </c>
      <c r="T1815" s="425"/>
    </row>
    <row r="1816" spans="2:26" ht="31.5" customHeight="1" x14ac:dyDescent="0.45">
      <c r="D1816" s="369" t="s">
        <v>100</v>
      </c>
      <c r="M1816" s="479"/>
      <c r="N1816" s="469"/>
      <c r="O1816" s="479"/>
      <c r="R1816" s="416" t="str">
        <f t="shared" si="125"/>
        <v>DELETE</v>
      </c>
      <c r="T1816" s="425"/>
    </row>
    <row r="1817" spans="2:26" ht="31.5" customHeight="1" x14ac:dyDescent="0.45">
      <c r="D1817" s="369" t="str">
        <f>Criteria!E20</f>
        <v>29 FEBRUARY 2024</v>
      </c>
      <c r="M1817" s="479"/>
      <c r="N1817" s="469"/>
      <c r="O1817" s="479"/>
      <c r="R1817" s="416" t="str">
        <f t="shared" si="125"/>
        <v>DELETE</v>
      </c>
      <c r="T1817" s="425"/>
    </row>
    <row r="1818" spans="2:26" ht="31.5" customHeight="1" x14ac:dyDescent="0.45">
      <c r="M1818" s="479"/>
      <c r="N1818" s="469"/>
      <c r="O1818" s="479"/>
      <c r="R1818" s="416" t="str">
        <f t="shared" si="125"/>
        <v>DELETE</v>
      </c>
      <c r="T1818" s="425"/>
    </row>
    <row r="1819" spans="2:26" ht="31.5" customHeight="1" x14ac:dyDescent="0.45">
      <c r="B1819" s="385"/>
      <c r="C1819" s="386"/>
      <c r="D1819" s="386"/>
      <c r="E1819" s="386"/>
      <c r="F1819" s="386"/>
      <c r="G1819" s="386"/>
      <c r="H1819" s="386"/>
      <c r="I1819" s="386"/>
      <c r="J1819" s="386"/>
      <c r="K1819" s="386"/>
      <c r="L1819" s="386"/>
      <c r="M1819" s="484"/>
      <c r="N1819" s="485"/>
      <c r="O1819" s="484"/>
      <c r="P1819" s="481"/>
      <c r="Q1819" s="387"/>
      <c r="R1819" s="416" t="str">
        <f t="shared" si="125"/>
        <v>DELETE</v>
      </c>
      <c r="T1819" s="425"/>
    </row>
    <row r="1820" spans="2:26" ht="31.5" customHeight="1" x14ac:dyDescent="0.45">
      <c r="B1820" s="388"/>
      <c r="J1820" s="370"/>
      <c r="K1820" s="370" t="s">
        <v>113</v>
      </c>
      <c r="L1820" s="370"/>
      <c r="M1820" s="430">
        <f>Criteria!E22</f>
        <v>2024</v>
      </c>
      <c r="N1820" s="379"/>
      <c r="O1820" s="430">
        <f>Criteria!E27</f>
        <v>2023</v>
      </c>
      <c r="P1820" s="380"/>
      <c r="Q1820" s="389"/>
      <c r="R1820" s="416" t="str">
        <f t="shared" si="125"/>
        <v>DELETE</v>
      </c>
      <c r="T1820" s="425"/>
    </row>
    <row r="1821" spans="2:26" ht="31.5" customHeight="1" x14ac:dyDescent="0.45">
      <c r="B1821" s="388"/>
      <c r="J1821" s="370"/>
      <c r="K1821" s="370"/>
      <c r="L1821" s="370"/>
      <c r="M1821" s="434"/>
      <c r="N1821" s="390"/>
      <c r="O1821" s="434"/>
      <c r="P1821" s="380"/>
      <c r="Q1821" s="389"/>
      <c r="R1821" s="416" t="str">
        <f t="shared" si="125"/>
        <v>DELETE</v>
      </c>
      <c r="T1821" s="425"/>
    </row>
    <row r="1822" spans="2:26" ht="31.5" customHeight="1" x14ac:dyDescent="0.45">
      <c r="B1822" s="388"/>
      <c r="C1822" s="369" t="s">
        <v>1044</v>
      </c>
      <c r="J1822" s="370"/>
      <c r="K1822" s="370"/>
      <c r="L1822" s="370"/>
      <c r="M1822" s="434">
        <f>-SUM(TrialBalanceA!I6:I7)</f>
        <v>0</v>
      </c>
      <c r="N1822" s="390"/>
      <c r="O1822" s="434">
        <f>-SUM(TrialBalanceA!K6:K7)</f>
        <v>0</v>
      </c>
      <c r="P1822" s="380"/>
      <c r="Q1822" s="389"/>
      <c r="R1822" s="416" t="str">
        <f>IF(R1810="DELETE","DELETE",IF(M1822+O1822=0,IF(M1824+O1824=0," ","DELETE")," "))</f>
        <v>DELETE</v>
      </c>
      <c r="S1822" s="421">
        <f>M1822</f>
        <v>0</v>
      </c>
      <c r="T1822" s="425"/>
      <c r="U1822" s="421">
        <f>O1822</f>
        <v>0</v>
      </c>
      <c r="V1822" s="421"/>
      <c r="W1822" s="421"/>
      <c r="X1822" s="421"/>
    </row>
    <row r="1823" spans="2:26" ht="31.5" customHeight="1" x14ac:dyDescent="0.45">
      <c r="B1823" s="388"/>
      <c r="C1823" s="369"/>
      <c r="J1823" s="370"/>
      <c r="K1823" s="370"/>
      <c r="L1823" s="370"/>
      <c r="M1823" s="434"/>
      <c r="N1823" s="390"/>
      <c r="O1823" s="434"/>
      <c r="P1823" s="380"/>
      <c r="Q1823" s="389"/>
      <c r="R1823" s="416" t="str">
        <f>R1822</f>
        <v>DELETE</v>
      </c>
      <c r="S1823" s="421"/>
      <c r="T1823" s="425"/>
      <c r="U1823" s="421"/>
      <c r="V1823" s="421"/>
      <c r="W1823" s="421"/>
      <c r="X1823" s="421"/>
    </row>
    <row r="1824" spans="2:26" ht="31.5" customHeight="1" x14ac:dyDescent="0.45">
      <c r="B1824" s="388"/>
      <c r="C1824" s="369" t="s">
        <v>497</v>
      </c>
      <c r="J1824" s="370"/>
      <c r="K1824" s="370"/>
      <c r="L1824" s="370"/>
      <c r="M1824" s="434">
        <f>-TrialBalanceA!I8</f>
        <v>0</v>
      </c>
      <c r="N1824" s="390"/>
      <c r="O1824" s="434">
        <f>-TrialBalanceA!K8</f>
        <v>0</v>
      </c>
      <c r="P1824" s="380"/>
      <c r="Q1824" s="389"/>
      <c r="R1824" s="416" t="str">
        <f>IF(R$1810="DELETE","DELETE",IF(M1824+O1824=0,"DELETE"," "))</f>
        <v>DELETE</v>
      </c>
      <c r="S1824" s="421">
        <f>M1824</f>
        <v>0</v>
      </c>
      <c r="T1824" s="425"/>
      <c r="U1824" s="421">
        <f>O1824</f>
        <v>0</v>
      </c>
      <c r="V1824" s="421"/>
      <c r="W1824" s="421"/>
      <c r="X1824" s="421"/>
    </row>
    <row r="1825" spans="2:26" ht="31.5" customHeight="1" x14ac:dyDescent="0.45">
      <c r="B1825" s="388"/>
      <c r="C1825" s="369"/>
      <c r="J1825" s="370"/>
      <c r="K1825" s="370"/>
      <c r="L1825" s="370"/>
      <c r="M1825" s="434"/>
      <c r="N1825" s="390"/>
      <c r="O1825" s="434"/>
      <c r="P1825" s="380"/>
      <c r="Q1825" s="389"/>
      <c r="R1825" s="416" t="str">
        <f>R1824</f>
        <v>DELETE</v>
      </c>
      <c r="T1825" s="425"/>
    </row>
    <row r="1826" spans="2:26" ht="31.5" customHeight="1" x14ac:dyDescent="0.45">
      <c r="B1826" s="388"/>
      <c r="C1826" s="369" t="s">
        <v>275</v>
      </c>
      <c r="J1826" s="370"/>
      <c r="K1826" s="370"/>
      <c r="L1826" s="370"/>
      <c r="M1826" s="434">
        <f>SUM(M1829:M1836)</f>
        <v>0</v>
      </c>
      <c r="N1826" s="390"/>
      <c r="O1826" s="434">
        <f>SUM(O1829:O1836)</f>
        <v>0</v>
      </c>
      <c r="P1826" s="380"/>
      <c r="Q1826" s="389"/>
      <c r="R1826" s="416" t="str">
        <f>IF(R$1810="DELETE","DELETE",IF(M1826+O1826=0,"DELETE"," "))</f>
        <v>DELETE</v>
      </c>
      <c r="S1826" s="421">
        <f>-M1826</f>
        <v>0</v>
      </c>
      <c r="T1826" s="425"/>
      <c r="U1826" s="421">
        <f>-O1826</f>
        <v>0</v>
      </c>
      <c r="V1826" s="421"/>
      <c r="W1826" s="421"/>
      <c r="X1826" s="421"/>
    </row>
    <row r="1827" spans="2:26" ht="9" customHeight="1" x14ac:dyDescent="0.45">
      <c r="B1827" s="388"/>
      <c r="C1827" s="369"/>
      <c r="J1827" s="370"/>
      <c r="K1827" s="370"/>
      <c r="L1827" s="370"/>
      <c r="M1827" s="434"/>
      <c r="N1827" s="390"/>
      <c r="O1827" s="434"/>
      <c r="P1827" s="380"/>
      <c r="Q1827" s="389"/>
      <c r="R1827" s="416" t="str">
        <f>R1826</f>
        <v>DELETE</v>
      </c>
      <c r="T1827" s="425"/>
    </row>
    <row r="1828" spans="2:26" ht="9" customHeight="1" x14ac:dyDescent="0.45">
      <c r="B1828" s="388"/>
      <c r="C1828" s="369"/>
      <c r="J1828" s="370"/>
      <c r="K1828" s="370"/>
      <c r="L1828" s="370"/>
      <c r="M1828" s="435"/>
      <c r="N1828" s="391"/>
      <c r="O1828" s="450"/>
      <c r="P1828" s="380"/>
      <c r="Q1828" s="389"/>
      <c r="R1828" s="416" t="str">
        <f>R1827</f>
        <v>DELETE</v>
      </c>
      <c r="T1828" s="425"/>
    </row>
    <row r="1829" spans="2:26" ht="31.5" customHeight="1" x14ac:dyDescent="0.45">
      <c r="B1829" s="388"/>
      <c r="C1829" s="369"/>
      <c r="D1829" s="368" t="s">
        <v>499</v>
      </c>
      <c r="J1829" s="370"/>
      <c r="K1829" s="370"/>
      <c r="L1829" s="370"/>
      <c r="M1829" s="436">
        <f>SUM(TrialBalanceA!I10:I13)</f>
        <v>0</v>
      </c>
      <c r="N1829" s="390"/>
      <c r="O1829" s="451">
        <f>SUM(TrialBalanceA!K10:K13)</f>
        <v>0</v>
      </c>
      <c r="P1829" s="380"/>
      <c r="Q1829" s="389"/>
      <c r="R1829" s="416" t="str">
        <f t="shared" ref="R1829:R1836" si="126">IF(R$1810="DELETE","DELETE",IF(M1829+O1829=0,"DELETE"," "))</f>
        <v>DELETE</v>
      </c>
      <c r="T1829" s="425"/>
    </row>
    <row r="1830" spans="2:26" ht="31.5" customHeight="1" x14ac:dyDescent="0.45">
      <c r="B1830" s="388"/>
      <c r="C1830" s="369"/>
      <c r="D1830" s="368" t="s">
        <v>276</v>
      </c>
      <c r="J1830" s="370"/>
      <c r="K1830" s="370"/>
      <c r="L1830" s="370"/>
      <c r="M1830" s="436">
        <f>TrialBalanceA!I14</f>
        <v>0</v>
      </c>
      <c r="N1830" s="390"/>
      <c r="O1830" s="451">
        <f>TrialBalanceA!K14</f>
        <v>0</v>
      </c>
      <c r="P1830" s="380"/>
      <c r="Q1830" s="389"/>
      <c r="R1830" s="416" t="str">
        <f t="shared" si="126"/>
        <v>DELETE</v>
      </c>
      <c r="T1830" s="425"/>
    </row>
    <row r="1831" spans="2:26" ht="31.5" customHeight="1" x14ac:dyDescent="0.45">
      <c r="B1831" s="388"/>
      <c r="C1831" s="369"/>
      <c r="D1831" s="368">
        <f>TrialBalanceA!C15</f>
        <v>0</v>
      </c>
      <c r="J1831" s="370"/>
      <c r="K1831" s="370"/>
      <c r="L1831" s="370"/>
      <c r="M1831" s="436">
        <f>TrialBalanceA!I15</f>
        <v>0</v>
      </c>
      <c r="N1831" s="390"/>
      <c r="O1831" s="451">
        <f>TrialBalanceA!K15</f>
        <v>0</v>
      </c>
      <c r="P1831" s="380"/>
      <c r="Q1831" s="389"/>
      <c r="R1831" s="416" t="str">
        <f t="shared" si="126"/>
        <v>DELETE</v>
      </c>
      <c r="T1831" s="425"/>
    </row>
    <row r="1832" spans="2:26" ht="31.5" customHeight="1" x14ac:dyDescent="0.45">
      <c r="B1832" s="388"/>
      <c r="C1832" s="369"/>
      <c r="D1832" s="368">
        <f>TrialBalanceA!C16</f>
        <v>0</v>
      </c>
      <c r="J1832" s="370"/>
      <c r="K1832" s="370"/>
      <c r="L1832" s="370"/>
      <c r="M1832" s="436">
        <f>TrialBalanceA!I16</f>
        <v>0</v>
      </c>
      <c r="N1832" s="390"/>
      <c r="O1832" s="451">
        <f>TrialBalanceA!K16</f>
        <v>0</v>
      </c>
      <c r="P1832" s="380"/>
      <c r="Q1832" s="389"/>
      <c r="R1832" s="416" t="str">
        <f t="shared" si="126"/>
        <v>DELETE</v>
      </c>
      <c r="T1832" s="425"/>
    </row>
    <row r="1833" spans="2:26" ht="31.5" customHeight="1" x14ac:dyDescent="0.45">
      <c r="B1833" s="388"/>
      <c r="C1833" s="369"/>
      <c r="D1833" s="368">
        <f>TrialBalanceA!C17</f>
        <v>0</v>
      </c>
      <c r="J1833" s="370"/>
      <c r="K1833" s="370"/>
      <c r="L1833" s="370"/>
      <c r="M1833" s="436">
        <f>TrialBalanceA!I17</f>
        <v>0</v>
      </c>
      <c r="N1833" s="390"/>
      <c r="O1833" s="451">
        <f>TrialBalanceA!K17</f>
        <v>0</v>
      </c>
      <c r="P1833" s="380"/>
      <c r="Q1833" s="389"/>
      <c r="R1833" s="416" t="str">
        <f t="shared" si="126"/>
        <v>DELETE</v>
      </c>
      <c r="T1833" s="425"/>
    </row>
    <row r="1834" spans="2:26" ht="31.5" customHeight="1" x14ac:dyDescent="0.45">
      <c r="B1834" s="388"/>
      <c r="C1834" s="369"/>
      <c r="D1834" s="368">
        <f>TrialBalanceA!C18</f>
        <v>0</v>
      </c>
      <c r="J1834" s="370"/>
      <c r="K1834" s="370"/>
      <c r="L1834" s="370"/>
      <c r="M1834" s="436">
        <f>TrialBalanceA!I18</f>
        <v>0</v>
      </c>
      <c r="N1834" s="390"/>
      <c r="O1834" s="451">
        <f>TrialBalanceA!K18</f>
        <v>0</v>
      </c>
      <c r="P1834" s="380"/>
      <c r="Q1834" s="389"/>
      <c r="R1834" s="416" t="str">
        <f t="shared" si="126"/>
        <v>DELETE</v>
      </c>
      <c r="T1834" s="425"/>
    </row>
    <row r="1835" spans="2:26" ht="31.5" customHeight="1" x14ac:dyDescent="0.45">
      <c r="B1835" s="388"/>
      <c r="C1835" s="369"/>
      <c r="D1835" s="368">
        <f>TrialBalanceA!C19</f>
        <v>0</v>
      </c>
      <c r="J1835" s="370"/>
      <c r="K1835" s="370"/>
      <c r="L1835" s="370"/>
      <c r="M1835" s="436">
        <f>TrialBalanceA!I19</f>
        <v>0</v>
      </c>
      <c r="N1835" s="390"/>
      <c r="O1835" s="451">
        <f>TrialBalanceA!K19</f>
        <v>0</v>
      </c>
      <c r="P1835" s="380"/>
      <c r="Q1835" s="389"/>
      <c r="R1835" s="416" t="str">
        <f t="shared" si="126"/>
        <v>DELETE</v>
      </c>
      <c r="T1835" s="425"/>
    </row>
    <row r="1836" spans="2:26" ht="31.5" customHeight="1" x14ac:dyDescent="0.45">
      <c r="B1836" s="388"/>
      <c r="C1836" s="369"/>
      <c r="D1836" s="368" t="s">
        <v>500</v>
      </c>
      <c r="J1836" s="370"/>
      <c r="K1836" s="370"/>
      <c r="L1836" s="370"/>
      <c r="M1836" s="436">
        <f>SUM(TrialBalanceA!I20:I23)</f>
        <v>0</v>
      </c>
      <c r="N1836" s="390"/>
      <c r="O1836" s="451">
        <f>SUM(TrialBalanceA!K20:K23)</f>
        <v>0</v>
      </c>
      <c r="P1836" s="380"/>
      <c r="Q1836" s="389"/>
      <c r="R1836" s="416" t="str">
        <f t="shared" si="126"/>
        <v>DELETE</v>
      </c>
      <c r="T1836" s="425"/>
    </row>
    <row r="1837" spans="2:26" ht="9" customHeight="1" x14ac:dyDescent="0.45">
      <c r="B1837" s="388"/>
      <c r="C1837" s="369"/>
      <c r="J1837" s="370"/>
      <c r="K1837" s="370"/>
      <c r="L1837" s="370"/>
      <c r="M1837" s="437"/>
      <c r="N1837" s="392"/>
      <c r="O1837" s="452"/>
      <c r="P1837" s="380"/>
      <c r="Q1837" s="389"/>
      <c r="R1837" s="416" t="str">
        <f>R1826</f>
        <v>DELETE</v>
      </c>
      <c r="T1837" s="425"/>
    </row>
    <row r="1838" spans="2:26" ht="9" customHeight="1" x14ac:dyDescent="0.45">
      <c r="B1838" s="388"/>
      <c r="C1838" s="369"/>
      <c r="J1838" s="370"/>
      <c r="K1838" s="370"/>
      <c r="L1838" s="370"/>
      <c r="M1838" s="438"/>
      <c r="N1838" s="392"/>
      <c r="O1838" s="438"/>
      <c r="P1838" s="380"/>
      <c r="Q1838" s="389"/>
      <c r="R1838" s="416" t="str">
        <f>R1826</f>
        <v>DELETE</v>
      </c>
      <c r="T1838" s="425"/>
    </row>
    <row r="1839" spans="2:26" ht="9" customHeight="1" x14ac:dyDescent="0.45">
      <c r="B1839" s="388"/>
      <c r="C1839" s="369"/>
      <c r="J1839" s="370"/>
      <c r="K1839" s="370"/>
      <c r="L1839" s="370"/>
      <c r="M1839" s="434"/>
      <c r="N1839" s="390"/>
      <c r="O1839" s="434"/>
      <c r="P1839" s="380"/>
      <c r="Q1839" s="389"/>
      <c r="R1839" s="416" t="str">
        <f>R1838</f>
        <v>DELETE</v>
      </c>
      <c r="T1839" s="425"/>
    </row>
    <row r="1840" spans="2:26" ht="31.5" customHeight="1" x14ac:dyDescent="0.45">
      <c r="B1840" s="388"/>
      <c r="C1840" s="411" t="str">
        <f>IF((Y1840+Z1840)=3,"GROSS PROFIT/(LOSS)",(IF((Y1840+Z1840=4),"GROSS PROFIT","GROSS LOSS")))</f>
        <v>GROSS PROFIT</v>
      </c>
      <c r="J1840" s="370"/>
      <c r="K1840" s="370"/>
      <c r="L1840" s="370"/>
      <c r="M1840" s="434">
        <f>SUM(S1822:S1837)</f>
        <v>0</v>
      </c>
      <c r="N1840" s="390"/>
      <c r="O1840" s="434">
        <f>SUM(U1822:U1837)</f>
        <v>0</v>
      </c>
      <c r="P1840" s="380"/>
      <c r="Q1840" s="389"/>
      <c r="R1840" s="416" t="str">
        <f>R1839</f>
        <v>DELETE</v>
      </c>
      <c r="T1840" s="425"/>
      <c r="Y1840" s="417">
        <f>IF(M1840&lt;0,1,IF(M1840=0,IF(O1840&lt;0,1,2),2))</f>
        <v>2</v>
      </c>
      <c r="Z1840" s="417">
        <f>IF(O1840&lt;0,1,IF(O1840=0,IF(M1840&lt;0,1,2),2))</f>
        <v>2</v>
      </c>
    </row>
    <row r="1841" spans="2:24" ht="31.5" customHeight="1" x14ac:dyDescent="0.45">
      <c r="B1841" s="388"/>
      <c r="C1841" s="369"/>
      <c r="J1841" s="370"/>
      <c r="K1841" s="370"/>
      <c r="L1841" s="370"/>
      <c r="M1841" s="434"/>
      <c r="N1841" s="390"/>
      <c r="O1841" s="434"/>
      <c r="P1841" s="380"/>
      <c r="Q1841" s="389"/>
      <c r="R1841" s="416" t="str">
        <f>R1840</f>
        <v>DELETE</v>
      </c>
      <c r="T1841" s="425"/>
    </row>
    <row r="1842" spans="2:24" ht="31.5" customHeight="1" x14ac:dyDescent="0.45">
      <c r="B1842" s="388"/>
      <c r="C1842" s="369" t="s">
        <v>319</v>
      </c>
      <c r="J1842" s="370"/>
      <c r="K1842" s="370"/>
      <c r="L1842" s="370"/>
      <c r="M1842" s="434">
        <f>SUM(M1844:M1851)</f>
        <v>0</v>
      </c>
      <c r="N1842" s="390"/>
      <c r="O1842" s="434">
        <f>SUM(O1844:O1851)</f>
        <v>0</v>
      </c>
      <c r="P1842" s="380"/>
      <c r="Q1842" s="389"/>
      <c r="R1842" s="416" t="str">
        <f t="shared" ref="R1842" si="127">IF(R$1810="DELETE","DELETE",IF(M1842+O1842=0,"DELETE"," "))</f>
        <v>DELETE</v>
      </c>
      <c r="S1842" s="421">
        <f>M1842</f>
        <v>0</v>
      </c>
      <c r="T1842" s="425"/>
      <c r="U1842" s="421">
        <f>O1842</f>
        <v>0</v>
      </c>
      <c r="V1842" s="421"/>
      <c r="W1842" s="421"/>
      <c r="X1842" s="421"/>
    </row>
    <row r="1843" spans="2:24" ht="9" customHeight="1" x14ac:dyDescent="0.45">
      <c r="B1843" s="388"/>
      <c r="C1843" s="369"/>
      <c r="J1843" s="370"/>
      <c r="K1843" s="370"/>
      <c r="L1843" s="370"/>
      <c r="M1843" s="434"/>
      <c r="N1843" s="390"/>
      <c r="O1843" s="434"/>
      <c r="P1843" s="380"/>
      <c r="Q1843" s="389"/>
      <c r="R1843" s="416" t="str">
        <f>R1842</f>
        <v>DELETE</v>
      </c>
      <c r="T1843" s="425"/>
    </row>
    <row r="1844" spans="2:24" ht="9" customHeight="1" x14ac:dyDescent="0.45">
      <c r="B1844" s="388"/>
      <c r="C1844" s="369"/>
      <c r="J1844" s="370"/>
      <c r="K1844" s="370"/>
      <c r="L1844" s="370"/>
      <c r="M1844" s="435"/>
      <c r="N1844" s="391"/>
      <c r="O1844" s="450"/>
      <c r="P1844" s="380"/>
      <c r="Q1844" s="389"/>
      <c r="R1844" s="416" t="str">
        <f>R1842</f>
        <v>DELETE</v>
      </c>
      <c r="T1844" s="425"/>
    </row>
    <row r="1845" spans="2:24" ht="31.5" customHeight="1" x14ac:dyDescent="0.45">
      <c r="B1845" s="388"/>
      <c r="C1845" s="369"/>
      <c r="D1845" s="368" t="str">
        <f>TrialBalanceA!C25</f>
        <v>Insurance claims - Seafront Restaurant</v>
      </c>
      <c r="J1845" s="370"/>
      <c r="K1845" s="370"/>
      <c r="L1845" s="370"/>
      <c r="M1845" s="436">
        <f>-TrialBalanceA!I25</f>
        <v>0</v>
      </c>
      <c r="N1845" s="390"/>
      <c r="O1845" s="451">
        <f>-TrialBalanceA!K25</f>
        <v>0</v>
      </c>
      <c r="P1845" s="380"/>
      <c r="Q1845" s="389"/>
      <c r="R1845" s="416" t="str">
        <f t="shared" ref="R1845:R1849" si="128">IF(R$1810="DELETE","DELETE",IF(M1845+O1845=0,"DELETE"," "))</f>
        <v>DELETE</v>
      </c>
      <c r="T1845" s="425"/>
    </row>
    <row r="1846" spans="2:24" ht="31.5" customHeight="1" x14ac:dyDescent="0.45">
      <c r="B1846" s="388"/>
      <c r="C1846" s="369"/>
      <c r="D1846" s="368" t="str">
        <f>TrialBalanceA!C26</f>
        <v>Government grants received</v>
      </c>
      <c r="J1846" s="370"/>
      <c r="K1846" s="370"/>
      <c r="L1846" s="370"/>
      <c r="M1846" s="436">
        <f>-TrialBalanceA!I26</f>
        <v>0</v>
      </c>
      <c r="N1846" s="390"/>
      <c r="O1846" s="451">
        <f>-TrialBalanceA!K26</f>
        <v>0</v>
      </c>
      <c r="P1846" s="380"/>
      <c r="Q1846" s="389"/>
      <c r="R1846" s="416" t="str">
        <f t="shared" si="128"/>
        <v>DELETE</v>
      </c>
      <c r="T1846" s="425"/>
    </row>
    <row r="1847" spans="2:24" ht="31.5" customHeight="1" x14ac:dyDescent="0.45">
      <c r="B1847" s="388"/>
      <c r="C1847" s="369"/>
      <c r="D1847" s="368">
        <f>TrialBalanceA!C27</f>
        <v>0</v>
      </c>
      <c r="J1847" s="370"/>
      <c r="K1847" s="370"/>
      <c r="L1847" s="370"/>
      <c r="M1847" s="436">
        <f>-TrialBalanceA!I27</f>
        <v>0</v>
      </c>
      <c r="N1847" s="390"/>
      <c r="O1847" s="451">
        <f>-TrialBalanceA!K27</f>
        <v>0</v>
      </c>
      <c r="P1847" s="380"/>
      <c r="Q1847" s="389"/>
      <c r="R1847" s="416" t="str">
        <f t="shared" si="128"/>
        <v>DELETE</v>
      </c>
      <c r="T1847" s="425"/>
    </row>
    <row r="1848" spans="2:24" ht="31.5" customHeight="1" x14ac:dyDescent="0.45">
      <c r="B1848" s="388"/>
      <c r="C1848" s="369"/>
      <c r="D1848" s="368">
        <f>TrialBalanceA!C28</f>
        <v>0</v>
      </c>
      <c r="J1848" s="370"/>
      <c r="K1848" s="370"/>
      <c r="L1848" s="370"/>
      <c r="M1848" s="436">
        <f>-TrialBalanceA!I28</f>
        <v>0</v>
      </c>
      <c r="N1848" s="390"/>
      <c r="O1848" s="451">
        <f>-TrialBalanceA!K28</f>
        <v>0</v>
      </c>
      <c r="P1848" s="380"/>
      <c r="Q1848" s="389"/>
      <c r="R1848" s="416" t="str">
        <f t="shared" si="128"/>
        <v>DELETE</v>
      </c>
      <c r="T1848" s="425"/>
    </row>
    <row r="1849" spans="2:24" ht="31.5" customHeight="1" x14ac:dyDescent="0.45">
      <c r="B1849" s="388"/>
      <c r="C1849" s="369"/>
      <c r="D1849" s="368">
        <f>TrialBalanceA!C29</f>
        <v>0</v>
      </c>
      <c r="J1849" s="370"/>
      <c r="K1849" s="370"/>
      <c r="L1849" s="370"/>
      <c r="M1849" s="436">
        <f>-TrialBalanceA!I29</f>
        <v>0</v>
      </c>
      <c r="N1849" s="390"/>
      <c r="O1849" s="451">
        <f>-TrialBalanceA!K29</f>
        <v>0</v>
      </c>
      <c r="P1849" s="380"/>
      <c r="Q1849" s="389"/>
      <c r="R1849" s="416" t="str">
        <f t="shared" si="128"/>
        <v>DELETE</v>
      </c>
      <c r="T1849" s="425"/>
    </row>
    <row r="1850" spans="2:24" ht="31.5" customHeight="1" x14ac:dyDescent="0.45">
      <c r="B1850" s="388"/>
      <c r="C1850" s="369"/>
      <c r="D1850" s="368" t="str">
        <f>TrialBalanceA!C30</f>
        <v>Recoupment of depreciation</v>
      </c>
      <c r="J1850" s="370"/>
      <c r="K1850" s="370"/>
      <c r="L1850" s="370"/>
      <c r="M1850" s="436">
        <f>-TrialBalanceA!I30</f>
        <v>0</v>
      </c>
      <c r="N1850" s="390"/>
      <c r="O1850" s="451">
        <f>-TrialBalanceA!K30</f>
        <v>0</v>
      </c>
      <c r="P1850" s="380"/>
      <c r="Q1850" s="389"/>
      <c r="R1850" s="416" t="str">
        <f t="shared" ref="R1850" si="129">IF(R$1810="DELETE","DELETE",IF(M1850+O1850=0,"DELETE"," "))</f>
        <v>DELETE</v>
      </c>
      <c r="T1850" s="425"/>
    </row>
    <row r="1851" spans="2:24" ht="9" customHeight="1" x14ac:dyDescent="0.45">
      <c r="B1851" s="388"/>
      <c r="C1851" s="369"/>
      <c r="J1851" s="370"/>
      <c r="K1851" s="370"/>
      <c r="L1851" s="370"/>
      <c r="M1851" s="437"/>
      <c r="N1851" s="392"/>
      <c r="O1851" s="452"/>
      <c r="P1851" s="380"/>
      <c r="Q1851" s="389"/>
      <c r="R1851" s="416" t="str">
        <f>R1842</f>
        <v>DELETE</v>
      </c>
      <c r="T1851" s="425"/>
    </row>
    <row r="1852" spans="2:24" ht="9" customHeight="1" x14ac:dyDescent="0.45">
      <c r="B1852" s="388"/>
      <c r="C1852" s="369"/>
      <c r="J1852" s="370"/>
      <c r="K1852" s="370"/>
      <c r="L1852" s="370"/>
      <c r="M1852" s="447"/>
      <c r="N1852" s="408"/>
      <c r="O1852" s="447"/>
      <c r="P1852" s="380"/>
      <c r="Q1852" s="389"/>
      <c r="R1852" s="416" t="str">
        <f>R1851</f>
        <v>DELETE</v>
      </c>
      <c r="T1852" s="425"/>
    </row>
    <row r="1853" spans="2:24" ht="9" customHeight="1" x14ac:dyDescent="0.45">
      <c r="B1853" s="388"/>
      <c r="C1853" s="369"/>
      <c r="J1853" s="370"/>
      <c r="K1853" s="370"/>
      <c r="L1853" s="370"/>
      <c r="M1853" s="434"/>
      <c r="N1853" s="390"/>
      <c r="O1853" s="434"/>
      <c r="P1853" s="380"/>
      <c r="Q1853" s="389"/>
      <c r="R1853" s="416" t="str">
        <f>R1852</f>
        <v>DELETE</v>
      </c>
      <c r="T1853" s="425"/>
    </row>
    <row r="1854" spans="2:24" ht="31.5" customHeight="1" x14ac:dyDescent="0.45">
      <c r="B1854" s="388"/>
      <c r="C1854" s="369"/>
      <c r="J1854" s="370"/>
      <c r="K1854" s="370"/>
      <c r="L1854" s="370"/>
      <c r="M1854" s="434">
        <f>SUM(S1822:S1842)</f>
        <v>0</v>
      </c>
      <c r="N1854" s="390"/>
      <c r="O1854" s="434">
        <f>SUM(U1822:U1842)</f>
        <v>0</v>
      </c>
      <c r="P1854" s="380"/>
      <c r="Q1854" s="389"/>
      <c r="R1854" s="416" t="str">
        <f>R1842</f>
        <v>DELETE</v>
      </c>
      <c r="T1854" s="425"/>
    </row>
    <row r="1855" spans="2:24" ht="31.5" customHeight="1" x14ac:dyDescent="0.45">
      <c r="B1855" s="388"/>
      <c r="C1855" s="369"/>
      <c r="J1855" s="370"/>
      <c r="K1855" s="370"/>
      <c r="L1855" s="370"/>
      <c r="M1855" s="434"/>
      <c r="N1855" s="390"/>
      <c r="O1855" s="434"/>
      <c r="P1855" s="380"/>
      <c r="Q1855" s="389"/>
      <c r="R1855" s="416" t="str">
        <f>R1854</f>
        <v>DELETE</v>
      </c>
      <c r="T1855" s="425"/>
    </row>
    <row r="1856" spans="2:24" ht="31.5" customHeight="1" x14ac:dyDescent="0.45">
      <c r="B1856" s="388"/>
      <c r="C1856" s="369" t="s">
        <v>1051</v>
      </c>
      <c r="J1856" s="370"/>
      <c r="K1856" s="370"/>
      <c r="L1856" s="370"/>
      <c r="M1856" s="434">
        <f>SUM(M1858:M1886)</f>
        <v>0</v>
      </c>
      <c r="N1856" s="390"/>
      <c r="O1856" s="434">
        <f>SUM(O1858:O1886)</f>
        <v>0</v>
      </c>
      <c r="P1856" s="380"/>
      <c r="Q1856" s="389"/>
      <c r="R1856" s="416" t="str">
        <f t="shared" ref="R1856" si="130">IF(R$1810="DELETE","DELETE",IF(M1856+O1856=0,"DELETE"," "))</f>
        <v>DELETE</v>
      </c>
      <c r="S1856" s="421">
        <f>-M1856</f>
        <v>0</v>
      </c>
      <c r="T1856" s="425"/>
      <c r="U1856" s="421">
        <f>-O1856</f>
        <v>0</v>
      </c>
      <c r="V1856" s="421"/>
      <c r="W1856" s="421"/>
      <c r="X1856" s="421"/>
    </row>
    <row r="1857" spans="2:24" ht="9" customHeight="1" x14ac:dyDescent="0.45">
      <c r="B1857" s="388"/>
      <c r="C1857" s="369"/>
      <c r="J1857" s="370"/>
      <c r="K1857" s="370"/>
      <c r="L1857" s="370"/>
      <c r="M1857" s="434"/>
      <c r="N1857" s="390"/>
      <c r="O1857" s="434"/>
      <c r="P1857" s="380"/>
      <c r="Q1857" s="389"/>
      <c r="R1857" s="416" t="str">
        <f>R1856</f>
        <v>DELETE</v>
      </c>
      <c r="T1857" s="425"/>
    </row>
    <row r="1858" spans="2:24" ht="9" customHeight="1" x14ac:dyDescent="0.45">
      <c r="B1858" s="388"/>
      <c r="C1858" s="369"/>
      <c r="J1858" s="370"/>
      <c r="K1858" s="370"/>
      <c r="L1858" s="370"/>
      <c r="M1858" s="435"/>
      <c r="N1858" s="391"/>
      <c r="O1858" s="450"/>
      <c r="P1858" s="380"/>
      <c r="Q1858" s="389"/>
      <c r="R1858" s="416" t="str">
        <f>R1857</f>
        <v>DELETE</v>
      </c>
      <c r="T1858" s="425"/>
    </row>
    <row r="1859" spans="2:24" ht="31.5" customHeight="1" x14ac:dyDescent="0.45">
      <c r="B1859" s="388"/>
      <c r="C1859" s="369"/>
      <c r="D1859" s="368" t="s">
        <v>277</v>
      </c>
      <c r="J1859" s="370"/>
      <c r="K1859" s="370"/>
      <c r="L1859" s="370"/>
      <c r="M1859" s="436">
        <f>TrialBalanceA!I37</f>
        <v>0</v>
      </c>
      <c r="N1859" s="390"/>
      <c r="O1859" s="451">
        <f>TrialBalanceA!K37</f>
        <v>0</v>
      </c>
      <c r="P1859" s="380"/>
      <c r="Q1859" s="389"/>
      <c r="R1859" s="416" t="str">
        <f t="shared" ref="R1859:R1885" si="131">IF(R$1810="DELETE","DELETE",IF(M1859+O1859=0,"DELETE"," "))</f>
        <v>DELETE</v>
      </c>
      <c r="T1859" s="425"/>
    </row>
    <row r="1860" spans="2:24" ht="31.5" customHeight="1" x14ac:dyDescent="0.45">
      <c r="B1860" s="388"/>
      <c r="C1860" s="369"/>
      <c r="D1860" s="368" t="s">
        <v>703</v>
      </c>
      <c r="J1860" s="370"/>
      <c r="K1860" s="370"/>
      <c r="L1860" s="370"/>
      <c r="M1860" s="436">
        <f>TrialBalanceA!I38</f>
        <v>0</v>
      </c>
      <c r="N1860" s="390"/>
      <c r="O1860" s="451">
        <f>TrialBalanceA!K38</f>
        <v>0</v>
      </c>
      <c r="P1860" s="380"/>
      <c r="Q1860" s="389"/>
      <c r="R1860" s="416" t="str">
        <f t="shared" si="131"/>
        <v>DELETE</v>
      </c>
      <c r="T1860" s="425"/>
    </row>
    <row r="1861" spans="2:24" ht="31.5" customHeight="1" x14ac:dyDescent="0.45">
      <c r="B1861" s="388"/>
      <c r="C1861" s="369"/>
      <c r="D1861" s="368" t="s">
        <v>278</v>
      </c>
      <c r="J1861" s="370"/>
      <c r="K1861" s="370"/>
      <c r="L1861" s="370"/>
      <c r="M1861" s="436">
        <f>TrialBalanceA!I39</f>
        <v>0</v>
      </c>
      <c r="N1861" s="390"/>
      <c r="O1861" s="451">
        <f>TrialBalanceA!K39</f>
        <v>0</v>
      </c>
      <c r="P1861" s="380"/>
      <c r="Q1861" s="389"/>
      <c r="R1861" s="416" t="str">
        <f t="shared" si="131"/>
        <v>DELETE</v>
      </c>
      <c r="T1861" s="425"/>
    </row>
    <row r="1862" spans="2:24" ht="31.5" customHeight="1" x14ac:dyDescent="0.45">
      <c r="B1862" s="388"/>
      <c r="C1862" s="369"/>
      <c r="D1862" s="368" t="s">
        <v>279</v>
      </c>
      <c r="J1862" s="370"/>
      <c r="K1862" s="370">
        <f>C$747</f>
        <v>6.2999999999999989</v>
      </c>
      <c r="L1862" s="370"/>
      <c r="M1862" s="436">
        <f>SUM(TrialBalanceA!I41:I43)</f>
        <v>0</v>
      </c>
      <c r="N1862" s="390"/>
      <c r="O1862" s="451">
        <f>SUM(TrialBalanceA!K41:K43)</f>
        <v>0</v>
      </c>
      <c r="P1862" s="380"/>
      <c r="Q1862" s="389"/>
      <c r="R1862" s="416" t="str">
        <f t="shared" si="131"/>
        <v>DELETE</v>
      </c>
      <c r="T1862" s="425"/>
    </row>
    <row r="1863" spans="2:24" ht="31.5" customHeight="1" x14ac:dyDescent="0.45">
      <c r="B1863" s="388"/>
      <c r="C1863" s="369"/>
      <c r="D1863" s="368" t="s">
        <v>501</v>
      </c>
      <c r="J1863" s="370"/>
      <c r="K1863" s="370"/>
      <c r="L1863" s="370"/>
      <c r="M1863" s="436">
        <f>TrialBalanceA!I44</f>
        <v>0</v>
      </c>
      <c r="N1863" s="390"/>
      <c r="O1863" s="451">
        <f>TrialBalanceA!K44</f>
        <v>0</v>
      </c>
      <c r="P1863" s="380"/>
      <c r="Q1863" s="389"/>
      <c r="R1863" s="416" t="str">
        <f t="shared" si="131"/>
        <v>DELETE</v>
      </c>
      <c r="S1863" s="422"/>
      <c r="T1863" s="425"/>
      <c r="U1863" s="422"/>
      <c r="V1863" s="422"/>
      <c r="W1863" s="422"/>
      <c r="X1863" s="422"/>
    </row>
    <row r="1864" spans="2:24" ht="31.5" customHeight="1" x14ac:dyDescent="0.45">
      <c r="B1864" s="388"/>
      <c r="C1864" s="369"/>
      <c r="D1864" s="368" t="s">
        <v>733</v>
      </c>
      <c r="J1864" s="370"/>
      <c r="K1864" s="370"/>
      <c r="L1864" s="370"/>
      <c r="M1864" s="436">
        <f>TrialBalanceA!I45</f>
        <v>0</v>
      </c>
      <c r="N1864" s="390"/>
      <c r="O1864" s="451">
        <f>TrialBalanceA!K45</f>
        <v>0</v>
      </c>
      <c r="P1864" s="380"/>
      <c r="Q1864" s="389"/>
      <c r="R1864" s="416" t="str">
        <f t="shared" si="131"/>
        <v>DELETE</v>
      </c>
      <c r="T1864" s="425"/>
    </row>
    <row r="1865" spans="2:24" ht="31.5" customHeight="1" x14ac:dyDescent="0.45">
      <c r="B1865" s="388"/>
      <c r="C1865" s="369"/>
      <c r="D1865" s="368" t="s">
        <v>68</v>
      </c>
      <c r="J1865" s="370"/>
      <c r="K1865" s="370"/>
      <c r="L1865" s="370"/>
      <c r="M1865" s="436">
        <f>TrialBalanceA!I46</f>
        <v>0</v>
      </c>
      <c r="N1865" s="390"/>
      <c r="O1865" s="451">
        <f>TrialBalanceA!K46</f>
        <v>0</v>
      </c>
      <c r="P1865" s="380"/>
      <c r="Q1865" s="389"/>
      <c r="R1865" s="416" t="str">
        <f t="shared" si="131"/>
        <v>DELETE</v>
      </c>
      <c r="T1865" s="425"/>
    </row>
    <row r="1866" spans="2:24" ht="31.5" customHeight="1" x14ac:dyDescent="0.45">
      <c r="B1866" s="388"/>
      <c r="C1866" s="369"/>
      <c r="D1866" s="368" t="s">
        <v>280</v>
      </c>
      <c r="J1866" s="370"/>
      <c r="K1866" s="370"/>
      <c r="L1866" s="370"/>
      <c r="M1866" s="436">
        <f>TrialBalanceA!I47</f>
        <v>0</v>
      </c>
      <c r="N1866" s="390"/>
      <c r="O1866" s="451">
        <f>TrialBalanceA!K47</f>
        <v>0</v>
      </c>
      <c r="P1866" s="380"/>
      <c r="Q1866" s="389"/>
      <c r="R1866" s="416" t="str">
        <f t="shared" si="131"/>
        <v>DELETE</v>
      </c>
      <c r="T1866" s="425"/>
    </row>
    <row r="1867" spans="2:24" ht="31.5" customHeight="1" x14ac:dyDescent="0.45">
      <c r="B1867" s="388"/>
      <c r="C1867" s="369"/>
      <c r="D1867" s="368" t="s">
        <v>518</v>
      </c>
      <c r="J1867" s="370"/>
      <c r="K1867" s="370"/>
      <c r="L1867" s="370"/>
      <c r="M1867" s="436">
        <f>SUM(TrialBalanceA!I48:I49)</f>
        <v>0</v>
      </c>
      <c r="N1867" s="390"/>
      <c r="O1867" s="451">
        <f>SUM(TrialBalanceA!K48:K49)</f>
        <v>0</v>
      </c>
      <c r="P1867" s="380"/>
      <c r="Q1867" s="389"/>
      <c r="R1867" s="416" t="str">
        <f t="shared" si="131"/>
        <v>DELETE</v>
      </c>
      <c r="T1867" s="425"/>
    </row>
    <row r="1868" spans="2:24" ht="31.5" customHeight="1" x14ac:dyDescent="0.45">
      <c r="B1868" s="388"/>
      <c r="C1868" s="369"/>
      <c r="D1868" s="368" t="s">
        <v>516</v>
      </c>
      <c r="J1868" s="370"/>
      <c r="K1868" s="370"/>
      <c r="L1868" s="370"/>
      <c r="M1868" s="436">
        <f>TrialBalanceA!I50</f>
        <v>0</v>
      </c>
      <c r="N1868" s="390"/>
      <c r="O1868" s="451">
        <f>TrialBalanceA!K50</f>
        <v>0</v>
      </c>
      <c r="P1868" s="380"/>
      <c r="Q1868" s="389"/>
      <c r="R1868" s="416" t="str">
        <f t="shared" si="131"/>
        <v>DELETE</v>
      </c>
      <c r="T1868" s="425"/>
    </row>
    <row r="1869" spans="2:24" ht="31.5" customHeight="1" x14ac:dyDescent="0.45">
      <c r="B1869" s="388"/>
      <c r="C1869" s="369"/>
      <c r="D1869" s="368" t="s">
        <v>502</v>
      </c>
      <c r="J1869" s="370"/>
      <c r="K1869" s="370"/>
      <c r="L1869" s="370"/>
      <c r="M1869" s="436">
        <f>SUM(TrialBalanceA!I52:I56)</f>
        <v>0</v>
      </c>
      <c r="N1869" s="390"/>
      <c r="O1869" s="451">
        <f>SUM(TrialBalanceA!K52:K56)</f>
        <v>0</v>
      </c>
      <c r="P1869" s="380"/>
      <c r="Q1869" s="389"/>
      <c r="R1869" s="416" t="str">
        <f t="shared" si="131"/>
        <v>DELETE</v>
      </c>
      <c r="T1869" s="425"/>
    </row>
    <row r="1870" spans="2:24" ht="31.5" customHeight="1" x14ac:dyDescent="0.45">
      <c r="B1870" s="388"/>
      <c r="C1870" s="369"/>
      <c r="D1870" s="368" t="s">
        <v>483</v>
      </c>
      <c r="J1870" s="370"/>
      <c r="K1870" s="370">
        <f>FS!C$715</f>
        <v>6.1999999999999993</v>
      </c>
      <c r="L1870" s="370"/>
      <c r="M1870" s="436">
        <f>SUM(TrialBalanceA!I58:I60)</f>
        <v>0</v>
      </c>
      <c r="N1870" s="390"/>
      <c r="O1870" s="451">
        <f>SUM(TrialBalanceA!K58:K60)</f>
        <v>0</v>
      </c>
      <c r="P1870" s="380"/>
      <c r="Q1870" s="389"/>
      <c r="R1870" s="416" t="str">
        <f t="shared" si="131"/>
        <v>DELETE</v>
      </c>
      <c r="T1870" s="425"/>
    </row>
    <row r="1871" spans="2:24" ht="31.5" customHeight="1" x14ac:dyDescent="0.45">
      <c r="B1871" s="388"/>
      <c r="C1871" s="369"/>
      <c r="D1871" s="368" t="s">
        <v>76</v>
      </c>
      <c r="J1871" s="370"/>
      <c r="K1871" s="370"/>
      <c r="L1871" s="370"/>
      <c r="M1871" s="436">
        <f>TrialBalanceA!I61</f>
        <v>0</v>
      </c>
      <c r="N1871" s="390"/>
      <c r="O1871" s="451">
        <f>TrialBalanceA!K61</f>
        <v>0</v>
      </c>
      <c r="P1871" s="380"/>
      <c r="Q1871" s="389"/>
      <c r="R1871" s="416" t="str">
        <f t="shared" si="131"/>
        <v>DELETE</v>
      </c>
      <c r="T1871" s="425"/>
    </row>
    <row r="1872" spans="2:24" ht="31.5" customHeight="1" x14ac:dyDescent="0.45">
      <c r="B1872" s="388"/>
      <c r="C1872" s="369"/>
      <c r="D1872" s="368" t="s">
        <v>254</v>
      </c>
      <c r="J1872" s="370"/>
      <c r="K1872" s="370"/>
      <c r="L1872" s="370"/>
      <c r="M1872" s="436">
        <f>SUM(TrialBalanceA!I62:I64)</f>
        <v>0</v>
      </c>
      <c r="N1872" s="390"/>
      <c r="O1872" s="451">
        <f>SUM(TrialBalanceA!K62:K64)</f>
        <v>0</v>
      </c>
      <c r="P1872" s="380"/>
      <c r="Q1872" s="389"/>
      <c r="R1872" s="416" t="str">
        <f t="shared" si="131"/>
        <v>DELETE</v>
      </c>
      <c r="T1872" s="425"/>
    </row>
    <row r="1873" spans="2:20" ht="31.5" customHeight="1" x14ac:dyDescent="0.45">
      <c r="B1873" s="388"/>
      <c r="C1873" s="369"/>
      <c r="D1873" s="368" t="s">
        <v>734</v>
      </c>
      <c r="J1873" s="370"/>
      <c r="K1873" s="370"/>
      <c r="L1873" s="370"/>
      <c r="M1873" s="436">
        <f>SUM(TrialBalanceA!I65:I66)</f>
        <v>0</v>
      </c>
      <c r="N1873" s="390"/>
      <c r="O1873" s="451">
        <f>SUM(TrialBalanceA!K65:K66)</f>
        <v>0</v>
      </c>
      <c r="P1873" s="380"/>
      <c r="Q1873" s="389"/>
      <c r="R1873" s="416" t="str">
        <f t="shared" si="131"/>
        <v>DELETE</v>
      </c>
      <c r="T1873" s="425"/>
    </row>
    <row r="1874" spans="2:20" ht="31.5" customHeight="1" x14ac:dyDescent="0.45">
      <c r="B1874" s="388"/>
      <c r="C1874" s="369"/>
      <c r="D1874" s="368" t="s">
        <v>255</v>
      </c>
      <c r="J1874" s="370"/>
      <c r="K1874" s="370"/>
      <c r="L1874" s="370"/>
      <c r="M1874" s="436">
        <f>TrialBalanceA!I67</f>
        <v>0</v>
      </c>
      <c r="N1874" s="390"/>
      <c r="O1874" s="451">
        <f>TrialBalanceA!K67</f>
        <v>0</v>
      </c>
      <c r="P1874" s="380"/>
      <c r="Q1874" s="389"/>
      <c r="R1874" s="416" t="str">
        <f t="shared" si="131"/>
        <v>DELETE</v>
      </c>
      <c r="T1874" s="425"/>
    </row>
    <row r="1875" spans="2:20" ht="31.5" customHeight="1" x14ac:dyDescent="0.45">
      <c r="B1875" s="388"/>
      <c r="C1875" s="369"/>
      <c r="D1875" s="368" t="s">
        <v>392</v>
      </c>
      <c r="J1875" s="370"/>
      <c r="K1875" s="370"/>
      <c r="L1875" s="370"/>
      <c r="M1875" s="436">
        <f>TrialBalanceA!I68</f>
        <v>0</v>
      </c>
      <c r="N1875" s="390"/>
      <c r="O1875" s="451">
        <f>TrialBalanceA!K68</f>
        <v>0</v>
      </c>
      <c r="P1875" s="380"/>
      <c r="Q1875" s="389"/>
      <c r="R1875" s="416" t="str">
        <f t="shared" si="131"/>
        <v>DELETE</v>
      </c>
      <c r="T1875" s="425"/>
    </row>
    <row r="1876" spans="2:20" ht="31.5" customHeight="1" x14ac:dyDescent="0.45">
      <c r="B1876" s="388"/>
      <c r="C1876" s="369"/>
      <c r="D1876" s="368">
        <f>TrialBalanceA!C69</f>
        <v>0</v>
      </c>
      <c r="J1876" s="370"/>
      <c r="K1876" s="370"/>
      <c r="L1876" s="370"/>
      <c r="M1876" s="436">
        <f>TrialBalanceA!I69</f>
        <v>0</v>
      </c>
      <c r="N1876" s="390"/>
      <c r="O1876" s="451">
        <f>TrialBalanceA!K69</f>
        <v>0</v>
      </c>
      <c r="P1876" s="380"/>
      <c r="Q1876" s="389"/>
      <c r="R1876" s="416" t="str">
        <f t="shared" si="131"/>
        <v>DELETE</v>
      </c>
      <c r="T1876" s="425"/>
    </row>
    <row r="1877" spans="2:20" ht="31.5" customHeight="1" x14ac:dyDescent="0.45">
      <c r="B1877" s="388"/>
      <c r="C1877" s="369"/>
      <c r="D1877" s="368">
        <f>TrialBalanceA!C70</f>
        <v>0</v>
      </c>
      <c r="J1877" s="370"/>
      <c r="K1877" s="370"/>
      <c r="L1877" s="370"/>
      <c r="M1877" s="436">
        <f>TrialBalanceA!I70</f>
        <v>0</v>
      </c>
      <c r="N1877" s="390"/>
      <c r="O1877" s="451">
        <f>TrialBalanceA!K70</f>
        <v>0</v>
      </c>
      <c r="P1877" s="380"/>
      <c r="Q1877" s="389"/>
      <c r="R1877" s="416" t="str">
        <f t="shared" si="131"/>
        <v>DELETE</v>
      </c>
      <c r="T1877" s="425"/>
    </row>
    <row r="1878" spans="2:20" ht="31.5" customHeight="1" x14ac:dyDescent="0.45">
      <c r="B1878" s="388"/>
      <c r="C1878" s="369"/>
      <c r="D1878" s="368">
        <f>TrialBalanceA!C71</f>
        <v>0</v>
      </c>
      <c r="J1878" s="370"/>
      <c r="K1878" s="370"/>
      <c r="L1878" s="370"/>
      <c r="M1878" s="436">
        <f>TrialBalanceA!I71</f>
        <v>0</v>
      </c>
      <c r="N1878" s="390"/>
      <c r="O1878" s="451">
        <f>TrialBalanceA!K71</f>
        <v>0</v>
      </c>
      <c r="P1878" s="380"/>
      <c r="Q1878" s="389"/>
      <c r="R1878" s="416" t="str">
        <f t="shared" si="131"/>
        <v>DELETE</v>
      </c>
      <c r="T1878" s="425"/>
    </row>
    <row r="1879" spans="2:20" ht="31.5" customHeight="1" x14ac:dyDescent="0.45">
      <c r="B1879" s="388"/>
      <c r="C1879" s="369"/>
      <c r="D1879" s="368">
        <f>TrialBalanceA!C72</f>
        <v>0</v>
      </c>
      <c r="J1879" s="370"/>
      <c r="K1879" s="370"/>
      <c r="L1879" s="370"/>
      <c r="M1879" s="436">
        <f>TrialBalanceA!I72</f>
        <v>0</v>
      </c>
      <c r="N1879" s="390"/>
      <c r="O1879" s="451">
        <f>TrialBalanceA!K72</f>
        <v>0</v>
      </c>
      <c r="P1879" s="380"/>
      <c r="Q1879" s="389"/>
      <c r="R1879" s="416" t="str">
        <f t="shared" si="131"/>
        <v>DELETE</v>
      </c>
      <c r="T1879" s="425"/>
    </row>
    <row r="1880" spans="2:20" ht="31.5" customHeight="1" x14ac:dyDescent="0.45">
      <c r="B1880" s="388"/>
      <c r="C1880" s="369"/>
      <c r="D1880" s="368">
        <f>TrialBalanceA!C73</f>
        <v>0</v>
      </c>
      <c r="J1880" s="370"/>
      <c r="K1880" s="370"/>
      <c r="L1880" s="370"/>
      <c r="M1880" s="436">
        <f>TrialBalanceA!I73</f>
        <v>0</v>
      </c>
      <c r="N1880" s="390"/>
      <c r="O1880" s="451">
        <f>TrialBalanceA!K73</f>
        <v>0</v>
      </c>
      <c r="P1880" s="380"/>
      <c r="Q1880" s="389"/>
      <c r="R1880" s="416" t="str">
        <f t="shared" si="131"/>
        <v>DELETE</v>
      </c>
      <c r="T1880" s="425"/>
    </row>
    <row r="1881" spans="2:20" ht="31.5" customHeight="1" x14ac:dyDescent="0.45">
      <c r="B1881" s="388"/>
      <c r="C1881" s="369"/>
      <c r="D1881" s="368">
        <f>TrialBalanceA!C74</f>
        <v>0</v>
      </c>
      <c r="J1881" s="370"/>
      <c r="K1881" s="370"/>
      <c r="L1881" s="370"/>
      <c r="M1881" s="436">
        <f>TrialBalanceA!I74</f>
        <v>0</v>
      </c>
      <c r="N1881" s="390"/>
      <c r="O1881" s="451">
        <f>TrialBalanceA!K74</f>
        <v>0</v>
      </c>
      <c r="P1881" s="380"/>
      <c r="Q1881" s="389"/>
      <c r="R1881" s="416" t="str">
        <f t="shared" si="131"/>
        <v>DELETE</v>
      </c>
      <c r="T1881" s="425"/>
    </row>
    <row r="1882" spans="2:20" ht="31.5" customHeight="1" x14ac:dyDescent="0.45">
      <c r="B1882" s="388"/>
      <c r="C1882" s="369"/>
      <c r="D1882" s="368">
        <f>TrialBalanceA!C75</f>
        <v>0</v>
      </c>
      <c r="J1882" s="370"/>
      <c r="K1882" s="370"/>
      <c r="L1882" s="370"/>
      <c r="M1882" s="436">
        <f>TrialBalanceA!I75</f>
        <v>0</v>
      </c>
      <c r="N1882" s="390"/>
      <c r="O1882" s="451">
        <f>TrialBalanceA!K75</f>
        <v>0</v>
      </c>
      <c r="P1882" s="380"/>
      <c r="Q1882" s="389"/>
      <c r="R1882" s="416" t="str">
        <f t="shared" si="131"/>
        <v>DELETE</v>
      </c>
      <c r="T1882" s="425"/>
    </row>
    <row r="1883" spans="2:20" ht="31.5" customHeight="1" x14ac:dyDescent="0.45">
      <c r="B1883" s="388"/>
      <c r="C1883" s="369"/>
      <c r="D1883" s="368">
        <f>TrialBalanceA!C76</f>
        <v>0</v>
      </c>
      <c r="J1883" s="370"/>
      <c r="K1883" s="370"/>
      <c r="L1883" s="370"/>
      <c r="M1883" s="436">
        <f>TrialBalanceA!I76</f>
        <v>0</v>
      </c>
      <c r="N1883" s="390"/>
      <c r="O1883" s="451">
        <f>TrialBalanceA!K76</f>
        <v>0</v>
      </c>
      <c r="P1883" s="380"/>
      <c r="Q1883" s="389"/>
      <c r="R1883" s="416" t="str">
        <f t="shared" si="131"/>
        <v>DELETE</v>
      </c>
      <c r="T1883" s="425"/>
    </row>
    <row r="1884" spans="2:20" ht="31.5" customHeight="1" x14ac:dyDescent="0.45">
      <c r="B1884" s="388"/>
      <c r="C1884" s="369"/>
      <c r="D1884" s="368">
        <f>TrialBalanceA!C77</f>
        <v>0</v>
      </c>
      <c r="J1884" s="370"/>
      <c r="K1884" s="370"/>
      <c r="L1884" s="370"/>
      <c r="M1884" s="436">
        <f>TrialBalanceA!I77</f>
        <v>0</v>
      </c>
      <c r="N1884" s="390"/>
      <c r="O1884" s="451">
        <f>TrialBalanceA!K77</f>
        <v>0</v>
      </c>
      <c r="P1884" s="380"/>
      <c r="Q1884" s="389"/>
      <c r="R1884" s="416" t="str">
        <f t="shared" si="131"/>
        <v>DELETE</v>
      </c>
      <c r="T1884" s="425"/>
    </row>
    <row r="1885" spans="2:20" ht="31.5" customHeight="1" x14ac:dyDescent="0.45">
      <c r="B1885" s="388"/>
      <c r="C1885" s="369"/>
      <c r="D1885" s="368">
        <f>TrialBalanceA!C78</f>
        <v>0</v>
      </c>
      <c r="J1885" s="370"/>
      <c r="K1885" s="370"/>
      <c r="L1885" s="370"/>
      <c r="M1885" s="436">
        <f>TrialBalanceA!I78</f>
        <v>0</v>
      </c>
      <c r="N1885" s="390"/>
      <c r="O1885" s="451">
        <f>TrialBalanceA!K78</f>
        <v>0</v>
      </c>
      <c r="P1885" s="380"/>
      <c r="Q1885" s="389"/>
      <c r="R1885" s="416" t="str">
        <f t="shared" si="131"/>
        <v>DELETE</v>
      </c>
      <c r="T1885" s="425"/>
    </row>
    <row r="1886" spans="2:20" ht="9" customHeight="1" x14ac:dyDescent="0.45">
      <c r="B1886" s="388"/>
      <c r="C1886" s="369"/>
      <c r="J1886" s="370"/>
      <c r="K1886" s="370"/>
      <c r="L1886" s="370"/>
      <c r="M1886" s="437"/>
      <c r="N1886" s="392"/>
      <c r="O1886" s="452"/>
      <c r="P1886" s="380"/>
      <c r="Q1886" s="389"/>
      <c r="R1886" s="416" t="str">
        <f>R1856</f>
        <v>DELETE</v>
      </c>
      <c r="T1886" s="425"/>
    </row>
    <row r="1887" spans="2:20" ht="9" customHeight="1" x14ac:dyDescent="0.45">
      <c r="B1887" s="388"/>
      <c r="C1887" s="369"/>
      <c r="J1887" s="370"/>
      <c r="K1887" s="370"/>
      <c r="L1887" s="370"/>
      <c r="M1887" s="438"/>
      <c r="N1887" s="392"/>
      <c r="O1887" s="438"/>
      <c r="P1887" s="380"/>
      <c r="Q1887" s="389"/>
      <c r="R1887" s="416" t="str">
        <f t="shared" ref="R1887:R1907" si="132">R$1810</f>
        <v>DELETE</v>
      </c>
      <c r="T1887" s="425"/>
    </row>
    <row r="1888" spans="2:20" ht="9" customHeight="1" x14ac:dyDescent="0.45">
      <c r="B1888" s="388"/>
      <c r="C1888" s="369"/>
      <c r="J1888" s="370"/>
      <c r="K1888" s="370"/>
      <c r="L1888" s="370"/>
      <c r="M1888" s="434"/>
      <c r="N1888" s="390"/>
      <c r="O1888" s="434"/>
      <c r="P1888" s="380"/>
      <c r="Q1888" s="389"/>
      <c r="R1888" s="416" t="str">
        <f t="shared" si="132"/>
        <v>DELETE</v>
      </c>
      <c r="T1888" s="425"/>
    </row>
    <row r="1889" spans="2:26" ht="31.5" customHeight="1" x14ac:dyDescent="0.45">
      <c r="B1889" s="388"/>
      <c r="C1889" s="411" t="str">
        <f>IF((Y1889+Z1889)=3,"OPERATING PROFIT/(LOSS)",(IF((Y1889+Z1889=4),"OPERATING PROFIT","OPERATING LOSS")))</f>
        <v>OPERATING PROFIT</v>
      </c>
      <c r="J1889" s="370"/>
      <c r="K1889" s="370"/>
      <c r="L1889" s="370"/>
      <c r="M1889" s="434">
        <f>SUM(S1822:S1887)</f>
        <v>0</v>
      </c>
      <c r="N1889" s="390"/>
      <c r="O1889" s="434">
        <f>SUM(U1822:U1887)</f>
        <v>0</v>
      </c>
      <c r="P1889" s="380"/>
      <c r="Q1889" s="389"/>
      <c r="R1889" s="416" t="str">
        <f t="shared" si="132"/>
        <v>DELETE</v>
      </c>
      <c r="T1889" s="425"/>
      <c r="Y1889" s="417">
        <f>IF(M1889&lt;0,1,IF(M1889=0,IF(O1889&lt;0,1,2),2))</f>
        <v>2</v>
      </c>
      <c r="Z1889" s="417">
        <f>IF(O1889&lt;0,1,IF(O1889=0,IF(M1889&lt;0,1,2),2))</f>
        <v>2</v>
      </c>
    </row>
    <row r="1890" spans="2:26" ht="31.5" customHeight="1" x14ac:dyDescent="0.45">
      <c r="B1890" s="388"/>
      <c r="C1890" s="369"/>
      <c r="D1890" s="368" t="s">
        <v>257</v>
      </c>
      <c r="J1890" s="370"/>
      <c r="K1890" s="370"/>
      <c r="L1890" s="370"/>
      <c r="M1890" s="434"/>
      <c r="N1890" s="390"/>
      <c r="O1890" s="434"/>
      <c r="P1890" s="380"/>
      <c r="Q1890" s="389"/>
      <c r="R1890" s="416" t="str">
        <f t="shared" si="132"/>
        <v>DELETE</v>
      </c>
      <c r="T1890" s="425"/>
    </row>
    <row r="1891" spans="2:26" ht="31.5" customHeight="1" x14ac:dyDescent="0.45">
      <c r="B1891" s="388"/>
      <c r="C1891" s="369"/>
      <c r="J1891" s="370"/>
      <c r="K1891" s="370"/>
      <c r="L1891" s="370"/>
      <c r="M1891" s="434"/>
      <c r="N1891" s="390"/>
      <c r="O1891" s="434"/>
      <c r="P1891" s="380"/>
      <c r="Q1891" s="389"/>
      <c r="R1891" s="416" t="str">
        <f t="shared" si="132"/>
        <v>DELETE</v>
      </c>
      <c r="T1891" s="425"/>
    </row>
    <row r="1892" spans="2:26" ht="31.5" customHeight="1" x14ac:dyDescent="0.45">
      <c r="B1892" s="388"/>
      <c r="C1892" s="369"/>
      <c r="J1892" s="370"/>
      <c r="K1892" s="370"/>
      <c r="L1892" s="370"/>
      <c r="M1892" s="434"/>
      <c r="N1892" s="390"/>
      <c r="O1892" s="434"/>
      <c r="P1892" s="380"/>
      <c r="Q1892" s="389"/>
      <c r="R1892" s="416" t="str">
        <f t="shared" si="132"/>
        <v>DELETE</v>
      </c>
      <c r="T1892" s="425"/>
    </row>
    <row r="1893" spans="2:26" ht="31.5" customHeight="1" x14ac:dyDescent="0.45">
      <c r="B1893" s="396"/>
      <c r="C1893" s="407"/>
      <c r="D1893" s="383"/>
      <c r="E1893" s="383"/>
      <c r="F1893" s="383"/>
      <c r="G1893" s="383"/>
      <c r="H1893" s="383"/>
      <c r="I1893" s="383"/>
      <c r="J1893" s="403"/>
      <c r="K1893" s="403"/>
      <c r="L1893" s="403"/>
      <c r="M1893" s="438"/>
      <c r="N1893" s="392"/>
      <c r="O1893" s="438"/>
      <c r="P1893" s="404"/>
      <c r="Q1893" s="398"/>
      <c r="R1893" s="416" t="str">
        <f t="shared" si="132"/>
        <v>DELETE</v>
      </c>
      <c r="T1893" s="425"/>
    </row>
    <row r="1894" spans="2:26" ht="31.5" customHeight="1" x14ac:dyDescent="0.45">
      <c r="C1894" s="369"/>
      <c r="J1894" s="370"/>
      <c r="K1894" s="370"/>
      <c r="L1894" s="370"/>
      <c r="M1894" s="434"/>
      <c r="N1894" s="390"/>
      <c r="O1894" s="434"/>
      <c r="P1894" s="380"/>
      <c r="R1894" s="416" t="str">
        <f t="shared" si="132"/>
        <v>DELETE</v>
      </c>
      <c r="T1894" s="425"/>
    </row>
    <row r="1895" spans="2:26" ht="31.5" customHeight="1" x14ac:dyDescent="0.45">
      <c r="C1895" s="369"/>
      <c r="J1895" s="370"/>
      <c r="K1895" s="370"/>
      <c r="L1895" s="370"/>
      <c r="M1895" s="434"/>
      <c r="N1895" s="390"/>
      <c r="O1895" s="434"/>
      <c r="P1895" s="380"/>
      <c r="R1895" s="416" t="str">
        <f t="shared" si="132"/>
        <v>DELETE</v>
      </c>
      <c r="T1895" s="425"/>
    </row>
    <row r="1896" spans="2:26" ht="31.5" customHeight="1" x14ac:dyDescent="0.45">
      <c r="C1896" s="369"/>
      <c r="D1896" s="369" t="str">
        <f>Criteria!E9</f>
        <v>ABC TRUST</v>
      </c>
      <c r="J1896" s="370"/>
      <c r="K1896" s="370"/>
      <c r="L1896" s="370"/>
      <c r="M1896" s="434"/>
      <c r="N1896" s="390"/>
      <c r="O1896" s="434" t="s">
        <v>105</v>
      </c>
      <c r="P1896" s="380"/>
      <c r="Q1896" s="370">
        <f>MAX($Q$1813:Q1895)+1</f>
        <v>2</v>
      </c>
      <c r="R1896" s="416" t="str">
        <f t="shared" si="132"/>
        <v>DELETE</v>
      </c>
      <c r="T1896" s="425"/>
    </row>
    <row r="1897" spans="2:26" ht="31.5" customHeight="1" x14ac:dyDescent="0.45">
      <c r="C1897" s="369"/>
      <c r="D1897" s="369" t="str">
        <f>CONCATENATE("T/A ",Criteria!E14)</f>
        <v>T/A SEAFRONT RESTAURANT</v>
      </c>
      <c r="J1897" s="370"/>
      <c r="K1897" s="370"/>
      <c r="L1897" s="370"/>
      <c r="M1897" s="434"/>
      <c r="N1897" s="390"/>
      <c r="O1897" s="434"/>
      <c r="P1897" s="380"/>
      <c r="R1897" s="416" t="str">
        <f t="shared" si="132"/>
        <v>DELETE</v>
      </c>
      <c r="T1897" s="425"/>
    </row>
    <row r="1898" spans="2:26" ht="31.5" customHeight="1" x14ac:dyDescent="0.45">
      <c r="C1898" s="369"/>
      <c r="J1898" s="370"/>
      <c r="K1898" s="370"/>
      <c r="L1898" s="370"/>
      <c r="M1898" s="434"/>
      <c r="N1898" s="390"/>
      <c r="O1898" s="434"/>
      <c r="P1898" s="380"/>
      <c r="R1898" s="416" t="str">
        <f t="shared" si="132"/>
        <v>DELETE</v>
      </c>
      <c r="T1898" s="425"/>
    </row>
    <row r="1899" spans="2:26" ht="31.5" customHeight="1" x14ac:dyDescent="0.45">
      <c r="C1899" s="369"/>
      <c r="D1899" s="369" t="s">
        <v>100</v>
      </c>
      <c r="J1899" s="370"/>
      <c r="K1899" s="370"/>
      <c r="L1899" s="370"/>
      <c r="M1899" s="434"/>
      <c r="N1899" s="390"/>
      <c r="O1899" s="434"/>
      <c r="P1899" s="380"/>
      <c r="R1899" s="416" t="str">
        <f t="shared" si="132"/>
        <v>DELETE</v>
      </c>
      <c r="T1899" s="425"/>
    </row>
    <row r="1900" spans="2:26" ht="31.5" customHeight="1" x14ac:dyDescent="0.45">
      <c r="C1900" s="369"/>
      <c r="D1900" s="369" t="str">
        <f>D1817</f>
        <v>29 FEBRUARY 2024</v>
      </c>
      <c r="H1900" s="368" t="s">
        <v>111</v>
      </c>
      <c r="J1900" s="370"/>
      <c r="K1900" s="370"/>
      <c r="L1900" s="370"/>
      <c r="M1900" s="434"/>
      <c r="N1900" s="390"/>
      <c r="O1900" s="434"/>
      <c r="P1900" s="380"/>
      <c r="R1900" s="416" t="str">
        <f t="shared" si="132"/>
        <v>DELETE</v>
      </c>
      <c r="T1900" s="425"/>
    </row>
    <row r="1901" spans="2:26" ht="31.5" customHeight="1" x14ac:dyDescent="0.45">
      <c r="C1901" s="369"/>
      <c r="J1901" s="370"/>
      <c r="K1901" s="403"/>
      <c r="L1901" s="403"/>
      <c r="M1901" s="438"/>
      <c r="N1901" s="392"/>
      <c r="O1901" s="438"/>
      <c r="P1901" s="380"/>
      <c r="R1901" s="416" t="str">
        <f t="shared" si="132"/>
        <v>DELETE</v>
      </c>
      <c r="T1901" s="425"/>
    </row>
    <row r="1902" spans="2:26" ht="31.5" customHeight="1" x14ac:dyDescent="0.45">
      <c r="B1902" s="385"/>
      <c r="C1902" s="410"/>
      <c r="D1902" s="386"/>
      <c r="E1902" s="386"/>
      <c r="F1902" s="386"/>
      <c r="G1902" s="386"/>
      <c r="H1902" s="386"/>
      <c r="I1902" s="386"/>
      <c r="J1902" s="413"/>
      <c r="M1902" s="479"/>
      <c r="N1902" s="469"/>
      <c r="O1902" s="479"/>
      <c r="P1902" s="406"/>
      <c r="Q1902" s="387"/>
      <c r="R1902" s="416" t="str">
        <f t="shared" si="132"/>
        <v>DELETE</v>
      </c>
      <c r="T1902" s="425"/>
    </row>
    <row r="1903" spans="2:26" ht="31.5" customHeight="1" x14ac:dyDescent="0.45">
      <c r="B1903" s="388"/>
      <c r="C1903" s="369"/>
      <c r="J1903" s="370"/>
      <c r="K1903" s="370"/>
      <c r="L1903" s="370"/>
      <c r="M1903" s="430">
        <f>Criteria!E22</f>
        <v>2024</v>
      </c>
      <c r="N1903" s="379"/>
      <c r="O1903" s="430">
        <f>Criteria!E27</f>
        <v>2023</v>
      </c>
      <c r="P1903" s="380"/>
      <c r="Q1903" s="389"/>
      <c r="R1903" s="416" t="str">
        <f t="shared" si="132"/>
        <v>DELETE</v>
      </c>
      <c r="T1903" s="425"/>
    </row>
    <row r="1904" spans="2:26" ht="31.5" customHeight="1" x14ac:dyDescent="0.45">
      <c r="B1904" s="388"/>
      <c r="C1904" s="369"/>
      <c r="J1904" s="370"/>
      <c r="K1904" s="370"/>
      <c r="L1904" s="370"/>
      <c r="M1904" s="434"/>
      <c r="N1904" s="390"/>
      <c r="O1904" s="434"/>
      <c r="P1904" s="380"/>
      <c r="Q1904" s="389"/>
      <c r="R1904" s="416" t="str">
        <f t="shared" si="132"/>
        <v>DELETE</v>
      </c>
      <c r="T1904" s="425"/>
    </row>
    <row r="1905" spans="2:26" ht="31.5" customHeight="1" x14ac:dyDescent="0.45">
      <c r="B1905" s="388"/>
      <c r="C1905" s="411" t="str">
        <f>IF((Y1905+Z1905)=3,"OPERATING PROFIT/(LOSS)",(IF((Y1905+Z1905=4),"OPERATING PROFIT","OPERATING LOSS")))</f>
        <v>OPERATING PROFIT</v>
      </c>
      <c r="J1905" s="370"/>
      <c r="K1905" s="370"/>
      <c r="L1905" s="370"/>
      <c r="M1905" s="434">
        <f>SUM(S1822:S1886)</f>
        <v>0</v>
      </c>
      <c r="N1905" s="390"/>
      <c r="O1905" s="434">
        <f>SUM(U1822:U1886)</f>
        <v>0</v>
      </c>
      <c r="P1905" s="380"/>
      <c r="Q1905" s="389"/>
      <c r="R1905" s="416" t="str">
        <f t="shared" si="132"/>
        <v>DELETE</v>
      </c>
      <c r="T1905" s="425"/>
      <c r="V1905" s="417" t="b">
        <f>M1905=M1889</f>
        <v>1</v>
      </c>
      <c r="X1905" s="417" t="b">
        <f>O1905=O1889</f>
        <v>1</v>
      </c>
      <c r="Y1905" s="417">
        <f>IF(M1905&lt;0,1,IF(M1905=0,IF(O1905&lt;0,1,2),2))</f>
        <v>2</v>
      </c>
      <c r="Z1905" s="417">
        <f>IF(O1905&lt;0,1,IF(O1905=0,IF(M1905&lt;0,1,2),2))</f>
        <v>2</v>
      </c>
    </row>
    <row r="1906" spans="2:26" ht="31.5" customHeight="1" x14ac:dyDescent="0.45">
      <c r="B1906" s="388"/>
      <c r="C1906" s="369"/>
      <c r="D1906" s="368" t="s">
        <v>258</v>
      </c>
      <c r="J1906" s="370"/>
      <c r="K1906" s="370"/>
      <c r="L1906" s="370"/>
      <c r="M1906" s="434"/>
      <c r="N1906" s="390"/>
      <c r="O1906" s="434"/>
      <c r="P1906" s="380"/>
      <c r="Q1906" s="389"/>
      <c r="R1906" s="416" t="str">
        <f t="shared" si="132"/>
        <v>DELETE</v>
      </c>
      <c r="T1906" s="425"/>
    </row>
    <row r="1907" spans="2:26" ht="31.5" customHeight="1" x14ac:dyDescent="0.45">
      <c r="B1907" s="388"/>
      <c r="C1907" s="369"/>
      <c r="J1907" s="370"/>
      <c r="K1907" s="370"/>
      <c r="L1907" s="370"/>
      <c r="M1907" s="434"/>
      <c r="N1907" s="390"/>
      <c r="O1907" s="434"/>
      <c r="P1907" s="380"/>
      <c r="Q1907" s="389"/>
      <c r="R1907" s="416" t="str">
        <f t="shared" si="132"/>
        <v>DELETE</v>
      </c>
      <c r="T1907" s="425"/>
    </row>
    <row r="1908" spans="2:26" ht="31.5" customHeight="1" x14ac:dyDescent="0.45">
      <c r="B1908" s="388"/>
      <c r="C1908" s="369" t="s">
        <v>1045</v>
      </c>
      <c r="J1908" s="370"/>
      <c r="K1908" s="370"/>
      <c r="L1908" s="370"/>
      <c r="M1908" s="434">
        <f>SUM(M1911:M1943)</f>
        <v>0</v>
      </c>
      <c r="N1908" s="390"/>
      <c r="O1908" s="434">
        <f>SUM(O1911:O1943)</f>
        <v>0</v>
      </c>
      <c r="P1908" s="380"/>
      <c r="Q1908" s="389"/>
      <c r="R1908" s="416" t="str">
        <f t="shared" ref="R1908" si="133">IF(R$1810="DELETE","DELETE",IF(M1908+O1908=0,"DELETE"," "))</f>
        <v>DELETE</v>
      </c>
      <c r="S1908" s="421">
        <f>-M1908</f>
        <v>0</v>
      </c>
      <c r="T1908" s="425"/>
      <c r="U1908" s="421">
        <f>-O1908</f>
        <v>0</v>
      </c>
      <c r="V1908" s="421"/>
      <c r="W1908" s="421"/>
      <c r="X1908" s="421"/>
    </row>
    <row r="1909" spans="2:26" ht="9" customHeight="1" x14ac:dyDescent="0.45">
      <c r="B1909" s="388"/>
      <c r="C1909" s="369"/>
      <c r="J1909" s="370"/>
      <c r="K1909" s="370"/>
      <c r="L1909" s="370"/>
      <c r="M1909" s="434"/>
      <c r="N1909" s="390"/>
      <c r="O1909" s="434"/>
      <c r="P1909" s="380"/>
      <c r="Q1909" s="389"/>
      <c r="R1909" s="416" t="str">
        <f>R1908</f>
        <v>DELETE</v>
      </c>
      <c r="T1909" s="425"/>
    </row>
    <row r="1910" spans="2:26" ht="9" customHeight="1" x14ac:dyDescent="0.45">
      <c r="B1910" s="388"/>
      <c r="C1910" s="369"/>
      <c r="J1910" s="370"/>
      <c r="K1910" s="370"/>
      <c r="L1910" s="370"/>
      <c r="M1910" s="435"/>
      <c r="N1910" s="391"/>
      <c r="O1910" s="450"/>
      <c r="P1910" s="380"/>
      <c r="Q1910" s="389"/>
      <c r="R1910" s="416" t="str">
        <f>R1909</f>
        <v>DELETE</v>
      </c>
      <c r="T1910" s="425"/>
    </row>
    <row r="1911" spans="2:26" ht="31.5" customHeight="1" x14ac:dyDescent="0.45">
      <c r="B1911" s="388"/>
      <c r="C1911" s="369"/>
      <c r="D1911" s="368" t="s">
        <v>218</v>
      </c>
      <c r="J1911" s="370"/>
      <c r="K1911" s="370"/>
      <c r="L1911" s="370"/>
      <c r="M1911" s="436">
        <f>SUM(TrialBalanceA!I85:I88)</f>
        <v>0</v>
      </c>
      <c r="N1911" s="390"/>
      <c r="O1911" s="451">
        <f>SUM(TrialBalanceA!K85:K88)</f>
        <v>0</v>
      </c>
      <c r="P1911" s="380"/>
      <c r="Q1911" s="389"/>
      <c r="R1911" s="416" t="str">
        <f t="shared" ref="R1911:R1941" si="134">IF(R$1810="DELETE","DELETE",IF(M1911+O1911=0,"DELETE"," "))</f>
        <v>DELETE</v>
      </c>
      <c r="T1911" s="425"/>
    </row>
    <row r="1912" spans="2:26" ht="31.5" customHeight="1" x14ac:dyDescent="0.45">
      <c r="B1912" s="388"/>
      <c r="C1912" s="369"/>
      <c r="D1912" s="368" t="s">
        <v>222</v>
      </c>
      <c r="J1912" s="370"/>
      <c r="K1912" s="370"/>
      <c r="L1912" s="370"/>
      <c r="M1912" s="436">
        <f>TrialBalanceA!I90</f>
        <v>0</v>
      </c>
      <c r="N1912" s="390"/>
      <c r="O1912" s="451">
        <f>TrialBalanceA!K90</f>
        <v>0</v>
      </c>
      <c r="P1912" s="380"/>
      <c r="Q1912" s="389"/>
      <c r="R1912" s="416" t="str">
        <f t="shared" ref="R1912" si="135">IF(R$1810="DELETE","DELETE",IF(M1912+O1912=0,"DELETE"," "))</f>
        <v>DELETE</v>
      </c>
      <c r="T1912" s="425"/>
    </row>
    <row r="1913" spans="2:26" ht="31.5" customHeight="1" x14ac:dyDescent="0.45">
      <c r="B1913" s="388"/>
      <c r="C1913" s="369"/>
      <c r="D1913" s="368" t="s">
        <v>220</v>
      </c>
      <c r="J1913" s="370"/>
      <c r="K1913" s="370"/>
      <c r="L1913" s="370"/>
      <c r="M1913" s="436">
        <f>TrialBalanceA!I89</f>
        <v>0</v>
      </c>
      <c r="N1913" s="390"/>
      <c r="O1913" s="451">
        <f>TrialBalanceA!K89</f>
        <v>0</v>
      </c>
      <c r="P1913" s="380"/>
      <c r="Q1913" s="389"/>
      <c r="R1913" s="416" t="str">
        <f t="shared" si="134"/>
        <v>DELETE</v>
      </c>
      <c r="T1913" s="425"/>
    </row>
    <row r="1914" spans="2:26" ht="31.5" customHeight="1" x14ac:dyDescent="0.45">
      <c r="B1914" s="388"/>
      <c r="C1914" s="369"/>
      <c r="D1914" s="368" t="s">
        <v>259</v>
      </c>
      <c r="J1914" s="370"/>
      <c r="K1914" s="370"/>
      <c r="L1914" s="370"/>
      <c r="M1914" s="436">
        <f>TrialBalanceA!I91</f>
        <v>0</v>
      </c>
      <c r="N1914" s="390"/>
      <c r="O1914" s="451">
        <f>TrialBalanceA!K91</f>
        <v>0</v>
      </c>
      <c r="P1914" s="380"/>
      <c r="Q1914" s="389"/>
      <c r="R1914" s="416" t="str">
        <f t="shared" si="134"/>
        <v>DELETE</v>
      </c>
      <c r="T1914" s="425"/>
    </row>
    <row r="1915" spans="2:26" ht="31.5" customHeight="1" x14ac:dyDescent="0.45">
      <c r="B1915" s="388"/>
      <c r="C1915" s="369"/>
      <c r="D1915" s="368" t="s">
        <v>225</v>
      </c>
      <c r="J1915" s="370"/>
      <c r="K1915" s="370"/>
      <c r="L1915" s="370"/>
      <c r="M1915" s="436">
        <f>TrialBalanceA!I92</f>
        <v>0</v>
      </c>
      <c r="N1915" s="390"/>
      <c r="O1915" s="451">
        <f>TrialBalanceA!K92</f>
        <v>0</v>
      </c>
      <c r="P1915" s="380"/>
      <c r="Q1915" s="389"/>
      <c r="R1915" s="416" t="str">
        <f t="shared" si="134"/>
        <v>DELETE</v>
      </c>
      <c r="T1915" s="425"/>
    </row>
    <row r="1916" spans="2:26" ht="31.5" customHeight="1" x14ac:dyDescent="0.45">
      <c r="B1916" s="388"/>
      <c r="C1916" s="369"/>
      <c r="D1916" s="368" t="s">
        <v>735</v>
      </c>
      <c r="J1916" s="370"/>
      <c r="K1916" s="370"/>
      <c r="L1916" s="370"/>
      <c r="M1916" s="436">
        <f>TrialBalanceA!I93</f>
        <v>0</v>
      </c>
      <c r="N1916" s="390"/>
      <c r="O1916" s="451">
        <f>TrialBalanceA!K93</f>
        <v>0</v>
      </c>
      <c r="P1916" s="380"/>
      <c r="Q1916" s="389"/>
      <c r="R1916" s="416" t="str">
        <f t="shared" si="134"/>
        <v>DELETE</v>
      </c>
      <c r="T1916" s="425"/>
    </row>
    <row r="1917" spans="2:26" ht="31.5" customHeight="1" x14ac:dyDescent="0.45">
      <c r="B1917" s="388"/>
      <c r="C1917" s="369"/>
      <c r="D1917" s="368" t="s">
        <v>279</v>
      </c>
      <c r="J1917" s="370"/>
      <c r="K1917" s="370">
        <f>C$747</f>
        <v>6.2999999999999989</v>
      </c>
      <c r="L1917" s="370"/>
      <c r="M1917" s="436">
        <f>SUM(TrialBalanceA!I95:I96)</f>
        <v>0</v>
      </c>
      <c r="N1917" s="390"/>
      <c r="O1917" s="451">
        <f>SUM(TrialBalanceA!K95:K96)</f>
        <v>0</v>
      </c>
      <c r="P1917" s="380"/>
      <c r="Q1917" s="389"/>
      <c r="R1917" s="416" t="str">
        <f t="shared" si="134"/>
        <v>DELETE</v>
      </c>
      <c r="T1917" s="425"/>
    </row>
    <row r="1918" spans="2:26" ht="31.5" customHeight="1" x14ac:dyDescent="0.45">
      <c r="B1918" s="388"/>
      <c r="C1918" s="369"/>
      <c r="D1918" s="368" t="s">
        <v>260</v>
      </c>
      <c r="J1918" s="370"/>
      <c r="K1918" s="370"/>
      <c r="L1918" s="370"/>
      <c r="M1918" s="436">
        <f>TrialBalanceA!I103</f>
        <v>0</v>
      </c>
      <c r="N1918" s="390"/>
      <c r="O1918" s="451">
        <f>TrialBalanceA!K103</f>
        <v>0</v>
      </c>
      <c r="P1918" s="380"/>
      <c r="Q1918" s="389"/>
      <c r="R1918" s="416" t="str">
        <f t="shared" si="134"/>
        <v>DELETE</v>
      </c>
      <c r="T1918" s="425"/>
    </row>
    <row r="1919" spans="2:26" ht="31.5" customHeight="1" x14ac:dyDescent="0.45">
      <c r="B1919" s="388"/>
      <c r="C1919" s="369"/>
      <c r="D1919" s="368" t="s">
        <v>375</v>
      </c>
      <c r="J1919" s="370"/>
      <c r="K1919" s="370"/>
      <c r="L1919" s="370"/>
      <c r="M1919" s="436">
        <f>TrialBalanceA!I104</f>
        <v>0</v>
      </c>
      <c r="N1919" s="390"/>
      <c r="O1919" s="451">
        <f>TrialBalanceA!K104</f>
        <v>0</v>
      </c>
      <c r="P1919" s="380"/>
      <c r="Q1919" s="389"/>
      <c r="R1919" s="416" t="str">
        <f t="shared" si="134"/>
        <v>DELETE</v>
      </c>
      <c r="T1919" s="425"/>
    </row>
    <row r="1920" spans="2:26" ht="31.5" customHeight="1" x14ac:dyDescent="0.45">
      <c r="B1920" s="388"/>
      <c r="C1920" s="369"/>
      <c r="D1920" s="368" t="s">
        <v>326</v>
      </c>
      <c r="J1920" s="370"/>
      <c r="K1920" s="370"/>
      <c r="L1920" s="370"/>
      <c r="M1920" s="436">
        <f>TrialBalanceA!I105</f>
        <v>0</v>
      </c>
      <c r="N1920" s="390"/>
      <c r="O1920" s="451">
        <f>TrialBalanceA!K105</f>
        <v>0</v>
      </c>
      <c r="P1920" s="380"/>
      <c r="Q1920" s="389"/>
      <c r="R1920" s="416" t="str">
        <f t="shared" si="134"/>
        <v>DELETE</v>
      </c>
      <c r="T1920" s="425"/>
    </row>
    <row r="1921" spans="2:20" ht="31.5" customHeight="1" x14ac:dyDescent="0.45">
      <c r="B1921" s="388"/>
      <c r="C1921" s="369"/>
      <c r="D1921" s="368" t="s">
        <v>377</v>
      </c>
      <c r="J1921" s="370"/>
      <c r="K1921" s="370"/>
      <c r="L1921" s="370"/>
      <c r="M1921" s="436">
        <f>TrialBalanceA!I106</f>
        <v>0</v>
      </c>
      <c r="N1921" s="390"/>
      <c r="O1921" s="451">
        <f>TrialBalanceA!K106</f>
        <v>0</v>
      </c>
      <c r="P1921" s="380"/>
      <c r="Q1921" s="389"/>
      <c r="R1921" s="416" t="str">
        <f t="shared" si="134"/>
        <v>DELETE</v>
      </c>
      <c r="T1921" s="425"/>
    </row>
    <row r="1922" spans="2:20" ht="31.5" customHeight="1" x14ac:dyDescent="0.45">
      <c r="B1922" s="388"/>
      <c r="C1922" s="369"/>
      <c r="D1922" s="368" t="s">
        <v>1081</v>
      </c>
      <c r="J1922" s="370"/>
      <c r="K1922" s="370"/>
      <c r="L1922" s="370"/>
      <c r="M1922" s="436">
        <f>IF(TrialBalanceA!I141&gt;0,TrialBalanceA!I141,0)</f>
        <v>0</v>
      </c>
      <c r="N1922" s="390"/>
      <c r="O1922" s="451">
        <f>IF(TrialBalanceA!K141&gt;0,TrialBalanceA!K141,0)</f>
        <v>0</v>
      </c>
      <c r="P1922" s="380"/>
      <c r="Q1922" s="389"/>
      <c r="R1922" s="416" t="str">
        <f>IF(R$1810="DELETE","DELETE",IF(M1922+O1922=0,"DELETE"," "))</f>
        <v>DELETE</v>
      </c>
      <c r="T1922" s="425"/>
    </row>
    <row r="1923" spans="2:20" ht="31.5" customHeight="1" x14ac:dyDescent="0.45">
      <c r="B1923" s="388"/>
      <c r="C1923" s="369"/>
      <c r="D1923" s="368" t="s">
        <v>496</v>
      </c>
      <c r="J1923" s="370"/>
      <c r="K1923" s="370"/>
      <c r="L1923" s="370"/>
      <c r="M1923" s="436">
        <f>TrialBalanceA!I107+TrialBalanceA!I108</f>
        <v>0</v>
      </c>
      <c r="N1923" s="390"/>
      <c r="O1923" s="451">
        <f>TrialBalanceA!K107+TrialBalanceA!K108</f>
        <v>0</v>
      </c>
      <c r="P1923" s="380"/>
      <c r="Q1923" s="389"/>
      <c r="R1923" s="416" t="str">
        <f t="shared" si="134"/>
        <v>DELETE</v>
      </c>
      <c r="T1923" s="425"/>
    </row>
    <row r="1924" spans="2:20" ht="31.5" customHeight="1" x14ac:dyDescent="0.45">
      <c r="B1924" s="388"/>
      <c r="C1924" s="369"/>
      <c r="D1924" s="368" t="s">
        <v>519</v>
      </c>
      <c r="J1924" s="370"/>
      <c r="K1924" s="370"/>
      <c r="L1924" s="370"/>
      <c r="M1924" s="436">
        <f>IF(TrialBalanceA!I81&gt;0,TrialBalanceA!I81,0)</f>
        <v>0</v>
      </c>
      <c r="N1924" s="390"/>
      <c r="O1924" s="451">
        <f>IF(TrialBalanceA!K81&gt;0,TrialBalanceA!K81,0)</f>
        <v>0</v>
      </c>
      <c r="P1924" s="380"/>
      <c r="Q1924" s="389"/>
      <c r="R1924" s="416" t="str">
        <f>IF(R$1810="DELETE","DELETE",IF(M1924+O1924=0,"DELETE"," "))</f>
        <v>DELETE</v>
      </c>
      <c r="T1924" s="425"/>
    </row>
    <row r="1925" spans="2:20" ht="33" customHeight="1" x14ac:dyDescent="0.45">
      <c r="B1925" s="388"/>
      <c r="C1925" s="369"/>
      <c r="D1925" s="368" t="s">
        <v>736</v>
      </c>
      <c r="J1925" s="370"/>
      <c r="K1925" s="370"/>
      <c r="L1925" s="370"/>
      <c r="M1925" s="436">
        <f>TrialBalanceA!I109</f>
        <v>0</v>
      </c>
      <c r="N1925" s="390"/>
      <c r="O1925" s="451">
        <f>TrialBalanceA!K109</f>
        <v>0</v>
      </c>
      <c r="P1925" s="380"/>
      <c r="Q1925" s="389"/>
      <c r="R1925" s="416" t="str">
        <f>IF(R$1810="DELETE","DELETE",IF(M1925+O1925=0,"DELETE"," "))</f>
        <v>DELETE</v>
      </c>
      <c r="T1925" s="425"/>
    </row>
    <row r="1926" spans="2:20" ht="31.5" customHeight="1" x14ac:dyDescent="0.45">
      <c r="B1926" s="388"/>
      <c r="C1926" s="369"/>
      <c r="D1926" s="368" t="s">
        <v>261</v>
      </c>
      <c r="J1926" s="370"/>
      <c r="K1926" s="370"/>
      <c r="L1926" s="370"/>
      <c r="M1926" s="436">
        <f>TrialBalanceA!I110</f>
        <v>0</v>
      </c>
      <c r="N1926" s="390"/>
      <c r="O1926" s="451">
        <f>TrialBalanceA!K110</f>
        <v>0</v>
      </c>
      <c r="P1926" s="380"/>
      <c r="Q1926" s="389"/>
      <c r="R1926" s="416" t="str">
        <f>IF(R$1810="DELETE","DELETE",IF(M1926+O1926=0,"DELETE"," "))</f>
        <v>DELETE</v>
      </c>
      <c r="T1926" s="425"/>
    </row>
    <row r="1927" spans="2:20" ht="31.5" customHeight="1" x14ac:dyDescent="0.45">
      <c r="B1927" s="388"/>
      <c r="C1927" s="369"/>
      <c r="D1927" s="368" t="s">
        <v>254</v>
      </c>
      <c r="J1927" s="370"/>
      <c r="K1927" s="370"/>
      <c r="L1927" s="370"/>
      <c r="M1927" s="436">
        <f>SUM(TrialBalanceA!I111:I112)</f>
        <v>0</v>
      </c>
      <c r="N1927" s="390"/>
      <c r="O1927" s="451">
        <f>SUM(TrialBalanceA!K111:K112)</f>
        <v>0</v>
      </c>
      <c r="P1927" s="380"/>
      <c r="Q1927" s="389"/>
      <c r="R1927" s="416" t="str">
        <f t="shared" si="134"/>
        <v>DELETE</v>
      </c>
      <c r="T1927" s="425"/>
    </row>
    <row r="1928" spans="2:20" ht="31.5" customHeight="1" x14ac:dyDescent="0.45">
      <c r="B1928" s="388"/>
      <c r="C1928" s="369"/>
      <c r="D1928" s="368" t="s">
        <v>262</v>
      </c>
      <c r="J1928" s="370"/>
      <c r="K1928" s="370"/>
      <c r="L1928" s="370"/>
      <c r="M1928" s="436">
        <f>TrialBalanceA!I113</f>
        <v>0</v>
      </c>
      <c r="N1928" s="390"/>
      <c r="O1928" s="451">
        <f>TrialBalanceA!K113</f>
        <v>0</v>
      </c>
      <c r="P1928" s="380"/>
      <c r="Q1928" s="389"/>
      <c r="R1928" s="416" t="str">
        <f t="shared" si="134"/>
        <v>DELETE</v>
      </c>
      <c r="T1928" s="425"/>
    </row>
    <row r="1929" spans="2:20" ht="31.5" customHeight="1" x14ac:dyDescent="0.45">
      <c r="B1929" s="388"/>
      <c r="C1929" s="369"/>
      <c r="D1929" s="368" t="s">
        <v>737</v>
      </c>
      <c r="J1929" s="370"/>
      <c r="K1929" s="370"/>
      <c r="L1929" s="370"/>
      <c r="M1929" s="436">
        <f>TrialBalanceA!I114</f>
        <v>0</v>
      </c>
      <c r="N1929" s="390"/>
      <c r="O1929" s="451">
        <f>TrialBalanceA!K114</f>
        <v>0</v>
      </c>
      <c r="P1929" s="380"/>
      <c r="Q1929" s="389"/>
      <c r="R1929" s="416" t="str">
        <f t="shared" si="134"/>
        <v>DELETE</v>
      </c>
      <c r="T1929" s="425"/>
    </row>
    <row r="1930" spans="2:20" ht="31.5" customHeight="1" x14ac:dyDescent="0.45">
      <c r="B1930" s="388"/>
      <c r="C1930" s="369"/>
      <c r="D1930" s="368" t="s">
        <v>88</v>
      </c>
      <c r="J1930" s="370"/>
      <c r="K1930" s="370"/>
      <c r="L1930" s="370"/>
      <c r="M1930" s="436">
        <f>TrialBalanceA!I115</f>
        <v>0</v>
      </c>
      <c r="N1930" s="390"/>
      <c r="O1930" s="451">
        <f>TrialBalanceA!K115</f>
        <v>0</v>
      </c>
      <c r="P1930" s="380"/>
      <c r="Q1930" s="389"/>
      <c r="R1930" s="416" t="str">
        <f t="shared" si="134"/>
        <v>DELETE</v>
      </c>
      <c r="T1930" s="425"/>
    </row>
    <row r="1931" spans="2:20" ht="31.5" customHeight="1" x14ac:dyDescent="0.45">
      <c r="B1931" s="388"/>
      <c r="C1931" s="369"/>
      <c r="D1931" s="368" t="str">
        <f>IF(MAX(Criteria!I38:I42)&gt;1,"Trustees' remuneration","Trustee's remuneration")</f>
        <v>Trustees' remuneration</v>
      </c>
      <c r="J1931" s="370"/>
      <c r="K1931" s="370">
        <f>C$688</f>
        <v>6.1</v>
      </c>
      <c r="L1931" s="370"/>
      <c r="M1931" s="436">
        <f>SUM(TrialBalanceA!I98:I102)</f>
        <v>0</v>
      </c>
      <c r="N1931" s="390"/>
      <c r="O1931" s="451">
        <f>SUM(TrialBalanceA!K98:K102)</f>
        <v>0</v>
      </c>
      <c r="P1931" s="380"/>
      <c r="Q1931" s="389"/>
      <c r="R1931" s="416" t="str">
        <f t="shared" si="134"/>
        <v>DELETE</v>
      </c>
      <c r="T1931" s="425"/>
    </row>
    <row r="1932" spans="2:20" ht="31.5" customHeight="1" x14ac:dyDescent="0.45">
      <c r="B1932" s="388"/>
      <c r="C1932" s="369"/>
      <c r="D1932" s="368">
        <f>TrialBalanceA!C116</f>
        <v>0</v>
      </c>
      <c r="J1932" s="370"/>
      <c r="K1932" s="370"/>
      <c r="L1932" s="370"/>
      <c r="M1932" s="436">
        <f>TrialBalanceA!I116</f>
        <v>0</v>
      </c>
      <c r="N1932" s="390"/>
      <c r="O1932" s="451">
        <f>TrialBalanceA!K116</f>
        <v>0</v>
      </c>
      <c r="P1932" s="380"/>
      <c r="Q1932" s="389"/>
      <c r="R1932" s="416" t="str">
        <f t="shared" si="134"/>
        <v>DELETE</v>
      </c>
      <c r="T1932" s="425"/>
    </row>
    <row r="1933" spans="2:20" ht="31.5" customHeight="1" x14ac:dyDescent="0.45">
      <c r="B1933" s="388"/>
      <c r="C1933" s="369"/>
      <c r="D1933" s="368">
        <f>TrialBalanceA!C117</f>
        <v>0</v>
      </c>
      <c r="J1933" s="370"/>
      <c r="K1933" s="370"/>
      <c r="L1933" s="370"/>
      <c r="M1933" s="436">
        <f>TrialBalanceA!I117</f>
        <v>0</v>
      </c>
      <c r="N1933" s="390"/>
      <c r="O1933" s="451">
        <f>TrialBalanceA!K117</f>
        <v>0</v>
      </c>
      <c r="P1933" s="380"/>
      <c r="Q1933" s="389"/>
      <c r="R1933" s="416" t="str">
        <f t="shared" si="134"/>
        <v>DELETE</v>
      </c>
      <c r="T1933" s="425"/>
    </row>
    <row r="1934" spans="2:20" ht="31.5" customHeight="1" x14ac:dyDescent="0.45">
      <c r="B1934" s="388"/>
      <c r="C1934" s="369"/>
      <c r="D1934" s="368">
        <f>TrialBalanceA!C118</f>
        <v>0</v>
      </c>
      <c r="J1934" s="370"/>
      <c r="K1934" s="370"/>
      <c r="L1934" s="370"/>
      <c r="M1934" s="436">
        <f>TrialBalanceA!I118</f>
        <v>0</v>
      </c>
      <c r="N1934" s="390"/>
      <c r="O1934" s="451">
        <f>TrialBalanceA!K118</f>
        <v>0</v>
      </c>
      <c r="P1934" s="380"/>
      <c r="Q1934" s="389"/>
      <c r="R1934" s="416" t="str">
        <f t="shared" si="134"/>
        <v>DELETE</v>
      </c>
      <c r="T1934" s="425"/>
    </row>
    <row r="1935" spans="2:20" ht="31.5" customHeight="1" x14ac:dyDescent="0.45">
      <c r="B1935" s="388"/>
      <c r="C1935" s="369"/>
      <c r="D1935" s="368">
        <f>TrialBalanceA!C119</f>
        <v>0</v>
      </c>
      <c r="J1935" s="370"/>
      <c r="K1935" s="370"/>
      <c r="L1935" s="370"/>
      <c r="M1935" s="436">
        <f>TrialBalanceA!I119</f>
        <v>0</v>
      </c>
      <c r="N1935" s="390"/>
      <c r="O1935" s="451">
        <f>TrialBalanceA!K119</f>
        <v>0</v>
      </c>
      <c r="P1935" s="380"/>
      <c r="Q1935" s="389"/>
      <c r="R1935" s="416" t="str">
        <f t="shared" si="134"/>
        <v>DELETE</v>
      </c>
      <c r="T1935" s="425"/>
    </row>
    <row r="1936" spans="2:20" ht="31.5" customHeight="1" x14ac:dyDescent="0.45">
      <c r="B1936" s="388"/>
      <c r="C1936" s="369"/>
      <c r="D1936" s="368">
        <f>TrialBalanceA!C120</f>
        <v>0</v>
      </c>
      <c r="J1936" s="370"/>
      <c r="K1936" s="370"/>
      <c r="L1936" s="370"/>
      <c r="M1936" s="436">
        <f>TrialBalanceA!I120</f>
        <v>0</v>
      </c>
      <c r="N1936" s="390"/>
      <c r="O1936" s="451">
        <f>TrialBalanceA!K120</f>
        <v>0</v>
      </c>
      <c r="P1936" s="380"/>
      <c r="Q1936" s="389"/>
      <c r="R1936" s="416" t="str">
        <f t="shared" si="134"/>
        <v>DELETE</v>
      </c>
      <c r="T1936" s="425"/>
    </row>
    <row r="1937" spans="2:26" ht="31.5" customHeight="1" x14ac:dyDescent="0.45">
      <c r="B1937" s="388"/>
      <c r="C1937" s="369"/>
      <c r="D1937" s="368">
        <f>TrialBalanceA!C121</f>
        <v>0</v>
      </c>
      <c r="J1937" s="370"/>
      <c r="K1937" s="370"/>
      <c r="L1937" s="370"/>
      <c r="M1937" s="436">
        <f>TrialBalanceA!I121</f>
        <v>0</v>
      </c>
      <c r="N1937" s="390"/>
      <c r="O1937" s="451">
        <f>TrialBalanceA!K121</f>
        <v>0</v>
      </c>
      <c r="P1937" s="380"/>
      <c r="Q1937" s="389"/>
      <c r="R1937" s="416" t="str">
        <f t="shared" si="134"/>
        <v>DELETE</v>
      </c>
      <c r="T1937" s="425"/>
    </row>
    <row r="1938" spans="2:26" ht="31.5" customHeight="1" x14ac:dyDescent="0.45">
      <c r="B1938" s="388"/>
      <c r="C1938" s="369"/>
      <c r="D1938" s="368">
        <f>TrialBalanceA!C122</f>
        <v>0</v>
      </c>
      <c r="J1938" s="370"/>
      <c r="K1938" s="370"/>
      <c r="L1938" s="370"/>
      <c r="M1938" s="436">
        <f>TrialBalanceA!I122</f>
        <v>0</v>
      </c>
      <c r="N1938" s="390"/>
      <c r="O1938" s="451">
        <f>TrialBalanceA!K122</f>
        <v>0</v>
      </c>
      <c r="P1938" s="380"/>
      <c r="Q1938" s="389"/>
      <c r="R1938" s="416" t="str">
        <f t="shared" si="134"/>
        <v>DELETE</v>
      </c>
      <c r="T1938" s="425"/>
    </row>
    <row r="1939" spans="2:26" ht="31.5" customHeight="1" x14ac:dyDescent="0.45">
      <c r="B1939" s="388"/>
      <c r="C1939" s="369"/>
      <c r="D1939" s="368">
        <f>TrialBalanceA!C123</f>
        <v>0</v>
      </c>
      <c r="J1939" s="370"/>
      <c r="K1939" s="370"/>
      <c r="L1939" s="370"/>
      <c r="M1939" s="436">
        <f>TrialBalanceA!I123</f>
        <v>0</v>
      </c>
      <c r="N1939" s="390"/>
      <c r="O1939" s="451">
        <f>TrialBalanceA!K123</f>
        <v>0</v>
      </c>
      <c r="P1939" s="380"/>
      <c r="Q1939" s="389"/>
      <c r="R1939" s="416" t="str">
        <f t="shared" si="134"/>
        <v>DELETE</v>
      </c>
      <c r="T1939" s="425"/>
    </row>
    <row r="1940" spans="2:26" ht="31.5" customHeight="1" x14ac:dyDescent="0.45">
      <c r="B1940" s="388"/>
      <c r="C1940" s="369"/>
      <c r="D1940" s="368">
        <f>TrialBalanceA!C124</f>
        <v>0</v>
      </c>
      <c r="J1940" s="370"/>
      <c r="K1940" s="370"/>
      <c r="L1940" s="370"/>
      <c r="M1940" s="436">
        <f>TrialBalanceA!I124</f>
        <v>0</v>
      </c>
      <c r="N1940" s="390"/>
      <c r="O1940" s="451">
        <f>TrialBalanceA!K124</f>
        <v>0</v>
      </c>
      <c r="P1940" s="380"/>
      <c r="Q1940" s="389"/>
      <c r="R1940" s="416" t="str">
        <f t="shared" si="134"/>
        <v>DELETE</v>
      </c>
      <c r="T1940" s="425"/>
    </row>
    <row r="1941" spans="2:26" ht="31.5" customHeight="1" x14ac:dyDescent="0.45">
      <c r="B1941" s="388"/>
      <c r="C1941" s="369"/>
      <c r="D1941" s="368" t="str">
        <f>TrialBalanceA!C125</f>
        <v>Amortisation of prepaid lease agreement</v>
      </c>
      <c r="J1941" s="370"/>
      <c r="K1941" s="370"/>
      <c r="L1941" s="370"/>
      <c r="M1941" s="436">
        <f>TrialBalanceA!I125</f>
        <v>0</v>
      </c>
      <c r="N1941" s="390"/>
      <c r="O1941" s="451">
        <f>TrialBalanceA!K125</f>
        <v>0</v>
      </c>
      <c r="P1941" s="380"/>
      <c r="Q1941" s="389"/>
      <c r="R1941" s="416" t="str">
        <f t="shared" si="134"/>
        <v>DELETE</v>
      </c>
      <c r="T1941" s="425"/>
    </row>
    <row r="1942" spans="2:26" ht="31.5" customHeight="1" x14ac:dyDescent="0.45">
      <c r="B1942" s="388"/>
      <c r="C1942" s="369"/>
      <c r="D1942" s="368" t="str">
        <f>TrialBalanceA!C126</f>
        <v>Amortisation of goodwill</v>
      </c>
      <c r="J1942" s="370"/>
      <c r="K1942" s="370"/>
      <c r="L1942" s="370"/>
      <c r="M1942" s="436">
        <f>TrialBalanceA!I126</f>
        <v>0</v>
      </c>
      <c r="N1942" s="390"/>
      <c r="O1942" s="451">
        <f>TrialBalanceA!K126</f>
        <v>0</v>
      </c>
      <c r="P1942" s="380"/>
      <c r="Q1942" s="389"/>
      <c r="R1942" s="416" t="str">
        <f t="shared" ref="R1942" si="136">IF(R$1810="DELETE","DELETE",IF(M1942+O1942=0,"DELETE"," "))</f>
        <v>DELETE</v>
      </c>
      <c r="T1942" s="425"/>
    </row>
    <row r="1943" spans="2:26" ht="9" customHeight="1" x14ac:dyDescent="0.45">
      <c r="B1943" s="388"/>
      <c r="C1943" s="369"/>
      <c r="J1943" s="370"/>
      <c r="K1943" s="370"/>
      <c r="L1943" s="370"/>
      <c r="M1943" s="437"/>
      <c r="N1943" s="392"/>
      <c r="O1943" s="452"/>
      <c r="P1943" s="380"/>
      <c r="Q1943" s="389"/>
      <c r="R1943" s="416" t="str">
        <f>R1908</f>
        <v>DELETE</v>
      </c>
      <c r="T1943" s="425"/>
    </row>
    <row r="1944" spans="2:26" ht="9" customHeight="1" x14ac:dyDescent="0.45">
      <c r="B1944" s="388"/>
      <c r="C1944" s="369"/>
      <c r="J1944" s="370"/>
      <c r="K1944" s="370"/>
      <c r="L1944" s="370"/>
      <c r="M1944" s="438"/>
      <c r="N1944" s="392"/>
      <c r="O1944" s="438"/>
      <c r="P1944" s="380"/>
      <c r="Q1944" s="389"/>
      <c r="R1944" s="416" t="str">
        <f>R$1810</f>
        <v>DELETE</v>
      </c>
      <c r="T1944" s="425"/>
    </row>
    <row r="1945" spans="2:26" ht="9" customHeight="1" x14ac:dyDescent="0.45">
      <c r="B1945" s="388"/>
      <c r="C1945" s="369"/>
      <c r="J1945" s="370"/>
      <c r="K1945" s="370"/>
      <c r="L1945" s="370"/>
      <c r="M1945" s="434"/>
      <c r="N1945" s="390"/>
      <c r="O1945" s="434"/>
      <c r="P1945" s="380"/>
      <c r="Q1945" s="389"/>
      <c r="R1945" s="416" t="str">
        <f>R$1810</f>
        <v>DELETE</v>
      </c>
      <c r="T1945" s="425"/>
    </row>
    <row r="1946" spans="2:26" ht="31.5" customHeight="1" x14ac:dyDescent="0.45">
      <c r="B1946" s="388"/>
      <c r="C1946" s="411" t="str">
        <f>IF((Y1946+Z1946)=3,"OPERATING PROFIT/(LOSS) FOR THE YEAR",(IF((Y1946+Z1946=4),"OPERATING PROFIT FOR THE YEAR","OPERATING LOSS FOR THE YEAR")))</f>
        <v>OPERATING PROFIT FOR THE YEAR</v>
      </c>
      <c r="J1946" s="370"/>
      <c r="K1946" s="370">
        <f>FS!B685</f>
        <v>6</v>
      </c>
      <c r="L1946" s="370"/>
      <c r="M1946" s="434">
        <f>SUM(S1822:S1943)</f>
        <v>0</v>
      </c>
      <c r="N1946" s="390"/>
      <c r="O1946" s="434">
        <f>SUM(U1822:U1943)</f>
        <v>0</v>
      </c>
      <c r="P1946" s="380"/>
      <c r="Q1946" s="389"/>
      <c r="R1946" s="416" t="str">
        <f>R$1810</f>
        <v>DELETE</v>
      </c>
      <c r="T1946" s="425"/>
      <c r="Y1946" s="417">
        <f>IF(M1946&lt;0,1,IF(M1946=0,IF(O1946&lt;0,1,2),2))</f>
        <v>2</v>
      </c>
      <c r="Z1946" s="417">
        <f>IF(O1946&lt;0,1,IF(O1946=0,IF(M1946&lt;0,1,2),2))</f>
        <v>2</v>
      </c>
    </row>
    <row r="1947" spans="2:26" ht="31.5" customHeight="1" x14ac:dyDescent="0.45">
      <c r="B1947" s="388"/>
      <c r="C1947" s="369"/>
      <c r="J1947" s="370"/>
      <c r="K1947" s="370"/>
      <c r="L1947" s="370"/>
      <c r="M1947" s="434"/>
      <c r="N1947" s="390"/>
      <c r="O1947" s="434"/>
      <c r="P1947" s="380"/>
      <c r="Q1947" s="389"/>
      <c r="R1947" s="416" t="str">
        <f>R$1810</f>
        <v>DELETE</v>
      </c>
      <c r="T1947" s="425"/>
    </row>
    <row r="1948" spans="2:26" ht="31.5" customHeight="1" x14ac:dyDescent="0.45">
      <c r="B1948" s="388"/>
      <c r="C1948" s="369" t="s">
        <v>122</v>
      </c>
      <c r="J1948" s="370"/>
      <c r="K1948" s="370"/>
      <c r="L1948" s="370"/>
      <c r="M1948" s="434">
        <f>SUM(M1951:M1955)</f>
        <v>0</v>
      </c>
      <c r="N1948" s="390"/>
      <c r="O1948" s="434">
        <f>SUM(O1951:O1955)</f>
        <v>0</v>
      </c>
      <c r="P1948" s="380"/>
      <c r="Q1948" s="389"/>
      <c r="R1948" s="416" t="str">
        <f t="shared" ref="R1948" si="137">IF(R$1810="DELETE","DELETE",IF(M1948+O1948=0,"DELETE"," "))</f>
        <v>DELETE</v>
      </c>
      <c r="S1948" s="421">
        <f>M1948</f>
        <v>0</v>
      </c>
      <c r="T1948" s="425"/>
      <c r="U1948" s="421">
        <f>O1948</f>
        <v>0</v>
      </c>
      <c r="V1948" s="421"/>
      <c r="W1948" s="421"/>
      <c r="X1948" s="421"/>
    </row>
    <row r="1949" spans="2:26" ht="9" customHeight="1" x14ac:dyDescent="0.45">
      <c r="B1949" s="388"/>
      <c r="C1949" s="369"/>
      <c r="J1949" s="370"/>
      <c r="K1949" s="370"/>
      <c r="L1949" s="370"/>
      <c r="M1949" s="434"/>
      <c r="N1949" s="390"/>
      <c r="O1949" s="434"/>
      <c r="P1949" s="380"/>
      <c r="Q1949" s="389"/>
      <c r="R1949" s="416" t="str">
        <f>R1948</f>
        <v>DELETE</v>
      </c>
      <c r="T1949" s="425"/>
    </row>
    <row r="1950" spans="2:26" ht="9" customHeight="1" x14ac:dyDescent="0.45">
      <c r="B1950" s="388"/>
      <c r="C1950" s="369"/>
      <c r="J1950" s="370"/>
      <c r="K1950" s="370"/>
      <c r="L1950" s="370"/>
      <c r="M1950" s="435"/>
      <c r="N1950" s="391"/>
      <c r="O1950" s="450"/>
      <c r="P1950" s="380"/>
      <c r="Q1950" s="389"/>
      <c r="R1950" s="416" t="str">
        <f>R1949</f>
        <v>DELETE</v>
      </c>
      <c r="T1950" s="425"/>
    </row>
    <row r="1951" spans="2:26" ht="31.5" customHeight="1" x14ac:dyDescent="0.45">
      <c r="B1951" s="388"/>
      <c r="C1951" s="369"/>
      <c r="D1951" s="368" t="s">
        <v>208</v>
      </c>
      <c r="J1951" s="370"/>
      <c r="K1951" s="370"/>
      <c r="L1951" s="370"/>
      <c r="M1951" s="436">
        <f>-TrialBalanceA!I82</f>
        <v>0</v>
      </c>
      <c r="N1951" s="390"/>
      <c r="O1951" s="451">
        <f>-TrialBalanceA!K82</f>
        <v>0</v>
      </c>
      <c r="P1951" s="380"/>
      <c r="Q1951" s="389"/>
      <c r="R1951" s="416" t="str">
        <f>IF(R$1810="DELETE","DELETE",IF(M1951+O1951=0,"DELETE"," "))</f>
        <v>DELETE</v>
      </c>
      <c r="T1951" s="425"/>
    </row>
    <row r="1952" spans="2:26" ht="31.5" customHeight="1" x14ac:dyDescent="0.45">
      <c r="B1952" s="388"/>
      <c r="C1952" s="369"/>
      <c r="D1952" s="368" t="s">
        <v>210</v>
      </c>
      <c r="J1952" s="370"/>
      <c r="K1952" s="370"/>
      <c r="L1952" s="370"/>
      <c r="M1952" s="442">
        <f>-SUM(TrialBalanceA!I83)</f>
        <v>0</v>
      </c>
      <c r="N1952" s="414"/>
      <c r="O1952" s="454">
        <f>-TrialBalanceA!K83</f>
        <v>0</v>
      </c>
      <c r="P1952" s="380"/>
      <c r="Q1952" s="389"/>
      <c r="R1952" s="416" t="str">
        <f>IF(R$1810="DELETE","DELETE",IF(M1952+O1952=0,"DELETE"," "))</f>
        <v>DELETE</v>
      </c>
      <c r="T1952" s="425"/>
    </row>
    <row r="1953" spans="2:26" ht="31.5" customHeight="1" x14ac:dyDescent="0.45">
      <c r="B1953" s="388"/>
      <c r="C1953" s="369"/>
      <c r="D1953" s="368" t="s">
        <v>520</v>
      </c>
      <c r="J1953" s="370"/>
      <c r="K1953" s="370"/>
      <c r="L1953" s="370"/>
      <c r="M1953" s="436">
        <f>IF(TrialBalanceA!I81&lt;0,-TrialBalanceA!I81,0)</f>
        <v>0</v>
      </c>
      <c r="N1953" s="390"/>
      <c r="O1953" s="451">
        <f>IF(TrialBalanceA!K81&lt;0,-TrialBalanceA!K81,0)</f>
        <v>0</v>
      </c>
      <c r="P1953" s="380"/>
      <c r="Q1953" s="389"/>
      <c r="R1953" s="416" t="str">
        <f>IF(R$1810="DELETE","DELETE",IF(M1953+O1953=0,"DELETE"," "))</f>
        <v>DELETE</v>
      </c>
      <c r="T1953" s="425"/>
    </row>
    <row r="1954" spans="2:26" ht="31.5" customHeight="1" x14ac:dyDescent="0.45">
      <c r="B1954" s="388"/>
      <c r="C1954" s="369"/>
      <c r="D1954" s="368" t="s">
        <v>365</v>
      </c>
      <c r="J1954" s="370"/>
      <c r="K1954" s="370"/>
      <c r="L1954" s="370"/>
      <c r="M1954" s="436">
        <f>-TrialBalanceA!I80</f>
        <v>0</v>
      </c>
      <c r="N1954" s="390"/>
      <c r="O1954" s="451">
        <f>-TrialBalanceA!K80</f>
        <v>0</v>
      </c>
      <c r="P1954" s="380"/>
      <c r="Q1954" s="389"/>
      <c r="R1954" s="416" t="str">
        <f>IF(R$1810="DELETE","DELETE",IF(M1954+O1954=0,"DELETE"," "))</f>
        <v>DELETE</v>
      </c>
      <c r="T1954" s="425"/>
    </row>
    <row r="1955" spans="2:26" ht="9" customHeight="1" x14ac:dyDescent="0.45">
      <c r="B1955" s="388"/>
      <c r="C1955" s="369"/>
      <c r="J1955" s="370"/>
      <c r="K1955" s="370"/>
      <c r="L1955" s="370"/>
      <c r="M1955" s="437"/>
      <c r="N1955" s="392"/>
      <c r="O1955" s="452"/>
      <c r="P1955" s="380"/>
      <c r="Q1955" s="389"/>
      <c r="R1955" s="416" t="str">
        <f>R1948</f>
        <v>DELETE</v>
      </c>
      <c r="T1955" s="425"/>
    </row>
    <row r="1956" spans="2:26" ht="9" customHeight="1" x14ac:dyDescent="0.45">
      <c r="B1956" s="388"/>
      <c r="C1956" s="369"/>
      <c r="J1956" s="370"/>
      <c r="K1956" s="370"/>
      <c r="L1956" s="370"/>
      <c r="M1956" s="438"/>
      <c r="N1956" s="392"/>
      <c r="O1956" s="438"/>
      <c r="P1956" s="380"/>
      <c r="Q1956" s="389"/>
      <c r="R1956" s="416" t="str">
        <f>R1955</f>
        <v>DELETE</v>
      </c>
      <c r="T1956" s="425"/>
    </row>
    <row r="1957" spans="2:26" ht="9" customHeight="1" x14ac:dyDescent="0.45">
      <c r="B1957" s="388"/>
      <c r="C1957" s="369"/>
      <c r="J1957" s="370"/>
      <c r="K1957" s="370"/>
      <c r="L1957" s="370"/>
      <c r="M1957" s="434"/>
      <c r="N1957" s="390"/>
      <c r="O1957" s="434"/>
      <c r="P1957" s="380"/>
      <c r="Q1957" s="389"/>
      <c r="R1957" s="416" t="str">
        <f>R1956</f>
        <v>DELETE</v>
      </c>
      <c r="T1957" s="425"/>
    </row>
    <row r="1958" spans="2:26" ht="31.5" customHeight="1" x14ac:dyDescent="0.45">
      <c r="B1958" s="388"/>
      <c r="C1958" s="369"/>
      <c r="J1958" s="370"/>
      <c r="K1958" s="370"/>
      <c r="L1958" s="370"/>
      <c r="M1958" s="434">
        <f>SUM(S1822:S1955)</f>
        <v>0</v>
      </c>
      <c r="N1958" s="390"/>
      <c r="O1958" s="434">
        <f>SUM(U1822:U1955)</f>
        <v>0</v>
      </c>
      <c r="P1958" s="380"/>
      <c r="Q1958" s="389"/>
      <c r="R1958" s="416" t="str">
        <f>R1957</f>
        <v>DELETE</v>
      </c>
      <c r="T1958" s="425"/>
    </row>
    <row r="1959" spans="2:26" ht="31.5" customHeight="1" x14ac:dyDescent="0.45">
      <c r="B1959" s="388"/>
      <c r="C1959" s="369"/>
      <c r="J1959" s="370"/>
      <c r="K1959" s="370"/>
      <c r="L1959" s="370"/>
      <c r="M1959" s="434"/>
      <c r="N1959" s="390"/>
      <c r="O1959" s="434"/>
      <c r="P1959" s="380"/>
      <c r="Q1959" s="389"/>
      <c r="R1959" s="416" t="str">
        <f>R1958</f>
        <v>DELETE</v>
      </c>
      <c r="T1959" s="425"/>
    </row>
    <row r="1960" spans="2:26" ht="31.5" customHeight="1" x14ac:dyDescent="0.45">
      <c r="B1960" s="388"/>
      <c r="C1960" s="369" t="s">
        <v>263</v>
      </c>
      <c r="J1960" s="370"/>
      <c r="K1960" s="370">
        <f>FS!B602</f>
        <v>5</v>
      </c>
      <c r="L1960" s="370"/>
      <c r="M1960" s="434">
        <f>SUM(TrialBalanceA!I129:I139)</f>
        <v>0</v>
      </c>
      <c r="N1960" s="390"/>
      <c r="O1960" s="434">
        <f>SUM(TrialBalanceA!K129:K139)</f>
        <v>0</v>
      </c>
      <c r="P1960" s="380"/>
      <c r="Q1960" s="389"/>
      <c r="R1960" s="416" t="str">
        <f t="shared" ref="R1960" si="138">IF(R$1810="DELETE","DELETE",IF(M1960+O1960=0,"DELETE"," "))</f>
        <v>DELETE</v>
      </c>
      <c r="S1960" s="421">
        <f>-M1960</f>
        <v>0</v>
      </c>
      <c r="T1960" s="425"/>
      <c r="U1960" s="421">
        <f>-O1960</f>
        <v>0</v>
      </c>
      <c r="V1960" s="421"/>
      <c r="W1960" s="421"/>
      <c r="X1960" s="421"/>
    </row>
    <row r="1961" spans="2:26" ht="9" customHeight="1" x14ac:dyDescent="0.45">
      <c r="B1961" s="388"/>
      <c r="C1961" s="369"/>
      <c r="J1961" s="370"/>
      <c r="K1961" s="370"/>
      <c r="L1961" s="370"/>
      <c r="M1961" s="438"/>
      <c r="N1961" s="392"/>
      <c r="O1961" s="438"/>
      <c r="P1961" s="380"/>
      <c r="Q1961" s="389"/>
      <c r="R1961" s="416" t="str">
        <f t="shared" ref="R1961:R1969" si="139">R$1810</f>
        <v>DELETE</v>
      </c>
      <c r="T1961" s="425"/>
    </row>
    <row r="1962" spans="2:26" ht="9" customHeight="1" x14ac:dyDescent="0.45">
      <c r="B1962" s="388"/>
      <c r="C1962" s="369"/>
      <c r="J1962" s="370"/>
      <c r="K1962" s="370"/>
      <c r="L1962" s="370"/>
      <c r="M1962" s="434"/>
      <c r="N1962" s="390"/>
      <c r="O1962" s="434"/>
      <c r="P1962" s="380"/>
      <c r="Q1962" s="389"/>
      <c r="R1962" s="416" t="str">
        <f t="shared" si="139"/>
        <v>DELETE</v>
      </c>
      <c r="T1962" s="425"/>
    </row>
    <row r="1963" spans="2:26" ht="31.5" customHeight="1" x14ac:dyDescent="0.45">
      <c r="B1963" s="388"/>
      <c r="C1963" s="411" t="str">
        <f>IF((Y1963+Z1963)=3,"PROFIT/(LOSS) BEFORE TAXATION",(IF((Y1963+Z1963=4),"PROFIT BEFORE TAXATION","LOSS BEFORE TAXATION")))</f>
        <v>PROFIT BEFORE TAXATION</v>
      </c>
      <c r="J1963" s="370"/>
      <c r="K1963" s="370"/>
      <c r="L1963" s="370"/>
      <c r="M1963" s="434">
        <f>SUM(S1822:S1962)</f>
        <v>0</v>
      </c>
      <c r="N1963" s="390"/>
      <c r="O1963" s="434">
        <f>SUM(U1822:U1962)</f>
        <v>0</v>
      </c>
      <c r="P1963" s="380"/>
      <c r="Q1963" s="389"/>
      <c r="R1963" s="416" t="str">
        <f t="shared" si="139"/>
        <v>DELETE</v>
      </c>
      <c r="T1963" s="425"/>
      <c r="V1963" s="417" t="b">
        <f>M1963=M307</f>
        <v>1</v>
      </c>
      <c r="X1963" s="417" t="b">
        <f>O1963=O307</f>
        <v>1</v>
      </c>
      <c r="Y1963" s="417">
        <f>IF(M1963&lt;0,1,IF(M1963=0,IF(O1963&lt;0,1,2),2))</f>
        <v>2</v>
      </c>
      <c r="Z1963" s="417">
        <f>IF(O1963&lt;0,1,IF(O1963=0,IF(M1963&lt;0,1,2),2))</f>
        <v>2</v>
      </c>
    </row>
    <row r="1964" spans="2:26" ht="9" customHeight="1" thickBot="1" x14ac:dyDescent="0.5">
      <c r="B1964" s="388"/>
      <c r="C1964" s="369"/>
      <c r="J1964" s="370"/>
      <c r="K1964" s="370"/>
      <c r="L1964" s="370"/>
      <c r="M1964" s="439"/>
      <c r="N1964" s="393"/>
      <c r="O1964" s="439"/>
      <c r="P1964" s="380"/>
      <c r="Q1964" s="389"/>
      <c r="R1964" s="416" t="str">
        <f t="shared" si="139"/>
        <v>DELETE</v>
      </c>
      <c r="T1964" s="425"/>
    </row>
    <row r="1965" spans="2:26" ht="9" customHeight="1" thickTop="1" x14ac:dyDescent="0.45">
      <c r="B1965" s="388"/>
      <c r="C1965" s="369"/>
      <c r="J1965" s="370"/>
      <c r="K1965" s="370"/>
      <c r="L1965" s="370"/>
      <c r="M1965" s="441"/>
      <c r="N1965" s="400"/>
      <c r="O1965" s="441"/>
      <c r="P1965" s="380"/>
      <c r="Q1965" s="389"/>
      <c r="R1965" s="416" t="str">
        <f t="shared" si="139"/>
        <v>DELETE</v>
      </c>
      <c r="T1965" s="425"/>
    </row>
    <row r="1966" spans="2:26" ht="31.5" customHeight="1" x14ac:dyDescent="0.45">
      <c r="B1966" s="388"/>
      <c r="C1966" s="369"/>
      <c r="J1966" s="370"/>
      <c r="K1966" s="370"/>
      <c r="L1966" s="370"/>
      <c r="M1966" s="434"/>
      <c r="N1966" s="390"/>
      <c r="O1966" s="434"/>
      <c r="P1966" s="380"/>
      <c r="Q1966" s="389"/>
      <c r="R1966" s="416" t="str">
        <f t="shared" si="139"/>
        <v>DELETE</v>
      </c>
      <c r="T1966" s="425"/>
    </row>
    <row r="1967" spans="2:26" ht="31.5" customHeight="1" x14ac:dyDescent="0.45">
      <c r="B1967" s="388"/>
      <c r="C1967" s="369"/>
      <c r="J1967" s="370"/>
      <c r="K1967" s="370"/>
      <c r="L1967" s="370"/>
      <c r="M1967" s="434"/>
      <c r="N1967" s="390"/>
      <c r="O1967" s="434"/>
      <c r="P1967" s="380"/>
      <c r="Q1967" s="389"/>
      <c r="R1967" s="416" t="str">
        <f t="shared" si="139"/>
        <v>DELETE</v>
      </c>
      <c r="T1967" s="425"/>
    </row>
    <row r="1968" spans="2:26" ht="31.5" customHeight="1" x14ac:dyDescent="0.45">
      <c r="B1968" s="396"/>
      <c r="C1968" s="383"/>
      <c r="D1968" s="383"/>
      <c r="E1968" s="383"/>
      <c r="F1968" s="383"/>
      <c r="G1968" s="383"/>
      <c r="H1968" s="383"/>
      <c r="I1968" s="383"/>
      <c r="J1968" s="383"/>
      <c r="K1968" s="383"/>
      <c r="L1968" s="383"/>
      <c r="M1968" s="482"/>
      <c r="N1968" s="483"/>
      <c r="O1968" s="482"/>
      <c r="P1968" s="475"/>
      <c r="Q1968" s="398"/>
      <c r="R1968" s="416" t="str">
        <f t="shared" si="139"/>
        <v>DELETE</v>
      </c>
      <c r="T1968" s="425"/>
    </row>
    <row r="1969" spans="2:26" ht="31.5" customHeight="1" x14ac:dyDescent="0.45">
      <c r="M1969" s="479"/>
      <c r="N1969" s="469"/>
      <c r="O1969" s="479"/>
      <c r="R1969" s="416" t="str">
        <f t="shared" si="139"/>
        <v>DELETE</v>
      </c>
      <c r="T1969" s="425"/>
    </row>
    <row r="1970" spans="2:26" ht="31.5" customHeight="1" x14ac:dyDescent="0.45">
      <c r="M1970" s="479"/>
      <c r="N1970" s="469"/>
      <c r="O1970" s="479"/>
      <c r="R1970" s="416" t="str">
        <f>IF(SUM(U1822:U1826)+SUM(U1842:U1851)+SUM(U1948:U1955)+O1963=0,IF(SUM(S1982:S1984)+SUM(S2002:S2009)+SUM(S2108:S2115)+O2123=0,"DELETE"," "),"DELETE")</f>
        <v>DELETE</v>
      </c>
      <c r="T1970" s="425"/>
      <c r="V1970" s="420"/>
      <c r="W1970" s="420"/>
      <c r="X1970" s="420"/>
      <c r="Y1970" s="425"/>
    </row>
    <row r="1971" spans="2:26" ht="31.5" customHeight="1" x14ac:dyDescent="0.45">
      <c r="D1971" s="369" t="s">
        <v>498</v>
      </c>
      <c r="M1971" s="479"/>
      <c r="N1971" s="469"/>
      <c r="O1971" s="479"/>
      <c r="R1971" s="416" t="str">
        <f t="shared" ref="R1971:R1981" si="140">R$1970</f>
        <v>DELETE</v>
      </c>
      <c r="T1971" s="425"/>
      <c r="V1971" s="419"/>
      <c r="X1971" s="419"/>
      <c r="Z1971" s="419"/>
    </row>
    <row r="1972" spans="2:26" ht="31.5" customHeight="1" x14ac:dyDescent="0.45">
      <c r="M1972" s="479"/>
      <c r="N1972" s="469"/>
      <c r="O1972" s="479"/>
      <c r="R1972" s="416" t="str">
        <f t="shared" si="140"/>
        <v>DELETE</v>
      </c>
      <c r="T1972" s="425"/>
    </row>
    <row r="1973" spans="2:26" ht="31.5" customHeight="1" x14ac:dyDescent="0.45">
      <c r="D1973" s="369" t="str">
        <f>Criteria!E9</f>
        <v>ABC TRUST</v>
      </c>
      <c r="M1973" s="479"/>
      <c r="N1973" s="469"/>
      <c r="O1973" s="434" t="s">
        <v>105</v>
      </c>
      <c r="Q1973" s="370">
        <v>1</v>
      </c>
      <c r="R1973" s="416" t="str">
        <f t="shared" si="140"/>
        <v>DELETE</v>
      </c>
      <c r="T1973" s="425"/>
    </row>
    <row r="1974" spans="2:26" ht="31.5" customHeight="1" x14ac:dyDescent="0.45">
      <c r="D1974" s="369" t="str">
        <f>CONCATENATE("T/A ",Criteria!E14)</f>
        <v>T/A SEAFRONT RESTAURANT</v>
      </c>
      <c r="M1974" s="479"/>
      <c r="N1974" s="469"/>
      <c r="O1974" s="479"/>
      <c r="R1974" s="416" t="str">
        <f t="shared" si="140"/>
        <v>DELETE</v>
      </c>
      <c r="T1974" s="425"/>
    </row>
    <row r="1975" spans="2:26" ht="31.5" customHeight="1" x14ac:dyDescent="0.45">
      <c r="M1975" s="479"/>
      <c r="N1975" s="469"/>
      <c r="O1975" s="479"/>
      <c r="R1975" s="416" t="str">
        <f t="shared" si="140"/>
        <v>DELETE</v>
      </c>
      <c r="T1975" s="425"/>
    </row>
    <row r="1976" spans="2:26" ht="31.5" customHeight="1" x14ac:dyDescent="0.45">
      <c r="D1976" s="369" t="s">
        <v>100</v>
      </c>
      <c r="M1976" s="479"/>
      <c r="N1976" s="469"/>
      <c r="O1976" s="479"/>
      <c r="R1976" s="416" t="str">
        <f t="shared" si="140"/>
        <v>DELETE</v>
      </c>
      <c r="T1976" s="425"/>
    </row>
    <row r="1977" spans="2:26" ht="31.5" customHeight="1" x14ac:dyDescent="0.45">
      <c r="D1977" s="369" t="str">
        <f>Criteria!E20</f>
        <v>29 FEBRUARY 2024</v>
      </c>
      <c r="M1977" s="479"/>
      <c r="N1977" s="469"/>
      <c r="O1977" s="479"/>
      <c r="R1977" s="416" t="str">
        <f t="shared" si="140"/>
        <v>DELETE</v>
      </c>
      <c r="T1977" s="425"/>
    </row>
    <row r="1978" spans="2:26" ht="31.5" customHeight="1" x14ac:dyDescent="0.45">
      <c r="M1978" s="479"/>
      <c r="N1978" s="469"/>
      <c r="O1978" s="479"/>
      <c r="R1978" s="416" t="str">
        <f t="shared" si="140"/>
        <v>DELETE</v>
      </c>
      <c r="T1978" s="425"/>
    </row>
    <row r="1979" spans="2:26" ht="31.5" customHeight="1" x14ac:dyDescent="0.45">
      <c r="B1979" s="385"/>
      <c r="C1979" s="386"/>
      <c r="D1979" s="386"/>
      <c r="E1979" s="386"/>
      <c r="F1979" s="386"/>
      <c r="G1979" s="386"/>
      <c r="H1979" s="386"/>
      <c r="I1979" s="386"/>
      <c r="J1979" s="386"/>
      <c r="K1979" s="386"/>
      <c r="L1979" s="386"/>
      <c r="M1979" s="484"/>
      <c r="N1979" s="485"/>
      <c r="O1979" s="484"/>
      <c r="P1979" s="481"/>
      <c r="Q1979" s="387"/>
      <c r="R1979" s="416" t="str">
        <f t="shared" si="140"/>
        <v>DELETE</v>
      </c>
      <c r="T1979" s="425"/>
    </row>
    <row r="1980" spans="2:26" ht="31.5" customHeight="1" x14ac:dyDescent="0.45">
      <c r="B1980" s="388"/>
      <c r="J1980" s="370"/>
      <c r="K1980" s="370" t="s">
        <v>113</v>
      </c>
      <c r="L1980" s="372"/>
      <c r="M1980" s="37"/>
      <c r="N1980" s="370"/>
      <c r="O1980" s="430">
        <f>Criteria!E22</f>
        <v>2024</v>
      </c>
      <c r="P1980" s="380"/>
      <c r="Q1980" s="389"/>
      <c r="R1980" s="416" t="str">
        <f t="shared" si="140"/>
        <v>DELETE</v>
      </c>
      <c r="T1980" s="425"/>
    </row>
    <row r="1981" spans="2:26" ht="31.5" customHeight="1" x14ac:dyDescent="0.45">
      <c r="B1981" s="388"/>
      <c r="J1981" s="370"/>
      <c r="K1981" s="370"/>
      <c r="L1981" s="372"/>
      <c r="M1981" s="37"/>
      <c r="N1981" s="370"/>
      <c r="O1981" s="434"/>
      <c r="P1981" s="380"/>
      <c r="Q1981" s="389"/>
      <c r="R1981" s="416" t="str">
        <f t="shared" si="140"/>
        <v>DELETE</v>
      </c>
      <c r="T1981" s="425"/>
    </row>
    <row r="1982" spans="2:26" ht="31.5" customHeight="1" x14ac:dyDescent="0.45">
      <c r="B1982" s="388"/>
      <c r="C1982" s="369" t="s">
        <v>1044</v>
      </c>
      <c r="J1982" s="370"/>
      <c r="K1982" s="370"/>
      <c r="L1982" s="372"/>
      <c r="M1982" s="37"/>
      <c r="N1982" s="370"/>
      <c r="O1982" s="434">
        <f>-SUM(TrialBalanceA!I6:I7)</f>
        <v>0</v>
      </c>
      <c r="P1982" s="380"/>
      <c r="Q1982" s="389"/>
      <c r="R1982" s="416" t="str">
        <f>IF(R1970="DELETE","DELETE",IF(O1982=0,IF(O1984=0," ","DELETE")," "))</f>
        <v>DELETE</v>
      </c>
      <c r="S1982" s="421">
        <f>O1982</f>
        <v>0</v>
      </c>
      <c r="T1982" s="425"/>
      <c r="U1982" s="421"/>
      <c r="V1982" s="421"/>
      <c r="W1982" s="421"/>
      <c r="X1982" s="421"/>
    </row>
    <row r="1983" spans="2:26" ht="31.5" customHeight="1" x14ac:dyDescent="0.45">
      <c r="B1983" s="388"/>
      <c r="C1983" s="369"/>
      <c r="J1983" s="370"/>
      <c r="K1983" s="370"/>
      <c r="L1983" s="372"/>
      <c r="M1983" s="37"/>
      <c r="N1983" s="370"/>
      <c r="O1983" s="434"/>
      <c r="P1983" s="380"/>
      <c r="Q1983" s="389"/>
      <c r="R1983" s="416" t="str">
        <f>R1982</f>
        <v>DELETE</v>
      </c>
      <c r="S1983" s="421"/>
      <c r="T1983" s="425"/>
      <c r="U1983" s="421"/>
      <c r="V1983" s="421"/>
      <c r="W1983" s="421"/>
      <c r="X1983" s="421"/>
    </row>
    <row r="1984" spans="2:26" ht="31.5" customHeight="1" x14ac:dyDescent="0.45">
      <c r="B1984" s="388"/>
      <c r="C1984" s="369" t="s">
        <v>497</v>
      </c>
      <c r="J1984" s="370"/>
      <c r="K1984" s="370"/>
      <c r="L1984" s="372"/>
      <c r="M1984" s="37"/>
      <c r="N1984" s="370"/>
      <c r="O1984" s="434">
        <f>-TrialBalanceA!I8</f>
        <v>0</v>
      </c>
      <c r="P1984" s="380"/>
      <c r="Q1984" s="389"/>
      <c r="R1984" s="416" t="str">
        <f>IF(R$1970="DELETE","DELETE",IF(O1984=0,"DELETE"," "))</f>
        <v>DELETE</v>
      </c>
      <c r="S1984" s="421">
        <f>O1984</f>
        <v>0</v>
      </c>
      <c r="T1984" s="425"/>
      <c r="U1984" s="421"/>
      <c r="V1984" s="421"/>
      <c r="W1984" s="421"/>
      <c r="X1984" s="421"/>
    </row>
    <row r="1985" spans="2:24" ht="31.5" customHeight="1" x14ac:dyDescent="0.45">
      <c r="B1985" s="388"/>
      <c r="C1985" s="369"/>
      <c r="J1985" s="370"/>
      <c r="K1985" s="370"/>
      <c r="L1985" s="372"/>
      <c r="M1985" s="37"/>
      <c r="N1985" s="370"/>
      <c r="O1985" s="434"/>
      <c r="P1985" s="380"/>
      <c r="Q1985" s="389"/>
      <c r="R1985" s="416" t="str">
        <f>R1984</f>
        <v>DELETE</v>
      </c>
      <c r="T1985" s="425"/>
    </row>
    <row r="1986" spans="2:24" ht="31.5" customHeight="1" x14ac:dyDescent="0.45">
      <c r="B1986" s="388"/>
      <c r="C1986" s="369" t="s">
        <v>275</v>
      </c>
      <c r="J1986" s="370"/>
      <c r="K1986" s="370"/>
      <c r="L1986" s="372"/>
      <c r="M1986" s="37"/>
      <c r="N1986" s="370"/>
      <c r="O1986" s="434">
        <f>SUM(O1989:O1996)</f>
        <v>0</v>
      </c>
      <c r="P1986" s="380"/>
      <c r="Q1986" s="389"/>
      <c r="R1986" s="416" t="str">
        <f>IF(R$1970="DELETE","DELETE",IF(O1986=0,"DELETE"," "))</f>
        <v>DELETE</v>
      </c>
      <c r="S1986" s="421">
        <f>-O1986</f>
        <v>0</v>
      </c>
      <c r="T1986" s="425"/>
      <c r="U1986" s="421"/>
      <c r="V1986" s="421"/>
      <c r="W1986" s="421"/>
      <c r="X1986" s="421"/>
    </row>
    <row r="1987" spans="2:24" ht="9" customHeight="1" x14ac:dyDescent="0.45">
      <c r="B1987" s="388"/>
      <c r="C1987" s="369"/>
      <c r="J1987" s="370"/>
      <c r="K1987" s="370"/>
      <c r="L1987" s="372"/>
      <c r="M1987" s="37"/>
      <c r="N1987" s="370"/>
      <c r="O1987" s="434"/>
      <c r="P1987" s="380"/>
      <c r="Q1987" s="389"/>
      <c r="R1987" s="416" t="str">
        <f>R1986</f>
        <v>DELETE</v>
      </c>
      <c r="T1987" s="425"/>
    </row>
    <row r="1988" spans="2:24" ht="9" customHeight="1" x14ac:dyDescent="0.45">
      <c r="B1988" s="388"/>
      <c r="C1988" s="369"/>
      <c r="J1988" s="370"/>
      <c r="K1988" s="370"/>
      <c r="L1988" s="372"/>
      <c r="M1988" s="37"/>
      <c r="N1988" s="370"/>
      <c r="O1988" s="455"/>
      <c r="P1988" s="380"/>
      <c r="Q1988" s="389"/>
      <c r="R1988" s="416" t="str">
        <f>R1987</f>
        <v>DELETE</v>
      </c>
      <c r="T1988" s="425"/>
    </row>
    <row r="1989" spans="2:24" ht="31.5" customHeight="1" x14ac:dyDescent="0.45">
      <c r="B1989" s="388"/>
      <c r="C1989" s="369"/>
      <c r="D1989" s="368" t="s">
        <v>499</v>
      </c>
      <c r="J1989" s="370"/>
      <c r="K1989" s="370"/>
      <c r="L1989" s="372"/>
      <c r="M1989" s="37"/>
      <c r="N1989" s="370"/>
      <c r="O1989" s="456">
        <f>SUM(TrialBalanceA!I10:I13)</f>
        <v>0</v>
      </c>
      <c r="P1989" s="380"/>
      <c r="Q1989" s="389"/>
      <c r="R1989" s="416" t="str">
        <f t="shared" ref="R1989:R1996" si="141">IF(R$1970="DELETE","DELETE",IF(O1989=0,"DELETE"," "))</f>
        <v>DELETE</v>
      </c>
      <c r="T1989" s="425"/>
    </row>
    <row r="1990" spans="2:24" ht="31.5" customHeight="1" x14ac:dyDescent="0.45">
      <c r="B1990" s="388"/>
      <c r="C1990" s="369"/>
      <c r="D1990" s="368" t="s">
        <v>276</v>
      </c>
      <c r="J1990" s="370"/>
      <c r="K1990" s="370"/>
      <c r="L1990" s="372"/>
      <c r="M1990" s="37"/>
      <c r="N1990" s="370"/>
      <c r="O1990" s="456">
        <f>TrialBalanceA!I14</f>
        <v>0</v>
      </c>
      <c r="P1990" s="380"/>
      <c r="Q1990" s="389"/>
      <c r="R1990" s="416" t="str">
        <f t="shared" si="141"/>
        <v>DELETE</v>
      </c>
      <c r="T1990" s="425"/>
    </row>
    <row r="1991" spans="2:24" ht="31.5" customHeight="1" x14ac:dyDescent="0.45">
      <c r="B1991" s="388"/>
      <c r="C1991" s="369"/>
      <c r="D1991" s="368">
        <f>TrialBalanceA!C15</f>
        <v>0</v>
      </c>
      <c r="J1991" s="370"/>
      <c r="K1991" s="370"/>
      <c r="L1991" s="372"/>
      <c r="M1991" s="37"/>
      <c r="N1991" s="370"/>
      <c r="O1991" s="456">
        <f>TrialBalanceA!I15</f>
        <v>0</v>
      </c>
      <c r="P1991" s="380"/>
      <c r="Q1991" s="389"/>
      <c r="R1991" s="416" t="str">
        <f t="shared" si="141"/>
        <v>DELETE</v>
      </c>
      <c r="T1991" s="425"/>
    </row>
    <row r="1992" spans="2:24" ht="31.5" customHeight="1" x14ac:dyDescent="0.45">
      <c r="B1992" s="388"/>
      <c r="C1992" s="369"/>
      <c r="D1992" s="368">
        <f>TrialBalanceA!C16</f>
        <v>0</v>
      </c>
      <c r="J1992" s="370"/>
      <c r="K1992" s="370"/>
      <c r="L1992" s="372"/>
      <c r="M1992" s="37"/>
      <c r="N1992" s="370"/>
      <c r="O1992" s="456">
        <f>TrialBalanceA!I16</f>
        <v>0</v>
      </c>
      <c r="P1992" s="380"/>
      <c r="Q1992" s="389"/>
      <c r="R1992" s="416" t="str">
        <f t="shared" si="141"/>
        <v>DELETE</v>
      </c>
      <c r="T1992" s="425"/>
    </row>
    <row r="1993" spans="2:24" ht="31.5" customHeight="1" x14ac:dyDescent="0.45">
      <c r="B1993" s="388"/>
      <c r="C1993" s="369"/>
      <c r="D1993" s="368">
        <f>TrialBalanceA!C17</f>
        <v>0</v>
      </c>
      <c r="J1993" s="370"/>
      <c r="K1993" s="370"/>
      <c r="L1993" s="372"/>
      <c r="M1993" s="37"/>
      <c r="N1993" s="370"/>
      <c r="O1993" s="456">
        <f>TrialBalanceA!I17</f>
        <v>0</v>
      </c>
      <c r="P1993" s="380"/>
      <c r="Q1993" s="389"/>
      <c r="R1993" s="416" t="str">
        <f t="shared" si="141"/>
        <v>DELETE</v>
      </c>
      <c r="T1993" s="425"/>
    </row>
    <row r="1994" spans="2:24" ht="31.5" customHeight="1" x14ac:dyDescent="0.45">
      <c r="B1994" s="388"/>
      <c r="C1994" s="369"/>
      <c r="D1994" s="368">
        <f>TrialBalanceA!C18</f>
        <v>0</v>
      </c>
      <c r="J1994" s="370"/>
      <c r="K1994" s="370"/>
      <c r="L1994" s="372"/>
      <c r="M1994" s="37"/>
      <c r="N1994" s="370"/>
      <c r="O1994" s="456">
        <f>TrialBalanceA!I18</f>
        <v>0</v>
      </c>
      <c r="P1994" s="380"/>
      <c r="Q1994" s="389"/>
      <c r="R1994" s="416" t="str">
        <f t="shared" si="141"/>
        <v>DELETE</v>
      </c>
      <c r="T1994" s="425"/>
    </row>
    <row r="1995" spans="2:24" ht="31.5" customHeight="1" x14ac:dyDescent="0.45">
      <c r="B1995" s="388"/>
      <c r="C1995" s="369"/>
      <c r="D1995" s="368">
        <f>TrialBalanceA!C19</f>
        <v>0</v>
      </c>
      <c r="J1995" s="370"/>
      <c r="K1995" s="370"/>
      <c r="L1995" s="372"/>
      <c r="M1995" s="37"/>
      <c r="N1995" s="370"/>
      <c r="O1995" s="456">
        <f>TrialBalanceA!I19</f>
        <v>0</v>
      </c>
      <c r="P1995" s="380"/>
      <c r="Q1995" s="389"/>
      <c r="R1995" s="416" t="str">
        <f t="shared" si="141"/>
        <v>DELETE</v>
      </c>
      <c r="T1995" s="425"/>
    </row>
    <row r="1996" spans="2:24" ht="31.5" customHeight="1" x14ac:dyDescent="0.45">
      <c r="B1996" s="388"/>
      <c r="C1996" s="369"/>
      <c r="D1996" s="368" t="s">
        <v>500</v>
      </c>
      <c r="J1996" s="370"/>
      <c r="K1996" s="370"/>
      <c r="L1996" s="372"/>
      <c r="M1996" s="37"/>
      <c r="N1996" s="370"/>
      <c r="O1996" s="456">
        <f>SUM(TrialBalanceA!I20:I23)</f>
        <v>0</v>
      </c>
      <c r="P1996" s="380"/>
      <c r="Q1996" s="389"/>
      <c r="R1996" s="416" t="str">
        <f t="shared" si="141"/>
        <v>DELETE</v>
      </c>
      <c r="T1996" s="425"/>
    </row>
    <row r="1997" spans="2:24" ht="9" customHeight="1" x14ac:dyDescent="0.45">
      <c r="B1997" s="388"/>
      <c r="C1997" s="369"/>
      <c r="J1997" s="370"/>
      <c r="K1997" s="370"/>
      <c r="L1997" s="372"/>
      <c r="M1997" s="37"/>
      <c r="N1997" s="370"/>
      <c r="O1997" s="457"/>
      <c r="P1997" s="380"/>
      <c r="Q1997" s="389"/>
      <c r="R1997" s="416" t="str">
        <f>R1986</f>
        <v>DELETE</v>
      </c>
      <c r="T1997" s="425"/>
    </row>
    <row r="1998" spans="2:24" ht="9" customHeight="1" x14ac:dyDescent="0.45">
      <c r="B1998" s="388"/>
      <c r="C1998" s="369"/>
      <c r="J1998" s="370"/>
      <c r="K1998" s="370"/>
      <c r="L1998" s="372"/>
      <c r="M1998" s="37"/>
      <c r="N1998" s="370"/>
      <c r="O1998" s="438"/>
      <c r="P1998" s="380"/>
      <c r="Q1998" s="389"/>
      <c r="R1998" s="416" t="str">
        <f>R1986</f>
        <v>DELETE</v>
      </c>
      <c r="T1998" s="425"/>
    </row>
    <row r="1999" spans="2:24" ht="9" customHeight="1" x14ac:dyDescent="0.45">
      <c r="B1999" s="388"/>
      <c r="C1999" s="369"/>
      <c r="J1999" s="370"/>
      <c r="K1999" s="370"/>
      <c r="L1999" s="372"/>
      <c r="M1999" s="37"/>
      <c r="N1999" s="370"/>
      <c r="O1999" s="434"/>
      <c r="P1999" s="380"/>
      <c r="Q1999" s="389"/>
      <c r="R1999" s="416" t="str">
        <f>R1998</f>
        <v>DELETE</v>
      </c>
      <c r="T1999" s="425"/>
    </row>
    <row r="2000" spans="2:24" ht="31.5" customHeight="1" x14ac:dyDescent="0.45">
      <c r="B2000" s="388"/>
      <c r="C2000" s="411" t="str">
        <f>IF(O2000&lt;0,"GROSS LOSS","GROSS PROFIT")</f>
        <v>GROSS PROFIT</v>
      </c>
      <c r="J2000" s="370"/>
      <c r="K2000" s="370"/>
      <c r="L2000" s="372"/>
      <c r="M2000" s="37"/>
      <c r="N2000" s="370"/>
      <c r="O2000" s="434">
        <f>SUM(S1982:S1997)</f>
        <v>0</v>
      </c>
      <c r="P2000" s="380"/>
      <c r="Q2000" s="389"/>
      <c r="R2000" s="416" t="str">
        <f>R1999</f>
        <v>DELETE</v>
      </c>
      <c r="T2000" s="425"/>
    </row>
    <row r="2001" spans="2:24" ht="31.5" customHeight="1" x14ac:dyDescent="0.45">
      <c r="B2001" s="388"/>
      <c r="C2001" s="369"/>
      <c r="J2001" s="370"/>
      <c r="K2001" s="370"/>
      <c r="L2001" s="372"/>
      <c r="M2001" s="37"/>
      <c r="N2001" s="370"/>
      <c r="O2001" s="434"/>
      <c r="P2001" s="380"/>
      <c r="Q2001" s="389"/>
      <c r="R2001" s="416" t="str">
        <f>R2000</f>
        <v>DELETE</v>
      </c>
      <c r="T2001" s="425"/>
    </row>
    <row r="2002" spans="2:24" ht="31.5" customHeight="1" x14ac:dyDescent="0.45">
      <c r="B2002" s="388"/>
      <c r="C2002" s="369" t="s">
        <v>319</v>
      </c>
      <c r="J2002" s="370"/>
      <c r="K2002" s="370"/>
      <c r="L2002" s="372"/>
      <c r="M2002" s="37"/>
      <c r="N2002" s="370"/>
      <c r="O2002" s="434">
        <f>SUM(O2004:O2011)</f>
        <v>0</v>
      </c>
      <c r="P2002" s="380"/>
      <c r="Q2002" s="389"/>
      <c r="R2002" s="416" t="str">
        <f t="shared" ref="R2002" si="142">IF(R$1970="DELETE","DELETE",IF(O2002=0,"DELETE"," "))</f>
        <v>DELETE</v>
      </c>
      <c r="S2002" s="421">
        <f>O2002</f>
        <v>0</v>
      </c>
      <c r="T2002" s="425"/>
      <c r="U2002" s="421"/>
      <c r="V2002" s="421"/>
      <c r="W2002" s="421"/>
      <c r="X2002" s="421"/>
    </row>
    <row r="2003" spans="2:24" ht="9" customHeight="1" x14ac:dyDescent="0.45">
      <c r="B2003" s="388"/>
      <c r="C2003" s="369"/>
      <c r="J2003" s="370"/>
      <c r="K2003" s="370"/>
      <c r="L2003" s="372"/>
      <c r="M2003" s="37"/>
      <c r="N2003" s="370"/>
      <c r="O2003" s="434"/>
      <c r="P2003" s="380"/>
      <c r="Q2003" s="389"/>
      <c r="R2003" s="416" t="str">
        <f>R2002</f>
        <v>DELETE</v>
      </c>
      <c r="T2003" s="425"/>
    </row>
    <row r="2004" spans="2:24" ht="9" customHeight="1" x14ac:dyDescent="0.45">
      <c r="B2004" s="388"/>
      <c r="C2004" s="369"/>
      <c r="J2004" s="370"/>
      <c r="K2004" s="370"/>
      <c r="L2004" s="372"/>
      <c r="M2004" s="37"/>
      <c r="N2004" s="370"/>
      <c r="O2004" s="455"/>
      <c r="P2004" s="380"/>
      <c r="Q2004" s="389"/>
      <c r="R2004" s="416" t="str">
        <f>R2002</f>
        <v>DELETE</v>
      </c>
      <c r="T2004" s="425"/>
    </row>
    <row r="2005" spans="2:24" ht="31.5" customHeight="1" x14ac:dyDescent="0.45">
      <c r="B2005" s="388"/>
      <c r="C2005" s="369"/>
      <c r="D2005" s="368" t="str">
        <f>TrialBalanceA!C25</f>
        <v>Insurance claims - Seafront Restaurant</v>
      </c>
      <c r="J2005" s="370"/>
      <c r="K2005" s="370"/>
      <c r="L2005" s="372"/>
      <c r="M2005" s="37"/>
      <c r="N2005" s="370"/>
      <c r="O2005" s="456">
        <f>-TrialBalanceA!I25</f>
        <v>0</v>
      </c>
      <c r="P2005" s="380"/>
      <c r="Q2005" s="389"/>
      <c r="R2005" s="416" t="str">
        <f t="shared" ref="R2005:R2009" si="143">IF(R$1970="DELETE","DELETE",IF(O2005=0,"DELETE"," "))</f>
        <v>DELETE</v>
      </c>
      <c r="T2005" s="425"/>
    </row>
    <row r="2006" spans="2:24" ht="31.5" customHeight="1" x14ac:dyDescent="0.45">
      <c r="B2006" s="388"/>
      <c r="C2006" s="369"/>
      <c r="D2006" s="368" t="str">
        <f>TrialBalanceA!C26</f>
        <v>Government grants received</v>
      </c>
      <c r="J2006" s="370"/>
      <c r="K2006" s="370"/>
      <c r="L2006" s="372"/>
      <c r="M2006" s="37"/>
      <c r="N2006" s="370"/>
      <c r="O2006" s="456">
        <f>-TrialBalanceA!I26</f>
        <v>0</v>
      </c>
      <c r="P2006" s="380"/>
      <c r="Q2006" s="389"/>
      <c r="R2006" s="416" t="str">
        <f t="shared" si="143"/>
        <v>DELETE</v>
      </c>
      <c r="T2006" s="425"/>
    </row>
    <row r="2007" spans="2:24" ht="31.5" customHeight="1" x14ac:dyDescent="0.45">
      <c r="B2007" s="388"/>
      <c r="C2007" s="369"/>
      <c r="D2007" s="368">
        <f>TrialBalanceA!C27</f>
        <v>0</v>
      </c>
      <c r="J2007" s="370"/>
      <c r="K2007" s="370"/>
      <c r="L2007" s="372"/>
      <c r="M2007" s="37"/>
      <c r="N2007" s="370"/>
      <c r="O2007" s="456">
        <f>-TrialBalanceA!I27</f>
        <v>0</v>
      </c>
      <c r="P2007" s="380"/>
      <c r="Q2007" s="389"/>
      <c r="R2007" s="416" t="str">
        <f t="shared" si="143"/>
        <v>DELETE</v>
      </c>
      <c r="T2007" s="425"/>
    </row>
    <row r="2008" spans="2:24" ht="31.5" customHeight="1" x14ac:dyDescent="0.45">
      <c r="B2008" s="388"/>
      <c r="C2008" s="369"/>
      <c r="D2008" s="368">
        <f>TrialBalanceA!C28</f>
        <v>0</v>
      </c>
      <c r="J2008" s="370"/>
      <c r="K2008" s="370"/>
      <c r="L2008" s="372"/>
      <c r="M2008" s="37"/>
      <c r="N2008" s="370"/>
      <c r="O2008" s="456">
        <f>-TrialBalanceA!I28</f>
        <v>0</v>
      </c>
      <c r="P2008" s="380"/>
      <c r="Q2008" s="389"/>
      <c r="R2008" s="416" t="str">
        <f t="shared" si="143"/>
        <v>DELETE</v>
      </c>
      <c r="T2008" s="425"/>
    </row>
    <row r="2009" spans="2:24" ht="31.5" customHeight="1" x14ac:dyDescent="0.45">
      <c r="B2009" s="388"/>
      <c r="C2009" s="369"/>
      <c r="D2009" s="368">
        <f>TrialBalanceA!C29</f>
        <v>0</v>
      </c>
      <c r="J2009" s="370"/>
      <c r="K2009" s="370"/>
      <c r="L2009" s="372"/>
      <c r="M2009" s="37"/>
      <c r="N2009" s="370"/>
      <c r="O2009" s="456">
        <f>-TrialBalanceA!I29</f>
        <v>0</v>
      </c>
      <c r="P2009" s="380"/>
      <c r="Q2009" s="389"/>
      <c r="R2009" s="416" t="str">
        <f t="shared" si="143"/>
        <v>DELETE</v>
      </c>
      <c r="T2009" s="425"/>
    </row>
    <row r="2010" spans="2:24" ht="31.5" customHeight="1" x14ac:dyDescent="0.45">
      <c r="B2010" s="388"/>
      <c r="C2010" s="369"/>
      <c r="D2010" s="368" t="str">
        <f>TrialBalanceA!C30</f>
        <v>Recoupment of depreciation</v>
      </c>
      <c r="J2010" s="370"/>
      <c r="K2010" s="370"/>
      <c r="L2010" s="372"/>
      <c r="M2010" s="37"/>
      <c r="N2010" s="370"/>
      <c r="O2010" s="456">
        <f>-TrialBalanceA!I30</f>
        <v>0</v>
      </c>
      <c r="P2010" s="380"/>
      <c r="Q2010" s="389"/>
      <c r="R2010" s="416" t="str">
        <f t="shared" ref="R2010" si="144">IF(R$1970="DELETE","DELETE",IF(O2010=0,"DELETE"," "))</f>
        <v>DELETE</v>
      </c>
      <c r="T2010" s="425"/>
    </row>
    <row r="2011" spans="2:24" ht="9" customHeight="1" x14ac:dyDescent="0.45">
      <c r="B2011" s="388"/>
      <c r="C2011" s="369"/>
      <c r="J2011" s="370"/>
      <c r="K2011" s="370"/>
      <c r="L2011" s="372"/>
      <c r="M2011" s="37"/>
      <c r="N2011" s="370"/>
      <c r="O2011" s="457"/>
      <c r="P2011" s="380"/>
      <c r="Q2011" s="389"/>
      <c r="R2011" s="416" t="str">
        <f>R2002</f>
        <v>DELETE</v>
      </c>
      <c r="T2011" s="425"/>
    </row>
    <row r="2012" spans="2:24" ht="9" customHeight="1" x14ac:dyDescent="0.45">
      <c r="B2012" s="388"/>
      <c r="C2012" s="369"/>
      <c r="J2012" s="370"/>
      <c r="K2012" s="370"/>
      <c r="L2012" s="372"/>
      <c r="M2012" s="37"/>
      <c r="N2012" s="370"/>
      <c r="O2012" s="447"/>
      <c r="P2012" s="380"/>
      <c r="Q2012" s="389"/>
      <c r="R2012" s="416" t="str">
        <f>R2011</f>
        <v>DELETE</v>
      </c>
      <c r="T2012" s="425"/>
    </row>
    <row r="2013" spans="2:24" ht="9" customHeight="1" x14ac:dyDescent="0.45">
      <c r="B2013" s="388"/>
      <c r="C2013" s="369"/>
      <c r="J2013" s="370"/>
      <c r="K2013" s="370"/>
      <c r="L2013" s="372"/>
      <c r="M2013" s="37"/>
      <c r="N2013" s="370"/>
      <c r="O2013" s="434"/>
      <c r="P2013" s="380"/>
      <c r="Q2013" s="389"/>
      <c r="R2013" s="416" t="str">
        <f>R2012</f>
        <v>DELETE</v>
      </c>
      <c r="T2013" s="425"/>
    </row>
    <row r="2014" spans="2:24" ht="31.5" customHeight="1" x14ac:dyDescent="0.45">
      <c r="B2014" s="388"/>
      <c r="C2014" s="369"/>
      <c r="J2014" s="370"/>
      <c r="K2014" s="370"/>
      <c r="L2014" s="372"/>
      <c r="M2014" s="37"/>
      <c r="N2014" s="370"/>
      <c r="O2014" s="434">
        <f>SUM(S1982:S2002)</f>
        <v>0</v>
      </c>
      <c r="P2014" s="380"/>
      <c r="Q2014" s="389"/>
      <c r="R2014" s="416" t="str">
        <f>R2002</f>
        <v>DELETE</v>
      </c>
      <c r="T2014" s="425"/>
    </row>
    <row r="2015" spans="2:24" ht="31.5" customHeight="1" x14ac:dyDescent="0.45">
      <c r="B2015" s="388"/>
      <c r="C2015" s="369"/>
      <c r="J2015" s="370"/>
      <c r="K2015" s="370"/>
      <c r="L2015" s="372"/>
      <c r="M2015" s="37"/>
      <c r="N2015" s="370"/>
      <c r="O2015" s="434"/>
      <c r="P2015" s="380"/>
      <c r="Q2015" s="389"/>
      <c r="R2015" s="416" t="str">
        <f>R2014</f>
        <v>DELETE</v>
      </c>
      <c r="T2015" s="425"/>
    </row>
    <row r="2016" spans="2:24" ht="31.5" customHeight="1" x14ac:dyDescent="0.45">
      <c r="B2016" s="388"/>
      <c r="C2016" s="369" t="s">
        <v>1051</v>
      </c>
      <c r="J2016" s="370"/>
      <c r="K2016" s="370"/>
      <c r="L2016" s="372"/>
      <c r="M2016" s="37"/>
      <c r="N2016" s="370"/>
      <c r="O2016" s="434">
        <f>SUM(O2018:O2046)</f>
        <v>0</v>
      </c>
      <c r="P2016" s="380"/>
      <c r="Q2016" s="389"/>
      <c r="R2016" s="416" t="str">
        <f t="shared" ref="R2016" si="145">IF(R$1970="DELETE","DELETE",IF(O2016=0,"DELETE"," "))</f>
        <v>DELETE</v>
      </c>
      <c r="S2016" s="421">
        <f>-O2016</f>
        <v>0</v>
      </c>
      <c r="T2016" s="425"/>
      <c r="U2016" s="421"/>
      <c r="V2016" s="421"/>
      <c r="W2016" s="421"/>
      <c r="X2016" s="421"/>
    </row>
    <row r="2017" spans="2:24" ht="9" customHeight="1" x14ac:dyDescent="0.45">
      <c r="B2017" s="388"/>
      <c r="C2017" s="369"/>
      <c r="J2017" s="370"/>
      <c r="K2017" s="370"/>
      <c r="L2017" s="372"/>
      <c r="M2017" s="37"/>
      <c r="N2017" s="370"/>
      <c r="O2017" s="434"/>
      <c r="P2017" s="380"/>
      <c r="Q2017" s="389"/>
      <c r="R2017" s="416" t="str">
        <f>R2016</f>
        <v>DELETE</v>
      </c>
      <c r="T2017" s="425"/>
    </row>
    <row r="2018" spans="2:24" ht="9" customHeight="1" x14ac:dyDescent="0.45">
      <c r="B2018" s="388"/>
      <c r="C2018" s="369"/>
      <c r="J2018" s="370"/>
      <c r="K2018" s="370"/>
      <c r="L2018" s="372"/>
      <c r="M2018" s="37"/>
      <c r="N2018" s="370"/>
      <c r="O2018" s="455"/>
      <c r="P2018" s="380"/>
      <c r="Q2018" s="389"/>
      <c r="R2018" s="416" t="str">
        <f>R2017</f>
        <v>DELETE</v>
      </c>
      <c r="T2018" s="425"/>
    </row>
    <row r="2019" spans="2:24" ht="31.5" customHeight="1" x14ac:dyDescent="0.45">
      <c r="B2019" s="388"/>
      <c r="C2019" s="369"/>
      <c r="D2019" s="368" t="s">
        <v>277</v>
      </c>
      <c r="J2019" s="370"/>
      <c r="K2019" s="370"/>
      <c r="L2019" s="372"/>
      <c r="M2019" s="37"/>
      <c r="N2019" s="370"/>
      <c r="O2019" s="456">
        <f>TrialBalanceA!I37</f>
        <v>0</v>
      </c>
      <c r="P2019" s="380"/>
      <c r="Q2019" s="389"/>
      <c r="R2019" s="416" t="str">
        <f t="shared" ref="R2019:R2045" si="146">IF(R$1970="DELETE","DELETE",IF(O2019=0,"DELETE"," "))</f>
        <v>DELETE</v>
      </c>
      <c r="T2019" s="425"/>
    </row>
    <row r="2020" spans="2:24" ht="31.5" customHeight="1" x14ac:dyDescent="0.45">
      <c r="B2020" s="388"/>
      <c r="C2020" s="369"/>
      <c r="D2020" s="368" t="s">
        <v>703</v>
      </c>
      <c r="J2020" s="370"/>
      <c r="K2020" s="370"/>
      <c r="L2020" s="372"/>
      <c r="M2020" s="37"/>
      <c r="N2020" s="370"/>
      <c r="O2020" s="456">
        <f>TrialBalanceA!I38</f>
        <v>0</v>
      </c>
      <c r="P2020" s="380"/>
      <c r="Q2020" s="389"/>
      <c r="R2020" s="416" t="str">
        <f t="shared" si="146"/>
        <v>DELETE</v>
      </c>
      <c r="T2020" s="425"/>
    </row>
    <row r="2021" spans="2:24" ht="31.5" customHeight="1" x14ac:dyDescent="0.45">
      <c r="B2021" s="388"/>
      <c r="C2021" s="369"/>
      <c r="D2021" s="368" t="s">
        <v>278</v>
      </c>
      <c r="J2021" s="370"/>
      <c r="K2021" s="370"/>
      <c r="L2021" s="372"/>
      <c r="M2021" s="37"/>
      <c r="N2021" s="370"/>
      <c r="O2021" s="456">
        <f>TrialBalanceA!I39</f>
        <v>0</v>
      </c>
      <c r="P2021" s="380"/>
      <c r="Q2021" s="389"/>
      <c r="R2021" s="416" t="str">
        <f t="shared" si="146"/>
        <v>DELETE</v>
      </c>
      <c r="T2021" s="425"/>
    </row>
    <row r="2022" spans="2:24" ht="31.5" customHeight="1" x14ac:dyDescent="0.45">
      <c r="B2022" s="388"/>
      <c r="C2022" s="369"/>
      <c r="D2022" s="368" t="s">
        <v>279</v>
      </c>
      <c r="J2022" s="370"/>
      <c r="K2022" s="370">
        <f>C$747</f>
        <v>6.2999999999999989</v>
      </c>
      <c r="L2022" s="372"/>
      <c r="M2022" s="37"/>
      <c r="N2022" s="370"/>
      <c r="O2022" s="456">
        <f>SUM(TrialBalanceA!I41:I43)</f>
        <v>0</v>
      </c>
      <c r="P2022" s="380"/>
      <c r="Q2022" s="389"/>
      <c r="R2022" s="416" t="str">
        <f t="shared" si="146"/>
        <v>DELETE</v>
      </c>
      <c r="T2022" s="425"/>
    </row>
    <row r="2023" spans="2:24" ht="31.5" customHeight="1" x14ac:dyDescent="0.45">
      <c r="B2023" s="388"/>
      <c r="C2023" s="369"/>
      <c r="D2023" s="368" t="s">
        <v>501</v>
      </c>
      <c r="J2023" s="370"/>
      <c r="K2023" s="370"/>
      <c r="L2023" s="372"/>
      <c r="M2023" s="37"/>
      <c r="N2023" s="370"/>
      <c r="O2023" s="456">
        <f>TrialBalanceA!I44</f>
        <v>0</v>
      </c>
      <c r="P2023" s="380"/>
      <c r="Q2023" s="389"/>
      <c r="R2023" s="416" t="str">
        <f t="shared" si="146"/>
        <v>DELETE</v>
      </c>
      <c r="S2023" s="422"/>
      <c r="T2023" s="425"/>
      <c r="U2023" s="422"/>
      <c r="V2023" s="422"/>
      <c r="W2023" s="422"/>
      <c r="X2023" s="422"/>
    </row>
    <row r="2024" spans="2:24" ht="31.5" customHeight="1" x14ac:dyDescent="0.45">
      <c r="B2024" s="388"/>
      <c r="C2024" s="369"/>
      <c r="D2024" s="368" t="s">
        <v>733</v>
      </c>
      <c r="J2024" s="370"/>
      <c r="K2024" s="370"/>
      <c r="L2024" s="372"/>
      <c r="M2024" s="37"/>
      <c r="N2024" s="370"/>
      <c r="O2024" s="456">
        <f>TrialBalanceA!I45</f>
        <v>0</v>
      </c>
      <c r="P2024" s="380"/>
      <c r="Q2024" s="389"/>
      <c r="R2024" s="416" t="str">
        <f t="shared" si="146"/>
        <v>DELETE</v>
      </c>
      <c r="T2024" s="425"/>
    </row>
    <row r="2025" spans="2:24" ht="31.5" customHeight="1" x14ac:dyDescent="0.45">
      <c r="B2025" s="388"/>
      <c r="C2025" s="369"/>
      <c r="D2025" s="368" t="s">
        <v>68</v>
      </c>
      <c r="J2025" s="370"/>
      <c r="K2025" s="370"/>
      <c r="L2025" s="372"/>
      <c r="M2025" s="37"/>
      <c r="N2025" s="370"/>
      <c r="O2025" s="456">
        <f>TrialBalanceA!I46</f>
        <v>0</v>
      </c>
      <c r="P2025" s="380"/>
      <c r="Q2025" s="389"/>
      <c r="R2025" s="416" t="str">
        <f t="shared" si="146"/>
        <v>DELETE</v>
      </c>
      <c r="T2025" s="425"/>
    </row>
    <row r="2026" spans="2:24" ht="31.5" customHeight="1" x14ac:dyDescent="0.45">
      <c r="B2026" s="388"/>
      <c r="C2026" s="369"/>
      <c r="D2026" s="368" t="s">
        <v>280</v>
      </c>
      <c r="J2026" s="370"/>
      <c r="K2026" s="370"/>
      <c r="L2026" s="372"/>
      <c r="M2026" s="37"/>
      <c r="N2026" s="370"/>
      <c r="O2026" s="456">
        <f>TrialBalanceA!I47</f>
        <v>0</v>
      </c>
      <c r="P2026" s="380"/>
      <c r="Q2026" s="389"/>
      <c r="R2026" s="416" t="str">
        <f t="shared" si="146"/>
        <v>DELETE</v>
      </c>
      <c r="T2026" s="425"/>
    </row>
    <row r="2027" spans="2:24" ht="31.5" customHeight="1" x14ac:dyDescent="0.45">
      <c r="B2027" s="388"/>
      <c r="C2027" s="369"/>
      <c r="D2027" s="368" t="s">
        <v>518</v>
      </c>
      <c r="J2027" s="370"/>
      <c r="K2027" s="370"/>
      <c r="L2027" s="372"/>
      <c r="M2027" s="37"/>
      <c r="N2027" s="370"/>
      <c r="O2027" s="456">
        <f>SUM(TrialBalanceA!I48:I49)</f>
        <v>0</v>
      </c>
      <c r="P2027" s="380"/>
      <c r="Q2027" s="389"/>
      <c r="R2027" s="416" t="str">
        <f t="shared" si="146"/>
        <v>DELETE</v>
      </c>
      <c r="T2027" s="425"/>
    </row>
    <row r="2028" spans="2:24" ht="31.5" customHeight="1" x14ac:dyDescent="0.45">
      <c r="B2028" s="388"/>
      <c r="C2028" s="369"/>
      <c r="D2028" s="368" t="s">
        <v>516</v>
      </c>
      <c r="J2028" s="370"/>
      <c r="K2028" s="370"/>
      <c r="L2028" s="372"/>
      <c r="M2028" s="37"/>
      <c r="N2028" s="370"/>
      <c r="O2028" s="456">
        <f>TrialBalanceA!I50</f>
        <v>0</v>
      </c>
      <c r="P2028" s="380"/>
      <c r="Q2028" s="389"/>
      <c r="R2028" s="416" t="str">
        <f t="shared" si="146"/>
        <v>DELETE</v>
      </c>
      <c r="T2028" s="425"/>
    </row>
    <row r="2029" spans="2:24" ht="31.5" customHeight="1" x14ac:dyDescent="0.45">
      <c r="B2029" s="388"/>
      <c r="C2029" s="369"/>
      <c r="D2029" s="368" t="s">
        <v>502</v>
      </c>
      <c r="J2029" s="370"/>
      <c r="K2029" s="370"/>
      <c r="L2029" s="372"/>
      <c r="M2029" s="37"/>
      <c r="N2029" s="370"/>
      <c r="O2029" s="456">
        <f>SUM(TrialBalanceA!I52:I56)</f>
        <v>0</v>
      </c>
      <c r="P2029" s="380"/>
      <c r="Q2029" s="389"/>
      <c r="R2029" s="416" t="str">
        <f t="shared" si="146"/>
        <v>DELETE</v>
      </c>
      <c r="T2029" s="425"/>
    </row>
    <row r="2030" spans="2:24" ht="31.5" customHeight="1" x14ac:dyDescent="0.45">
      <c r="B2030" s="388"/>
      <c r="C2030" s="369"/>
      <c r="D2030" s="368" t="s">
        <v>483</v>
      </c>
      <c r="J2030" s="370"/>
      <c r="K2030" s="370">
        <f>FS!C$715</f>
        <v>6.1999999999999993</v>
      </c>
      <c r="L2030" s="372"/>
      <c r="M2030" s="37"/>
      <c r="N2030" s="370"/>
      <c r="O2030" s="456">
        <f>SUM(TrialBalanceA!I58:I60)</f>
        <v>0</v>
      </c>
      <c r="P2030" s="380"/>
      <c r="Q2030" s="389"/>
      <c r="R2030" s="416" t="str">
        <f t="shared" si="146"/>
        <v>DELETE</v>
      </c>
      <c r="T2030" s="425"/>
    </row>
    <row r="2031" spans="2:24" ht="31.5" customHeight="1" x14ac:dyDescent="0.45">
      <c r="B2031" s="388"/>
      <c r="C2031" s="369"/>
      <c r="D2031" s="368" t="s">
        <v>76</v>
      </c>
      <c r="J2031" s="370"/>
      <c r="K2031" s="370"/>
      <c r="L2031" s="372"/>
      <c r="M2031" s="37"/>
      <c r="N2031" s="370"/>
      <c r="O2031" s="456">
        <f>TrialBalanceA!I61</f>
        <v>0</v>
      </c>
      <c r="P2031" s="380"/>
      <c r="Q2031" s="389"/>
      <c r="R2031" s="416" t="str">
        <f t="shared" si="146"/>
        <v>DELETE</v>
      </c>
      <c r="T2031" s="425"/>
    </row>
    <row r="2032" spans="2:24" ht="31.5" customHeight="1" x14ac:dyDescent="0.45">
      <c r="B2032" s="388"/>
      <c r="C2032" s="369"/>
      <c r="D2032" s="368" t="s">
        <v>254</v>
      </c>
      <c r="J2032" s="370"/>
      <c r="K2032" s="370"/>
      <c r="L2032" s="372"/>
      <c r="M2032" s="37"/>
      <c r="N2032" s="370"/>
      <c r="O2032" s="456">
        <f>SUM(TrialBalanceA!I62:I64)</f>
        <v>0</v>
      </c>
      <c r="P2032" s="380"/>
      <c r="Q2032" s="389"/>
      <c r="R2032" s="416" t="str">
        <f t="shared" si="146"/>
        <v>DELETE</v>
      </c>
      <c r="T2032" s="425"/>
    </row>
    <row r="2033" spans="2:20" ht="31.5" customHeight="1" x14ac:dyDescent="0.45">
      <c r="B2033" s="388"/>
      <c r="C2033" s="369"/>
      <c r="D2033" s="368" t="s">
        <v>734</v>
      </c>
      <c r="J2033" s="370"/>
      <c r="K2033" s="370"/>
      <c r="L2033" s="372"/>
      <c r="M2033" s="37"/>
      <c r="N2033" s="370"/>
      <c r="O2033" s="456">
        <f>SUM(TrialBalanceA!I65:I66)</f>
        <v>0</v>
      </c>
      <c r="P2033" s="380"/>
      <c r="Q2033" s="389"/>
      <c r="R2033" s="416" t="str">
        <f t="shared" si="146"/>
        <v>DELETE</v>
      </c>
      <c r="T2033" s="425"/>
    </row>
    <row r="2034" spans="2:20" ht="31.5" customHeight="1" x14ac:dyDescent="0.45">
      <c r="B2034" s="388"/>
      <c r="C2034" s="369"/>
      <c r="D2034" s="368" t="s">
        <v>255</v>
      </c>
      <c r="J2034" s="370"/>
      <c r="K2034" s="370"/>
      <c r="L2034" s="372"/>
      <c r="M2034" s="37"/>
      <c r="N2034" s="370"/>
      <c r="O2034" s="456">
        <f>TrialBalanceA!I67</f>
        <v>0</v>
      </c>
      <c r="P2034" s="380"/>
      <c r="Q2034" s="389"/>
      <c r="R2034" s="416" t="str">
        <f t="shared" si="146"/>
        <v>DELETE</v>
      </c>
      <c r="T2034" s="425"/>
    </row>
    <row r="2035" spans="2:20" ht="31.5" customHeight="1" x14ac:dyDescent="0.45">
      <c r="B2035" s="388"/>
      <c r="C2035" s="369"/>
      <c r="D2035" s="368" t="s">
        <v>392</v>
      </c>
      <c r="J2035" s="370"/>
      <c r="K2035" s="370"/>
      <c r="L2035" s="372"/>
      <c r="M2035" s="37"/>
      <c r="N2035" s="370"/>
      <c r="O2035" s="456">
        <f>TrialBalanceA!I68</f>
        <v>0</v>
      </c>
      <c r="P2035" s="380"/>
      <c r="Q2035" s="389"/>
      <c r="R2035" s="416" t="str">
        <f t="shared" si="146"/>
        <v>DELETE</v>
      </c>
      <c r="T2035" s="425"/>
    </row>
    <row r="2036" spans="2:20" ht="31.5" customHeight="1" x14ac:dyDescent="0.45">
      <c r="B2036" s="388"/>
      <c r="C2036" s="369"/>
      <c r="D2036" s="368">
        <f>TrialBalanceA!C69</f>
        <v>0</v>
      </c>
      <c r="J2036" s="370"/>
      <c r="K2036" s="370"/>
      <c r="L2036" s="372"/>
      <c r="M2036" s="37"/>
      <c r="N2036" s="370"/>
      <c r="O2036" s="456">
        <f>TrialBalanceA!I69</f>
        <v>0</v>
      </c>
      <c r="P2036" s="380"/>
      <c r="Q2036" s="389"/>
      <c r="R2036" s="416" t="str">
        <f t="shared" si="146"/>
        <v>DELETE</v>
      </c>
      <c r="T2036" s="425"/>
    </row>
    <row r="2037" spans="2:20" ht="31.5" customHeight="1" x14ac:dyDescent="0.45">
      <c r="B2037" s="388"/>
      <c r="C2037" s="369"/>
      <c r="D2037" s="368">
        <f>TrialBalanceA!C70</f>
        <v>0</v>
      </c>
      <c r="J2037" s="370"/>
      <c r="K2037" s="370"/>
      <c r="L2037" s="372"/>
      <c r="M2037" s="37"/>
      <c r="N2037" s="370"/>
      <c r="O2037" s="456">
        <f>TrialBalanceA!I70</f>
        <v>0</v>
      </c>
      <c r="P2037" s="380"/>
      <c r="Q2037" s="389"/>
      <c r="R2037" s="416" t="str">
        <f t="shared" si="146"/>
        <v>DELETE</v>
      </c>
      <c r="T2037" s="425"/>
    </row>
    <row r="2038" spans="2:20" ht="31.5" customHeight="1" x14ac:dyDescent="0.45">
      <c r="B2038" s="388"/>
      <c r="C2038" s="369"/>
      <c r="D2038" s="368">
        <f>TrialBalanceA!C71</f>
        <v>0</v>
      </c>
      <c r="J2038" s="370"/>
      <c r="K2038" s="370"/>
      <c r="L2038" s="372"/>
      <c r="M2038" s="37"/>
      <c r="N2038" s="370"/>
      <c r="O2038" s="456">
        <f>TrialBalanceA!I71</f>
        <v>0</v>
      </c>
      <c r="P2038" s="380"/>
      <c r="Q2038" s="389"/>
      <c r="R2038" s="416" t="str">
        <f t="shared" si="146"/>
        <v>DELETE</v>
      </c>
      <c r="T2038" s="425"/>
    </row>
    <row r="2039" spans="2:20" ht="31.5" customHeight="1" x14ac:dyDescent="0.45">
      <c r="B2039" s="388"/>
      <c r="C2039" s="369"/>
      <c r="D2039" s="368">
        <f>TrialBalanceA!C72</f>
        <v>0</v>
      </c>
      <c r="J2039" s="370"/>
      <c r="K2039" s="370"/>
      <c r="L2039" s="372"/>
      <c r="M2039" s="37"/>
      <c r="N2039" s="370"/>
      <c r="O2039" s="456">
        <f>TrialBalanceA!I72</f>
        <v>0</v>
      </c>
      <c r="P2039" s="380"/>
      <c r="Q2039" s="389"/>
      <c r="R2039" s="416" t="str">
        <f t="shared" si="146"/>
        <v>DELETE</v>
      </c>
      <c r="T2039" s="425"/>
    </row>
    <row r="2040" spans="2:20" ht="31.5" customHeight="1" x14ac:dyDescent="0.45">
      <c r="B2040" s="388"/>
      <c r="C2040" s="369"/>
      <c r="D2040" s="368">
        <f>TrialBalanceA!C73</f>
        <v>0</v>
      </c>
      <c r="J2040" s="370"/>
      <c r="K2040" s="370"/>
      <c r="L2040" s="372"/>
      <c r="M2040" s="37"/>
      <c r="N2040" s="370"/>
      <c r="O2040" s="456">
        <f>TrialBalanceA!I73</f>
        <v>0</v>
      </c>
      <c r="P2040" s="380"/>
      <c r="Q2040" s="389"/>
      <c r="R2040" s="416" t="str">
        <f t="shared" si="146"/>
        <v>DELETE</v>
      </c>
      <c r="T2040" s="425"/>
    </row>
    <row r="2041" spans="2:20" ht="31.5" customHeight="1" x14ac:dyDescent="0.45">
      <c r="B2041" s="388"/>
      <c r="C2041" s="369"/>
      <c r="D2041" s="368">
        <f>TrialBalanceA!C74</f>
        <v>0</v>
      </c>
      <c r="J2041" s="370"/>
      <c r="K2041" s="370"/>
      <c r="L2041" s="372"/>
      <c r="M2041" s="37"/>
      <c r="N2041" s="370"/>
      <c r="O2041" s="456">
        <f>TrialBalanceA!I74</f>
        <v>0</v>
      </c>
      <c r="P2041" s="380"/>
      <c r="Q2041" s="389"/>
      <c r="R2041" s="416" t="str">
        <f t="shared" si="146"/>
        <v>DELETE</v>
      </c>
      <c r="T2041" s="425"/>
    </row>
    <row r="2042" spans="2:20" ht="31.5" customHeight="1" x14ac:dyDescent="0.45">
      <c r="B2042" s="388"/>
      <c r="C2042" s="369"/>
      <c r="D2042" s="368">
        <f>TrialBalanceA!C75</f>
        <v>0</v>
      </c>
      <c r="J2042" s="370"/>
      <c r="K2042" s="370"/>
      <c r="L2042" s="372"/>
      <c r="M2042" s="37"/>
      <c r="N2042" s="370"/>
      <c r="O2042" s="456">
        <f>TrialBalanceA!I75</f>
        <v>0</v>
      </c>
      <c r="P2042" s="380"/>
      <c r="Q2042" s="389"/>
      <c r="R2042" s="416" t="str">
        <f t="shared" si="146"/>
        <v>DELETE</v>
      </c>
      <c r="T2042" s="425"/>
    </row>
    <row r="2043" spans="2:20" ht="31.5" customHeight="1" x14ac:dyDescent="0.45">
      <c r="B2043" s="388"/>
      <c r="C2043" s="369"/>
      <c r="D2043" s="368">
        <f>TrialBalanceA!C76</f>
        <v>0</v>
      </c>
      <c r="J2043" s="370"/>
      <c r="K2043" s="370"/>
      <c r="L2043" s="372"/>
      <c r="M2043" s="37"/>
      <c r="N2043" s="370"/>
      <c r="O2043" s="456">
        <f>TrialBalanceA!I76</f>
        <v>0</v>
      </c>
      <c r="P2043" s="380"/>
      <c r="Q2043" s="389"/>
      <c r="R2043" s="416" t="str">
        <f t="shared" si="146"/>
        <v>DELETE</v>
      </c>
      <c r="T2043" s="425"/>
    </row>
    <row r="2044" spans="2:20" ht="31.5" customHeight="1" x14ac:dyDescent="0.45">
      <c r="B2044" s="388"/>
      <c r="C2044" s="369"/>
      <c r="D2044" s="368">
        <f>TrialBalanceA!C77</f>
        <v>0</v>
      </c>
      <c r="J2044" s="370"/>
      <c r="K2044" s="370"/>
      <c r="L2044" s="372"/>
      <c r="M2044" s="37"/>
      <c r="N2044" s="370"/>
      <c r="O2044" s="456">
        <f>TrialBalanceA!I77</f>
        <v>0</v>
      </c>
      <c r="P2044" s="380"/>
      <c r="Q2044" s="389"/>
      <c r="R2044" s="416" t="str">
        <f t="shared" si="146"/>
        <v>DELETE</v>
      </c>
      <c r="T2044" s="425"/>
    </row>
    <row r="2045" spans="2:20" ht="31.5" customHeight="1" x14ac:dyDescent="0.45">
      <c r="B2045" s="388"/>
      <c r="C2045" s="369"/>
      <c r="D2045" s="368">
        <f>TrialBalanceA!C78</f>
        <v>0</v>
      </c>
      <c r="J2045" s="370"/>
      <c r="K2045" s="370"/>
      <c r="L2045" s="372"/>
      <c r="M2045" s="37"/>
      <c r="N2045" s="370"/>
      <c r="O2045" s="456">
        <f>TrialBalanceA!I78</f>
        <v>0</v>
      </c>
      <c r="P2045" s="380"/>
      <c r="Q2045" s="389"/>
      <c r="R2045" s="416" t="str">
        <f t="shared" si="146"/>
        <v>DELETE</v>
      </c>
      <c r="T2045" s="425"/>
    </row>
    <row r="2046" spans="2:20" ht="9" customHeight="1" x14ac:dyDescent="0.45">
      <c r="B2046" s="388"/>
      <c r="C2046" s="369"/>
      <c r="J2046" s="370"/>
      <c r="K2046" s="370"/>
      <c r="L2046" s="372"/>
      <c r="M2046" s="37"/>
      <c r="N2046" s="370"/>
      <c r="O2046" s="457"/>
      <c r="P2046" s="380"/>
      <c r="Q2046" s="389"/>
      <c r="R2046" s="416" t="str">
        <f>R2016</f>
        <v>DELETE</v>
      </c>
      <c r="T2046" s="425"/>
    </row>
    <row r="2047" spans="2:20" ht="9" customHeight="1" x14ac:dyDescent="0.45">
      <c r="B2047" s="388"/>
      <c r="C2047" s="369"/>
      <c r="J2047" s="370"/>
      <c r="K2047" s="370"/>
      <c r="L2047" s="372"/>
      <c r="M2047" s="37"/>
      <c r="N2047" s="370"/>
      <c r="O2047" s="438"/>
      <c r="P2047" s="380"/>
      <c r="Q2047" s="389"/>
      <c r="R2047" s="416" t="str">
        <f t="shared" ref="R2047:R2067" si="147">R$1970</f>
        <v>DELETE</v>
      </c>
      <c r="T2047" s="425"/>
    </row>
    <row r="2048" spans="2:20" ht="9" customHeight="1" x14ac:dyDescent="0.45">
      <c r="B2048" s="388"/>
      <c r="C2048" s="369"/>
      <c r="J2048" s="370"/>
      <c r="K2048" s="370"/>
      <c r="L2048" s="372"/>
      <c r="M2048" s="37"/>
      <c r="N2048" s="370"/>
      <c r="O2048" s="434"/>
      <c r="P2048" s="380"/>
      <c r="Q2048" s="389"/>
      <c r="R2048" s="416" t="str">
        <f t="shared" si="147"/>
        <v>DELETE</v>
      </c>
      <c r="T2048" s="425"/>
    </row>
    <row r="2049" spans="2:20" ht="31.5" customHeight="1" x14ac:dyDescent="0.45">
      <c r="B2049" s="388"/>
      <c r="C2049" s="411" t="str">
        <f>IF(O2049&lt;0,"OPERATING LOSS","OPERATING PROFIT")</f>
        <v>OPERATING PROFIT</v>
      </c>
      <c r="J2049" s="370"/>
      <c r="K2049" s="370"/>
      <c r="L2049" s="372"/>
      <c r="M2049" s="37"/>
      <c r="N2049" s="370"/>
      <c r="O2049" s="434">
        <f>SUM(S1982:S2047)</f>
        <v>0</v>
      </c>
      <c r="P2049" s="380"/>
      <c r="Q2049" s="389"/>
      <c r="R2049" s="416" t="str">
        <f t="shared" si="147"/>
        <v>DELETE</v>
      </c>
      <c r="T2049" s="425"/>
    </row>
    <row r="2050" spans="2:20" ht="31.5" customHeight="1" x14ac:dyDescent="0.45">
      <c r="B2050" s="388"/>
      <c r="C2050" s="369"/>
      <c r="D2050" s="368" t="s">
        <v>257</v>
      </c>
      <c r="J2050" s="370"/>
      <c r="K2050" s="370"/>
      <c r="L2050" s="372"/>
      <c r="M2050" s="37"/>
      <c r="N2050" s="370"/>
      <c r="O2050" s="434"/>
      <c r="P2050" s="380"/>
      <c r="Q2050" s="389"/>
      <c r="R2050" s="416" t="str">
        <f t="shared" si="147"/>
        <v>DELETE</v>
      </c>
      <c r="T2050" s="425"/>
    </row>
    <row r="2051" spans="2:20" ht="31.5" customHeight="1" x14ac:dyDescent="0.45">
      <c r="B2051" s="388"/>
      <c r="C2051" s="369"/>
      <c r="J2051" s="370"/>
      <c r="K2051" s="370"/>
      <c r="L2051" s="372"/>
      <c r="M2051" s="37"/>
      <c r="N2051" s="370"/>
      <c r="O2051" s="434"/>
      <c r="P2051" s="380"/>
      <c r="Q2051" s="389"/>
      <c r="R2051" s="416" t="str">
        <f t="shared" si="147"/>
        <v>DELETE</v>
      </c>
      <c r="T2051" s="425"/>
    </row>
    <row r="2052" spans="2:20" ht="31.5" customHeight="1" x14ac:dyDescent="0.45">
      <c r="B2052" s="388"/>
      <c r="C2052" s="369"/>
      <c r="J2052" s="370"/>
      <c r="K2052" s="370"/>
      <c r="L2052" s="372"/>
      <c r="M2052" s="37"/>
      <c r="N2052" s="370"/>
      <c r="O2052" s="434"/>
      <c r="P2052" s="380"/>
      <c r="Q2052" s="389"/>
      <c r="R2052" s="416" t="str">
        <f t="shared" si="147"/>
        <v>DELETE</v>
      </c>
      <c r="T2052" s="425"/>
    </row>
    <row r="2053" spans="2:20" ht="31.5" customHeight="1" x14ac:dyDescent="0.45">
      <c r="B2053" s="396"/>
      <c r="C2053" s="407"/>
      <c r="D2053" s="383"/>
      <c r="E2053" s="383"/>
      <c r="F2053" s="383"/>
      <c r="G2053" s="383"/>
      <c r="H2053" s="383"/>
      <c r="I2053" s="383"/>
      <c r="J2053" s="403"/>
      <c r="K2053" s="403"/>
      <c r="L2053" s="403"/>
      <c r="M2053" s="438"/>
      <c r="N2053" s="392"/>
      <c r="O2053" s="438"/>
      <c r="P2053" s="404"/>
      <c r="Q2053" s="398"/>
      <c r="R2053" s="416" t="str">
        <f t="shared" si="147"/>
        <v>DELETE</v>
      </c>
      <c r="T2053" s="425"/>
    </row>
    <row r="2054" spans="2:20" ht="31.5" customHeight="1" x14ac:dyDescent="0.45">
      <c r="C2054" s="369"/>
      <c r="J2054" s="370"/>
      <c r="K2054" s="370"/>
      <c r="L2054" s="370"/>
      <c r="M2054" s="434"/>
      <c r="N2054" s="390"/>
      <c r="O2054" s="434"/>
      <c r="P2054" s="380"/>
      <c r="R2054" s="416" t="str">
        <f t="shared" si="147"/>
        <v>DELETE</v>
      </c>
      <c r="T2054" s="425"/>
    </row>
    <row r="2055" spans="2:20" ht="31.5" customHeight="1" x14ac:dyDescent="0.45">
      <c r="C2055" s="369"/>
      <c r="J2055" s="370"/>
      <c r="K2055" s="370"/>
      <c r="L2055" s="370"/>
      <c r="M2055" s="434"/>
      <c r="N2055" s="390"/>
      <c r="O2055" s="434"/>
      <c r="P2055" s="380"/>
      <c r="R2055" s="416" t="str">
        <f t="shared" si="147"/>
        <v>DELETE</v>
      </c>
      <c r="T2055" s="425"/>
    </row>
    <row r="2056" spans="2:20" ht="31.5" customHeight="1" x14ac:dyDescent="0.45">
      <c r="C2056" s="369"/>
      <c r="D2056" s="369" t="str">
        <f>Criteria!E9</f>
        <v>ABC TRUST</v>
      </c>
      <c r="J2056" s="370"/>
      <c r="K2056" s="370"/>
      <c r="L2056" s="370"/>
      <c r="M2056" s="434"/>
      <c r="N2056" s="390"/>
      <c r="O2056" s="434" t="s">
        <v>105</v>
      </c>
      <c r="P2056" s="380"/>
      <c r="Q2056" s="370">
        <f>MAX($Q$1973:Q2055)+1</f>
        <v>2</v>
      </c>
      <c r="R2056" s="416" t="str">
        <f t="shared" si="147"/>
        <v>DELETE</v>
      </c>
      <c r="T2056" s="425"/>
    </row>
    <row r="2057" spans="2:20" ht="31.5" customHeight="1" x14ac:dyDescent="0.45">
      <c r="C2057" s="369"/>
      <c r="D2057" s="369" t="str">
        <f>CONCATENATE("T/A ",Criteria!E14)</f>
        <v>T/A SEAFRONT RESTAURANT</v>
      </c>
      <c r="J2057" s="370"/>
      <c r="K2057" s="370"/>
      <c r="L2057" s="370"/>
      <c r="M2057" s="434"/>
      <c r="N2057" s="390"/>
      <c r="O2057" s="434"/>
      <c r="P2057" s="380"/>
      <c r="R2057" s="416" t="str">
        <f t="shared" si="147"/>
        <v>DELETE</v>
      </c>
      <c r="T2057" s="425"/>
    </row>
    <row r="2058" spans="2:20" ht="31.5" customHeight="1" x14ac:dyDescent="0.45">
      <c r="C2058" s="369"/>
      <c r="J2058" s="370"/>
      <c r="K2058" s="370"/>
      <c r="L2058" s="370"/>
      <c r="M2058" s="434"/>
      <c r="N2058" s="390"/>
      <c r="O2058" s="434"/>
      <c r="P2058" s="380"/>
      <c r="R2058" s="416" t="str">
        <f t="shared" si="147"/>
        <v>DELETE</v>
      </c>
      <c r="T2058" s="425"/>
    </row>
    <row r="2059" spans="2:20" ht="31.5" customHeight="1" x14ac:dyDescent="0.45">
      <c r="C2059" s="369"/>
      <c r="D2059" s="369" t="s">
        <v>100</v>
      </c>
      <c r="J2059" s="370"/>
      <c r="K2059" s="370"/>
      <c r="L2059" s="370"/>
      <c r="M2059" s="434"/>
      <c r="N2059" s="390"/>
      <c r="O2059" s="434"/>
      <c r="P2059" s="380"/>
      <c r="R2059" s="416" t="str">
        <f t="shared" si="147"/>
        <v>DELETE</v>
      </c>
      <c r="T2059" s="425"/>
    </row>
    <row r="2060" spans="2:20" ht="31.5" customHeight="1" x14ac:dyDescent="0.45">
      <c r="C2060" s="369"/>
      <c r="D2060" s="369" t="str">
        <f>D1977</f>
        <v>29 FEBRUARY 2024</v>
      </c>
      <c r="H2060" s="368" t="s">
        <v>111</v>
      </c>
      <c r="J2060" s="370"/>
      <c r="K2060" s="370"/>
      <c r="L2060" s="370"/>
      <c r="M2060" s="434"/>
      <c r="N2060" s="390"/>
      <c r="O2060" s="434"/>
      <c r="P2060" s="380"/>
      <c r="R2060" s="416" t="str">
        <f t="shared" si="147"/>
        <v>DELETE</v>
      </c>
      <c r="T2060" s="425"/>
    </row>
    <row r="2061" spans="2:20" ht="31.5" customHeight="1" x14ac:dyDescent="0.45">
      <c r="C2061" s="369"/>
      <c r="J2061" s="370"/>
      <c r="K2061" s="403"/>
      <c r="L2061" s="403"/>
      <c r="M2061" s="438"/>
      <c r="N2061" s="392"/>
      <c r="O2061" s="438"/>
      <c r="P2061" s="380"/>
      <c r="R2061" s="416" t="str">
        <f t="shared" si="147"/>
        <v>DELETE</v>
      </c>
      <c r="T2061" s="425"/>
    </row>
    <row r="2062" spans="2:20" ht="31.5" customHeight="1" x14ac:dyDescent="0.45">
      <c r="B2062" s="385"/>
      <c r="C2062" s="410"/>
      <c r="D2062" s="386"/>
      <c r="E2062" s="386"/>
      <c r="F2062" s="386"/>
      <c r="G2062" s="386"/>
      <c r="H2062" s="386"/>
      <c r="I2062" s="386"/>
      <c r="J2062" s="413"/>
      <c r="M2062" s="479"/>
      <c r="N2062" s="469"/>
      <c r="O2062" s="479"/>
      <c r="P2062" s="406"/>
      <c r="Q2062" s="387"/>
      <c r="R2062" s="416" t="str">
        <f t="shared" si="147"/>
        <v>DELETE</v>
      </c>
      <c r="T2062" s="425"/>
    </row>
    <row r="2063" spans="2:20" ht="31.5" customHeight="1" x14ac:dyDescent="0.45">
      <c r="B2063" s="388"/>
      <c r="C2063" s="369"/>
      <c r="J2063" s="370"/>
      <c r="K2063" s="370"/>
      <c r="L2063" s="370"/>
      <c r="M2063" s="37"/>
      <c r="N2063" s="379"/>
      <c r="O2063" s="430">
        <f>Criteria!E22</f>
        <v>2024</v>
      </c>
      <c r="P2063" s="380"/>
      <c r="Q2063" s="389"/>
      <c r="R2063" s="416" t="str">
        <f t="shared" si="147"/>
        <v>DELETE</v>
      </c>
      <c r="T2063" s="425"/>
    </row>
    <row r="2064" spans="2:20" ht="31.5" customHeight="1" x14ac:dyDescent="0.45">
      <c r="B2064" s="388"/>
      <c r="C2064" s="369"/>
      <c r="J2064" s="370"/>
      <c r="K2064" s="370"/>
      <c r="L2064" s="370"/>
      <c r="M2064" s="434"/>
      <c r="N2064" s="390"/>
      <c r="O2064" s="434"/>
      <c r="P2064" s="380"/>
      <c r="Q2064" s="389"/>
      <c r="R2064" s="416" t="str">
        <f t="shared" si="147"/>
        <v>DELETE</v>
      </c>
      <c r="T2064" s="425"/>
    </row>
    <row r="2065" spans="2:24" ht="31.5" customHeight="1" x14ac:dyDescent="0.45">
      <c r="B2065" s="388"/>
      <c r="C2065" s="411" t="str">
        <f>IF(O2065&lt;0,"OPERATING LOSS","OPERATING PROFIT")</f>
        <v>OPERATING PROFIT</v>
      </c>
      <c r="J2065" s="370"/>
      <c r="K2065" s="370"/>
      <c r="L2065" s="372"/>
      <c r="M2065" s="37"/>
      <c r="N2065" s="370"/>
      <c r="O2065" s="434">
        <f>SUM(S1982:S2046)</f>
        <v>0</v>
      </c>
      <c r="P2065" s="380"/>
      <c r="Q2065" s="389"/>
      <c r="R2065" s="416" t="str">
        <f t="shared" si="147"/>
        <v>DELETE</v>
      </c>
      <c r="T2065" s="425"/>
      <c r="V2065" s="417" t="b">
        <f>O2065=O2049</f>
        <v>1</v>
      </c>
    </row>
    <row r="2066" spans="2:24" ht="31.5" customHeight="1" x14ac:dyDescent="0.45">
      <c r="B2066" s="388"/>
      <c r="C2066" s="369"/>
      <c r="D2066" s="368" t="s">
        <v>258</v>
      </c>
      <c r="J2066" s="370"/>
      <c r="K2066" s="370"/>
      <c r="L2066" s="372"/>
      <c r="M2066" s="37"/>
      <c r="N2066" s="370"/>
      <c r="O2066" s="434"/>
      <c r="P2066" s="380"/>
      <c r="Q2066" s="389"/>
      <c r="R2066" s="416" t="str">
        <f t="shared" si="147"/>
        <v>DELETE</v>
      </c>
      <c r="T2066" s="425"/>
    </row>
    <row r="2067" spans="2:24" ht="31.5" customHeight="1" x14ac:dyDescent="0.45">
      <c r="B2067" s="388"/>
      <c r="C2067" s="369"/>
      <c r="J2067" s="370"/>
      <c r="K2067" s="370"/>
      <c r="L2067" s="372"/>
      <c r="M2067" s="37"/>
      <c r="N2067" s="370"/>
      <c r="O2067" s="434"/>
      <c r="P2067" s="380"/>
      <c r="Q2067" s="389"/>
      <c r="R2067" s="416" t="str">
        <f t="shared" si="147"/>
        <v>DELETE</v>
      </c>
      <c r="T2067" s="425"/>
    </row>
    <row r="2068" spans="2:24" ht="31.5" customHeight="1" x14ac:dyDescent="0.45">
      <c r="B2068" s="388"/>
      <c r="C2068" s="369" t="s">
        <v>1045</v>
      </c>
      <c r="J2068" s="370"/>
      <c r="K2068" s="370"/>
      <c r="L2068" s="372"/>
      <c r="M2068" s="37"/>
      <c r="N2068" s="370"/>
      <c r="O2068" s="434">
        <f>SUM(O2071:O2103)</f>
        <v>0</v>
      </c>
      <c r="P2068" s="380"/>
      <c r="Q2068" s="389"/>
      <c r="R2068" s="416" t="str">
        <f t="shared" ref="R2068" si="148">IF(R$1970="DELETE","DELETE",IF(O2068=0,"DELETE"," "))</f>
        <v>DELETE</v>
      </c>
      <c r="S2068" s="421">
        <f>-O2068</f>
        <v>0</v>
      </c>
      <c r="T2068" s="425"/>
      <c r="U2068" s="421"/>
      <c r="V2068" s="421"/>
      <c r="W2068" s="421"/>
      <c r="X2068" s="421"/>
    </row>
    <row r="2069" spans="2:24" ht="9" customHeight="1" x14ac:dyDescent="0.45">
      <c r="B2069" s="388"/>
      <c r="C2069" s="369"/>
      <c r="J2069" s="370"/>
      <c r="K2069" s="370"/>
      <c r="L2069" s="372"/>
      <c r="M2069" s="37"/>
      <c r="N2069" s="370"/>
      <c r="O2069" s="434"/>
      <c r="P2069" s="380"/>
      <c r="Q2069" s="389"/>
      <c r="R2069" s="416" t="str">
        <f>R2068</f>
        <v>DELETE</v>
      </c>
      <c r="T2069" s="425"/>
    </row>
    <row r="2070" spans="2:24" ht="9" customHeight="1" x14ac:dyDescent="0.45">
      <c r="B2070" s="388"/>
      <c r="C2070" s="369"/>
      <c r="J2070" s="370"/>
      <c r="K2070" s="370"/>
      <c r="L2070" s="372"/>
      <c r="M2070" s="37"/>
      <c r="N2070" s="370"/>
      <c r="O2070" s="455"/>
      <c r="P2070" s="380"/>
      <c r="Q2070" s="389"/>
      <c r="R2070" s="416" t="str">
        <f>R2069</f>
        <v>DELETE</v>
      </c>
      <c r="T2070" s="425"/>
    </row>
    <row r="2071" spans="2:24" ht="31.5" customHeight="1" x14ac:dyDescent="0.45">
      <c r="B2071" s="388"/>
      <c r="C2071" s="369"/>
      <c r="D2071" s="368" t="s">
        <v>218</v>
      </c>
      <c r="J2071" s="370"/>
      <c r="K2071" s="370"/>
      <c r="L2071" s="372"/>
      <c r="M2071" s="37"/>
      <c r="N2071" s="370"/>
      <c r="O2071" s="456">
        <f>SUM(TrialBalanceA!I85:I88)</f>
        <v>0</v>
      </c>
      <c r="P2071" s="380"/>
      <c r="Q2071" s="389"/>
      <c r="R2071" s="416" t="str">
        <f t="shared" ref="R2071:R2101" si="149">IF(R$1970="DELETE","DELETE",IF(O2071=0,"DELETE"," "))</f>
        <v>DELETE</v>
      </c>
      <c r="T2071" s="425"/>
    </row>
    <row r="2072" spans="2:24" ht="31.5" customHeight="1" x14ac:dyDescent="0.45">
      <c r="B2072" s="388"/>
      <c r="C2072" s="369"/>
      <c r="D2072" s="368" t="s">
        <v>222</v>
      </c>
      <c r="J2072" s="370"/>
      <c r="K2072" s="370"/>
      <c r="L2072" s="372"/>
      <c r="M2072" s="37"/>
      <c r="N2072" s="370"/>
      <c r="O2072" s="456">
        <f>TrialBalanceA!I90</f>
        <v>0</v>
      </c>
      <c r="P2072" s="380"/>
      <c r="Q2072" s="389"/>
      <c r="R2072" s="416" t="str">
        <f>IF(R$1970="DELETE","DELETE",IF(O2072=0,"DELETE"," "))</f>
        <v>DELETE</v>
      </c>
      <c r="T2072" s="425"/>
    </row>
    <row r="2073" spans="2:24" ht="31.5" customHeight="1" x14ac:dyDescent="0.45">
      <c r="B2073" s="388"/>
      <c r="C2073" s="369"/>
      <c r="D2073" s="368" t="s">
        <v>220</v>
      </c>
      <c r="J2073" s="370"/>
      <c r="K2073" s="370"/>
      <c r="L2073" s="372"/>
      <c r="M2073" s="37"/>
      <c r="N2073" s="370"/>
      <c r="O2073" s="456">
        <f>TrialBalanceA!I89</f>
        <v>0</v>
      </c>
      <c r="P2073" s="380"/>
      <c r="Q2073" s="389"/>
      <c r="R2073" s="416" t="str">
        <f>IF(R$1970="DELETE","DELETE",IF(O2073=0,"DELETE"," "))</f>
        <v>DELETE</v>
      </c>
      <c r="T2073" s="425"/>
    </row>
    <row r="2074" spans="2:24" ht="31.5" customHeight="1" x14ac:dyDescent="0.45">
      <c r="B2074" s="388"/>
      <c r="C2074" s="369"/>
      <c r="D2074" s="368" t="s">
        <v>259</v>
      </c>
      <c r="J2074" s="370"/>
      <c r="K2074" s="370"/>
      <c r="L2074" s="372"/>
      <c r="M2074" s="37"/>
      <c r="N2074" s="370"/>
      <c r="O2074" s="456">
        <f>TrialBalanceA!I91</f>
        <v>0</v>
      </c>
      <c r="P2074" s="380"/>
      <c r="Q2074" s="389"/>
      <c r="R2074" s="416" t="str">
        <f t="shared" si="149"/>
        <v>DELETE</v>
      </c>
      <c r="T2074" s="425"/>
    </row>
    <row r="2075" spans="2:24" ht="31.5" customHeight="1" x14ac:dyDescent="0.45">
      <c r="B2075" s="388"/>
      <c r="C2075" s="369"/>
      <c r="D2075" s="368" t="s">
        <v>225</v>
      </c>
      <c r="J2075" s="370"/>
      <c r="K2075" s="370"/>
      <c r="L2075" s="372"/>
      <c r="M2075" s="37"/>
      <c r="N2075" s="370"/>
      <c r="O2075" s="456">
        <f>TrialBalanceA!I92</f>
        <v>0</v>
      </c>
      <c r="P2075" s="380"/>
      <c r="Q2075" s="389"/>
      <c r="R2075" s="416" t="str">
        <f t="shared" si="149"/>
        <v>DELETE</v>
      </c>
      <c r="T2075" s="425"/>
    </row>
    <row r="2076" spans="2:24" ht="31.5" customHeight="1" x14ac:dyDescent="0.45">
      <c r="B2076" s="388"/>
      <c r="C2076" s="369"/>
      <c r="D2076" s="368" t="s">
        <v>735</v>
      </c>
      <c r="J2076" s="370"/>
      <c r="K2076" s="370"/>
      <c r="L2076" s="372"/>
      <c r="M2076" s="37"/>
      <c r="N2076" s="370"/>
      <c r="O2076" s="456">
        <f>TrialBalanceA!I93</f>
        <v>0</v>
      </c>
      <c r="P2076" s="380"/>
      <c r="Q2076" s="389"/>
      <c r="R2076" s="416" t="str">
        <f t="shared" si="149"/>
        <v>DELETE</v>
      </c>
      <c r="T2076" s="425"/>
    </row>
    <row r="2077" spans="2:24" ht="31.5" customHeight="1" x14ac:dyDescent="0.45">
      <c r="B2077" s="388"/>
      <c r="C2077" s="369"/>
      <c r="D2077" s="368" t="s">
        <v>279</v>
      </c>
      <c r="J2077" s="370"/>
      <c r="K2077" s="370">
        <f>C$747</f>
        <v>6.2999999999999989</v>
      </c>
      <c r="L2077" s="372"/>
      <c r="M2077" s="37"/>
      <c r="N2077" s="370"/>
      <c r="O2077" s="456">
        <f>SUM(TrialBalanceA!I95:I96)</f>
        <v>0</v>
      </c>
      <c r="P2077" s="380"/>
      <c r="Q2077" s="389"/>
      <c r="R2077" s="416" t="str">
        <f t="shared" si="149"/>
        <v>DELETE</v>
      </c>
      <c r="T2077" s="425"/>
    </row>
    <row r="2078" spans="2:24" ht="31.5" customHeight="1" x14ac:dyDescent="0.45">
      <c r="B2078" s="388"/>
      <c r="C2078" s="369"/>
      <c r="D2078" s="368" t="s">
        <v>260</v>
      </c>
      <c r="J2078" s="370"/>
      <c r="K2078" s="370"/>
      <c r="L2078" s="372"/>
      <c r="M2078" s="37"/>
      <c r="N2078" s="370"/>
      <c r="O2078" s="456">
        <f>TrialBalanceA!I103</f>
        <v>0</v>
      </c>
      <c r="P2078" s="380"/>
      <c r="Q2078" s="389"/>
      <c r="R2078" s="416" t="str">
        <f t="shared" si="149"/>
        <v>DELETE</v>
      </c>
      <c r="T2078" s="425"/>
    </row>
    <row r="2079" spans="2:24" ht="31.5" customHeight="1" x14ac:dyDescent="0.45">
      <c r="B2079" s="388"/>
      <c r="C2079" s="369"/>
      <c r="D2079" s="368" t="s">
        <v>375</v>
      </c>
      <c r="J2079" s="370"/>
      <c r="K2079" s="370"/>
      <c r="L2079" s="372"/>
      <c r="M2079" s="37"/>
      <c r="N2079" s="370"/>
      <c r="O2079" s="456">
        <f>TrialBalanceA!I104</f>
        <v>0</v>
      </c>
      <c r="P2079" s="380"/>
      <c r="Q2079" s="389"/>
      <c r="R2079" s="416" t="str">
        <f t="shared" si="149"/>
        <v>DELETE</v>
      </c>
      <c r="T2079" s="425"/>
    </row>
    <row r="2080" spans="2:24" ht="31.5" customHeight="1" x14ac:dyDescent="0.45">
      <c r="B2080" s="388"/>
      <c r="C2080" s="369"/>
      <c r="D2080" s="368" t="s">
        <v>326</v>
      </c>
      <c r="J2080" s="370"/>
      <c r="K2080" s="370"/>
      <c r="L2080" s="372"/>
      <c r="M2080" s="37"/>
      <c r="N2080" s="370"/>
      <c r="O2080" s="456">
        <f>TrialBalanceA!I105</f>
        <v>0</v>
      </c>
      <c r="P2080" s="380"/>
      <c r="Q2080" s="389"/>
      <c r="R2080" s="416" t="str">
        <f t="shared" si="149"/>
        <v>DELETE</v>
      </c>
      <c r="T2080" s="425"/>
    </row>
    <row r="2081" spans="2:20" ht="31.5" customHeight="1" x14ac:dyDescent="0.45">
      <c r="B2081" s="388"/>
      <c r="C2081" s="369"/>
      <c r="D2081" s="368" t="s">
        <v>377</v>
      </c>
      <c r="J2081" s="370"/>
      <c r="K2081" s="370"/>
      <c r="L2081" s="372"/>
      <c r="M2081" s="37"/>
      <c r="N2081" s="370"/>
      <c r="O2081" s="456">
        <f>TrialBalanceA!I106</f>
        <v>0</v>
      </c>
      <c r="P2081" s="380"/>
      <c r="Q2081" s="389"/>
      <c r="R2081" s="416" t="str">
        <f t="shared" si="149"/>
        <v>DELETE</v>
      </c>
      <c r="T2081" s="425"/>
    </row>
    <row r="2082" spans="2:20" ht="31.5" customHeight="1" x14ac:dyDescent="0.45">
      <c r="B2082" s="388"/>
      <c r="C2082" s="369"/>
      <c r="D2082" s="368" t="s">
        <v>1081</v>
      </c>
      <c r="J2082" s="370"/>
      <c r="K2082" s="370"/>
      <c r="L2082" s="372"/>
      <c r="M2082" s="37"/>
      <c r="N2082" s="370"/>
      <c r="O2082" s="456">
        <f>IF(TrialBalanceA!I141&gt;0,TrialBalanceA!I141,0)</f>
        <v>0</v>
      </c>
      <c r="P2082" s="380"/>
      <c r="Q2082" s="389"/>
      <c r="R2082" s="416" t="str">
        <f>IF(R$1970="DELETE","DELETE",IF(O2082=0,"DELETE"," "))</f>
        <v>DELETE</v>
      </c>
      <c r="T2082" s="425"/>
    </row>
    <row r="2083" spans="2:20" ht="31.5" customHeight="1" x14ac:dyDescent="0.45">
      <c r="B2083" s="388"/>
      <c r="C2083" s="369"/>
      <c r="D2083" s="368" t="s">
        <v>496</v>
      </c>
      <c r="J2083" s="370"/>
      <c r="K2083" s="370"/>
      <c r="L2083" s="372"/>
      <c r="M2083" s="37"/>
      <c r="N2083" s="370"/>
      <c r="O2083" s="456">
        <f>TrialBalanceA!I107+TrialBalanceA!I108</f>
        <v>0</v>
      </c>
      <c r="P2083" s="380"/>
      <c r="Q2083" s="389"/>
      <c r="R2083" s="416" t="str">
        <f t="shared" si="149"/>
        <v>DELETE</v>
      </c>
      <c r="T2083" s="425"/>
    </row>
    <row r="2084" spans="2:20" ht="31.5" customHeight="1" x14ac:dyDescent="0.45">
      <c r="B2084" s="388"/>
      <c r="C2084" s="369"/>
      <c r="D2084" s="368" t="s">
        <v>519</v>
      </c>
      <c r="J2084" s="370"/>
      <c r="K2084" s="370"/>
      <c r="L2084" s="372"/>
      <c r="M2084" s="37"/>
      <c r="N2084" s="370"/>
      <c r="O2084" s="456">
        <f>IF(TrialBalanceA!I81&gt;0,TrialBalanceA!I81,0)</f>
        <v>0</v>
      </c>
      <c r="P2084" s="380"/>
      <c r="Q2084" s="389"/>
      <c r="R2084" s="416" t="str">
        <f>IF(R$1970="DELETE","DELETE",IF(O2084=0,"DELETE"," "))</f>
        <v>DELETE</v>
      </c>
      <c r="T2084" s="425"/>
    </row>
    <row r="2085" spans="2:20" ht="31.5" customHeight="1" x14ac:dyDescent="0.45">
      <c r="B2085" s="388"/>
      <c r="C2085" s="369"/>
      <c r="D2085" s="368" t="s">
        <v>736</v>
      </c>
      <c r="J2085" s="370"/>
      <c r="K2085" s="370"/>
      <c r="L2085" s="372"/>
      <c r="M2085" s="37"/>
      <c r="N2085" s="370"/>
      <c r="O2085" s="456">
        <f>TrialBalanceA!I109</f>
        <v>0</v>
      </c>
      <c r="P2085" s="380"/>
      <c r="Q2085" s="389"/>
      <c r="R2085" s="416" t="str">
        <f>IF(R$1970="DELETE","DELETE",IF(O2085=0,"DELETE"," "))</f>
        <v>DELETE</v>
      </c>
      <c r="T2085" s="425"/>
    </row>
    <row r="2086" spans="2:20" ht="31.5" customHeight="1" x14ac:dyDescent="0.45">
      <c r="B2086" s="388"/>
      <c r="C2086" s="369"/>
      <c r="D2086" s="368" t="s">
        <v>261</v>
      </c>
      <c r="J2086" s="370"/>
      <c r="K2086" s="370"/>
      <c r="L2086" s="372"/>
      <c r="M2086" s="37"/>
      <c r="N2086" s="370"/>
      <c r="O2086" s="456">
        <f>TrialBalanceA!I110</f>
        <v>0</v>
      </c>
      <c r="P2086" s="380"/>
      <c r="Q2086" s="389"/>
      <c r="R2086" s="416" t="str">
        <f>IF(R$1970="DELETE","DELETE",IF(O2086=0,"DELETE"," "))</f>
        <v>DELETE</v>
      </c>
      <c r="T2086" s="425"/>
    </row>
    <row r="2087" spans="2:20" ht="31.5" customHeight="1" x14ac:dyDescent="0.45">
      <c r="B2087" s="388"/>
      <c r="C2087" s="369"/>
      <c r="D2087" s="368" t="s">
        <v>254</v>
      </c>
      <c r="J2087" s="370"/>
      <c r="K2087" s="370"/>
      <c r="L2087" s="372"/>
      <c r="M2087" s="37"/>
      <c r="N2087" s="370"/>
      <c r="O2087" s="456">
        <f>SUM(TrialBalanceA!I111:I112)</f>
        <v>0</v>
      </c>
      <c r="P2087" s="380"/>
      <c r="Q2087" s="389"/>
      <c r="R2087" s="416" t="str">
        <f t="shared" si="149"/>
        <v>DELETE</v>
      </c>
      <c r="T2087" s="425"/>
    </row>
    <row r="2088" spans="2:20" ht="31.5" customHeight="1" x14ac:dyDescent="0.45">
      <c r="B2088" s="388"/>
      <c r="C2088" s="369"/>
      <c r="D2088" s="368" t="s">
        <v>262</v>
      </c>
      <c r="J2088" s="370"/>
      <c r="K2088" s="370"/>
      <c r="L2088" s="372"/>
      <c r="M2088" s="37"/>
      <c r="N2088" s="370"/>
      <c r="O2088" s="456">
        <f>TrialBalanceA!I113</f>
        <v>0</v>
      </c>
      <c r="P2088" s="380"/>
      <c r="Q2088" s="389"/>
      <c r="R2088" s="416" t="str">
        <f t="shared" si="149"/>
        <v>DELETE</v>
      </c>
      <c r="T2088" s="425"/>
    </row>
    <row r="2089" spans="2:20" ht="31.5" customHeight="1" x14ac:dyDescent="0.45">
      <c r="B2089" s="388"/>
      <c r="C2089" s="369"/>
      <c r="D2089" s="368" t="s">
        <v>737</v>
      </c>
      <c r="J2089" s="370"/>
      <c r="K2089" s="370"/>
      <c r="L2089" s="372"/>
      <c r="M2089" s="37"/>
      <c r="N2089" s="370"/>
      <c r="O2089" s="456">
        <f>TrialBalanceA!I114</f>
        <v>0</v>
      </c>
      <c r="P2089" s="380"/>
      <c r="Q2089" s="389"/>
      <c r="R2089" s="416" t="str">
        <f t="shared" si="149"/>
        <v>DELETE</v>
      </c>
      <c r="T2089" s="425"/>
    </row>
    <row r="2090" spans="2:20" ht="31.5" customHeight="1" x14ac:dyDescent="0.45">
      <c r="B2090" s="388"/>
      <c r="C2090" s="369"/>
      <c r="D2090" s="368" t="s">
        <v>88</v>
      </c>
      <c r="J2090" s="370"/>
      <c r="K2090" s="370"/>
      <c r="L2090" s="372"/>
      <c r="M2090" s="37"/>
      <c r="N2090" s="370"/>
      <c r="O2090" s="456">
        <f>TrialBalanceA!I115</f>
        <v>0</v>
      </c>
      <c r="P2090" s="380"/>
      <c r="Q2090" s="389"/>
      <c r="R2090" s="416" t="str">
        <f t="shared" si="149"/>
        <v>DELETE</v>
      </c>
      <c r="T2090" s="425"/>
    </row>
    <row r="2091" spans="2:20" ht="31.5" customHeight="1" x14ac:dyDescent="0.45">
      <c r="B2091" s="388"/>
      <c r="C2091" s="369"/>
      <c r="D2091" s="368" t="str">
        <f>IF(MAX(Criteria!I38:I42)&gt;1,"Trustees' remuneration","Trustee's remuneration")</f>
        <v>Trustees' remuneration</v>
      </c>
      <c r="J2091" s="370"/>
      <c r="K2091" s="370">
        <f>C$688</f>
        <v>6.1</v>
      </c>
      <c r="L2091" s="372"/>
      <c r="M2091" s="37"/>
      <c r="N2091" s="370"/>
      <c r="O2091" s="456">
        <f>SUM(TrialBalanceA!I98:I102)</f>
        <v>0</v>
      </c>
      <c r="P2091" s="380"/>
      <c r="Q2091" s="389"/>
      <c r="R2091" s="416" t="str">
        <f t="shared" si="149"/>
        <v>DELETE</v>
      </c>
      <c r="T2091" s="425"/>
    </row>
    <row r="2092" spans="2:20" ht="31.5" customHeight="1" x14ac:dyDescent="0.45">
      <c r="B2092" s="388"/>
      <c r="C2092" s="369"/>
      <c r="D2092" s="368">
        <f>TrialBalanceA!C116</f>
        <v>0</v>
      </c>
      <c r="J2092" s="370"/>
      <c r="K2092" s="370"/>
      <c r="L2092" s="372"/>
      <c r="M2092" s="37"/>
      <c r="N2092" s="370"/>
      <c r="O2092" s="456">
        <f>TrialBalanceA!I116</f>
        <v>0</v>
      </c>
      <c r="P2092" s="380"/>
      <c r="Q2092" s="389"/>
      <c r="R2092" s="416" t="str">
        <f t="shared" si="149"/>
        <v>DELETE</v>
      </c>
      <c r="T2092" s="425"/>
    </row>
    <row r="2093" spans="2:20" ht="31.5" customHeight="1" x14ac:dyDescent="0.45">
      <c r="B2093" s="388"/>
      <c r="C2093" s="369"/>
      <c r="D2093" s="368">
        <f>TrialBalanceA!C117</f>
        <v>0</v>
      </c>
      <c r="J2093" s="370"/>
      <c r="K2093" s="370"/>
      <c r="L2093" s="372"/>
      <c r="M2093" s="37"/>
      <c r="N2093" s="370"/>
      <c r="O2093" s="456">
        <f>TrialBalanceA!I117</f>
        <v>0</v>
      </c>
      <c r="P2093" s="380"/>
      <c r="Q2093" s="389"/>
      <c r="R2093" s="416" t="str">
        <f t="shared" si="149"/>
        <v>DELETE</v>
      </c>
      <c r="T2093" s="425"/>
    </row>
    <row r="2094" spans="2:20" ht="31.5" customHeight="1" x14ac:dyDescent="0.45">
      <c r="B2094" s="388"/>
      <c r="C2094" s="369"/>
      <c r="D2094" s="368">
        <f>TrialBalanceA!C118</f>
        <v>0</v>
      </c>
      <c r="J2094" s="370"/>
      <c r="K2094" s="370"/>
      <c r="L2094" s="372"/>
      <c r="M2094" s="37"/>
      <c r="N2094" s="370"/>
      <c r="O2094" s="456">
        <f>TrialBalanceA!I118</f>
        <v>0</v>
      </c>
      <c r="P2094" s="380"/>
      <c r="Q2094" s="389"/>
      <c r="R2094" s="416" t="str">
        <f t="shared" si="149"/>
        <v>DELETE</v>
      </c>
      <c r="T2094" s="425"/>
    </row>
    <row r="2095" spans="2:20" ht="31.5" customHeight="1" x14ac:dyDescent="0.45">
      <c r="B2095" s="388"/>
      <c r="C2095" s="369"/>
      <c r="D2095" s="368">
        <f>TrialBalanceA!C119</f>
        <v>0</v>
      </c>
      <c r="J2095" s="370"/>
      <c r="K2095" s="370"/>
      <c r="L2095" s="372"/>
      <c r="M2095" s="37"/>
      <c r="N2095" s="370"/>
      <c r="O2095" s="456">
        <f>TrialBalanceA!I119</f>
        <v>0</v>
      </c>
      <c r="P2095" s="380"/>
      <c r="Q2095" s="389"/>
      <c r="R2095" s="416" t="str">
        <f t="shared" si="149"/>
        <v>DELETE</v>
      </c>
      <c r="T2095" s="425"/>
    </row>
    <row r="2096" spans="2:20" ht="31.5" customHeight="1" x14ac:dyDescent="0.45">
      <c r="B2096" s="388"/>
      <c r="C2096" s="369"/>
      <c r="D2096" s="368">
        <f>TrialBalanceA!C120</f>
        <v>0</v>
      </c>
      <c r="J2096" s="370"/>
      <c r="K2096" s="370"/>
      <c r="L2096" s="372"/>
      <c r="M2096" s="37"/>
      <c r="N2096" s="370"/>
      <c r="O2096" s="456">
        <f>TrialBalanceA!I120</f>
        <v>0</v>
      </c>
      <c r="P2096" s="380"/>
      <c r="Q2096" s="389"/>
      <c r="R2096" s="416" t="str">
        <f t="shared" si="149"/>
        <v>DELETE</v>
      </c>
      <c r="T2096" s="425"/>
    </row>
    <row r="2097" spans="2:24" ht="31.5" customHeight="1" x14ac:dyDescent="0.45">
      <c r="B2097" s="388"/>
      <c r="C2097" s="369"/>
      <c r="D2097" s="368">
        <f>TrialBalanceA!C121</f>
        <v>0</v>
      </c>
      <c r="J2097" s="370"/>
      <c r="K2097" s="370"/>
      <c r="L2097" s="372"/>
      <c r="M2097" s="37"/>
      <c r="N2097" s="370"/>
      <c r="O2097" s="456">
        <f>TrialBalanceA!I121</f>
        <v>0</v>
      </c>
      <c r="P2097" s="380"/>
      <c r="Q2097" s="389"/>
      <c r="R2097" s="416" t="str">
        <f t="shared" si="149"/>
        <v>DELETE</v>
      </c>
      <c r="T2097" s="425"/>
    </row>
    <row r="2098" spans="2:24" ht="31.5" customHeight="1" x14ac:dyDescent="0.45">
      <c r="B2098" s="388"/>
      <c r="C2098" s="369"/>
      <c r="D2098" s="368">
        <f>TrialBalanceA!C122</f>
        <v>0</v>
      </c>
      <c r="J2098" s="370"/>
      <c r="K2098" s="370"/>
      <c r="L2098" s="372"/>
      <c r="M2098" s="37"/>
      <c r="N2098" s="370"/>
      <c r="O2098" s="456">
        <f>TrialBalanceA!I122</f>
        <v>0</v>
      </c>
      <c r="P2098" s="380"/>
      <c r="Q2098" s="389"/>
      <c r="R2098" s="416" t="str">
        <f t="shared" si="149"/>
        <v>DELETE</v>
      </c>
      <c r="T2098" s="425"/>
    </row>
    <row r="2099" spans="2:24" ht="31.5" customHeight="1" x14ac:dyDescent="0.45">
      <c r="B2099" s="388"/>
      <c r="C2099" s="369"/>
      <c r="D2099" s="368">
        <f>TrialBalanceA!C123</f>
        <v>0</v>
      </c>
      <c r="J2099" s="370"/>
      <c r="K2099" s="370"/>
      <c r="L2099" s="372"/>
      <c r="M2099" s="37"/>
      <c r="N2099" s="370"/>
      <c r="O2099" s="456">
        <f>TrialBalanceA!I123</f>
        <v>0</v>
      </c>
      <c r="P2099" s="380"/>
      <c r="Q2099" s="389"/>
      <c r="R2099" s="416" t="str">
        <f t="shared" si="149"/>
        <v>DELETE</v>
      </c>
      <c r="T2099" s="425"/>
    </row>
    <row r="2100" spans="2:24" ht="31.5" customHeight="1" x14ac:dyDescent="0.45">
      <c r="B2100" s="388"/>
      <c r="C2100" s="369"/>
      <c r="D2100" s="368">
        <f>TrialBalanceA!C124</f>
        <v>0</v>
      </c>
      <c r="J2100" s="370"/>
      <c r="K2100" s="370"/>
      <c r="L2100" s="372"/>
      <c r="M2100" s="37"/>
      <c r="N2100" s="370"/>
      <c r="O2100" s="456">
        <f>TrialBalanceA!I124</f>
        <v>0</v>
      </c>
      <c r="P2100" s="380"/>
      <c r="Q2100" s="389"/>
      <c r="R2100" s="416" t="str">
        <f t="shared" si="149"/>
        <v>DELETE</v>
      </c>
      <c r="T2100" s="425"/>
    </row>
    <row r="2101" spans="2:24" ht="31.5" customHeight="1" x14ac:dyDescent="0.45">
      <c r="B2101" s="388"/>
      <c r="C2101" s="369"/>
      <c r="D2101" s="368" t="str">
        <f>TrialBalanceA!C125</f>
        <v>Amortisation of prepaid lease agreement</v>
      </c>
      <c r="J2101" s="370"/>
      <c r="K2101" s="370"/>
      <c r="L2101" s="372"/>
      <c r="M2101" s="37"/>
      <c r="N2101" s="370"/>
      <c r="O2101" s="456">
        <f>TrialBalanceA!I125</f>
        <v>0</v>
      </c>
      <c r="P2101" s="380"/>
      <c r="Q2101" s="389"/>
      <c r="R2101" s="416" t="str">
        <f t="shared" si="149"/>
        <v>DELETE</v>
      </c>
      <c r="T2101" s="425"/>
    </row>
    <row r="2102" spans="2:24" ht="31.5" customHeight="1" x14ac:dyDescent="0.45">
      <c r="B2102" s="388"/>
      <c r="C2102" s="369"/>
      <c r="D2102" s="368" t="str">
        <f>TrialBalanceA!C126</f>
        <v>Amortisation of goodwill</v>
      </c>
      <c r="J2102" s="370"/>
      <c r="K2102" s="370"/>
      <c r="L2102" s="372"/>
      <c r="M2102" s="37"/>
      <c r="N2102" s="370"/>
      <c r="O2102" s="456">
        <f>TrialBalanceA!I126</f>
        <v>0</v>
      </c>
      <c r="P2102" s="380"/>
      <c r="Q2102" s="389"/>
      <c r="R2102" s="416" t="str">
        <f t="shared" ref="R2102" si="150">IF(R$1970="DELETE","DELETE",IF(O2102=0,"DELETE"," "))</f>
        <v>DELETE</v>
      </c>
      <c r="T2102" s="425"/>
    </row>
    <row r="2103" spans="2:24" ht="9" customHeight="1" x14ac:dyDescent="0.45">
      <c r="B2103" s="388"/>
      <c r="C2103" s="369"/>
      <c r="J2103" s="370"/>
      <c r="K2103" s="370"/>
      <c r="L2103" s="372"/>
      <c r="M2103" s="37"/>
      <c r="N2103" s="370"/>
      <c r="O2103" s="457"/>
      <c r="P2103" s="380"/>
      <c r="Q2103" s="389"/>
      <c r="R2103" s="416" t="str">
        <f>R2068</f>
        <v>DELETE</v>
      </c>
      <c r="T2103" s="425"/>
    </row>
    <row r="2104" spans="2:24" ht="9" customHeight="1" x14ac:dyDescent="0.45">
      <c r="B2104" s="388"/>
      <c r="C2104" s="369"/>
      <c r="J2104" s="370"/>
      <c r="K2104" s="370"/>
      <c r="L2104" s="372"/>
      <c r="M2104" s="37"/>
      <c r="N2104" s="370"/>
      <c r="O2104" s="438"/>
      <c r="P2104" s="380"/>
      <c r="Q2104" s="389"/>
      <c r="R2104" s="416" t="str">
        <f>R$1970</f>
        <v>DELETE</v>
      </c>
      <c r="T2104" s="425"/>
    </row>
    <row r="2105" spans="2:24" ht="9" customHeight="1" x14ac:dyDescent="0.45">
      <c r="B2105" s="388"/>
      <c r="C2105" s="369"/>
      <c r="J2105" s="370"/>
      <c r="K2105" s="370"/>
      <c r="L2105" s="372"/>
      <c r="M2105" s="37"/>
      <c r="N2105" s="370"/>
      <c r="O2105" s="434"/>
      <c r="P2105" s="380"/>
      <c r="Q2105" s="389"/>
      <c r="R2105" s="416" t="str">
        <f>R$1970</f>
        <v>DELETE</v>
      </c>
      <c r="T2105" s="425"/>
    </row>
    <row r="2106" spans="2:24" ht="31.5" customHeight="1" x14ac:dyDescent="0.45">
      <c r="B2106" s="388"/>
      <c r="C2106" s="411" t="str">
        <f>IF(O2106&lt;0,"OPERATING LOSS FOR THE YEAR","OPERATING PROFIT FOR THE YEAR")</f>
        <v>OPERATING PROFIT FOR THE YEAR</v>
      </c>
      <c r="J2106" s="370"/>
      <c r="K2106" s="370">
        <f>FS!B685</f>
        <v>6</v>
      </c>
      <c r="L2106" s="372"/>
      <c r="M2106" s="37"/>
      <c r="N2106" s="370"/>
      <c r="O2106" s="434">
        <f>SUM(S1982:S2103)</f>
        <v>0</v>
      </c>
      <c r="P2106" s="380"/>
      <c r="Q2106" s="389"/>
      <c r="R2106" s="416" t="str">
        <f>R$1970</f>
        <v>DELETE</v>
      </c>
      <c r="T2106" s="425"/>
    </row>
    <row r="2107" spans="2:24" ht="31.5" customHeight="1" x14ac:dyDescent="0.45">
      <c r="B2107" s="388"/>
      <c r="C2107" s="369"/>
      <c r="J2107" s="370"/>
      <c r="K2107" s="370"/>
      <c r="L2107" s="372"/>
      <c r="M2107" s="37"/>
      <c r="N2107" s="370"/>
      <c r="O2107" s="434"/>
      <c r="P2107" s="380"/>
      <c r="Q2107" s="389"/>
      <c r="R2107" s="416" t="str">
        <f>R$1970</f>
        <v>DELETE</v>
      </c>
      <c r="T2107" s="425"/>
    </row>
    <row r="2108" spans="2:24" ht="31.5" customHeight="1" x14ac:dyDescent="0.45">
      <c r="B2108" s="388"/>
      <c r="C2108" s="369" t="s">
        <v>122</v>
      </c>
      <c r="J2108" s="370"/>
      <c r="K2108" s="370"/>
      <c r="L2108" s="372"/>
      <c r="M2108" s="37"/>
      <c r="N2108" s="370"/>
      <c r="O2108" s="434">
        <f>SUM(O2111:O2115)</f>
        <v>0</v>
      </c>
      <c r="P2108" s="380"/>
      <c r="Q2108" s="389"/>
      <c r="R2108" s="416" t="str">
        <f t="shared" ref="R2108" si="151">IF(R$1970="DELETE","DELETE",IF(O2108=0,"DELETE"," "))</f>
        <v>DELETE</v>
      </c>
      <c r="S2108" s="421">
        <f>O2108</f>
        <v>0</v>
      </c>
      <c r="T2108" s="425"/>
      <c r="U2108" s="421"/>
      <c r="V2108" s="421"/>
      <c r="W2108" s="421"/>
      <c r="X2108" s="421"/>
    </row>
    <row r="2109" spans="2:24" ht="9" customHeight="1" x14ac:dyDescent="0.45">
      <c r="B2109" s="388"/>
      <c r="C2109" s="369"/>
      <c r="J2109" s="370"/>
      <c r="K2109" s="370"/>
      <c r="L2109" s="372"/>
      <c r="M2109" s="37"/>
      <c r="N2109" s="370"/>
      <c r="O2109" s="434"/>
      <c r="P2109" s="380"/>
      <c r="Q2109" s="389"/>
      <c r="R2109" s="416" t="str">
        <f>R2108</f>
        <v>DELETE</v>
      </c>
      <c r="T2109" s="425"/>
    </row>
    <row r="2110" spans="2:24" ht="9" customHeight="1" x14ac:dyDescent="0.45">
      <c r="B2110" s="388"/>
      <c r="C2110" s="369"/>
      <c r="J2110" s="370"/>
      <c r="K2110" s="370"/>
      <c r="L2110" s="372"/>
      <c r="M2110" s="37"/>
      <c r="N2110" s="370"/>
      <c r="O2110" s="455"/>
      <c r="P2110" s="380"/>
      <c r="Q2110" s="389"/>
      <c r="R2110" s="416" t="str">
        <f>R2109</f>
        <v>DELETE</v>
      </c>
      <c r="T2110" s="425"/>
    </row>
    <row r="2111" spans="2:24" ht="31.5" customHeight="1" x14ac:dyDescent="0.45">
      <c r="B2111" s="388"/>
      <c r="C2111" s="369"/>
      <c r="D2111" s="368" t="s">
        <v>208</v>
      </c>
      <c r="J2111" s="370"/>
      <c r="K2111" s="370"/>
      <c r="L2111" s="372"/>
      <c r="M2111" s="37"/>
      <c r="N2111" s="370"/>
      <c r="O2111" s="456">
        <f>-TrialBalanceA!I82</f>
        <v>0</v>
      </c>
      <c r="P2111" s="380"/>
      <c r="Q2111" s="389"/>
      <c r="R2111" s="416" t="str">
        <f>IF(R$1970="DELETE","DELETE",IF(O2111=0,"DELETE"," "))</f>
        <v>DELETE</v>
      </c>
      <c r="T2111" s="425"/>
    </row>
    <row r="2112" spans="2:24" ht="31.5" customHeight="1" x14ac:dyDescent="0.45">
      <c r="B2112" s="388"/>
      <c r="C2112" s="369"/>
      <c r="D2112" s="368" t="s">
        <v>210</v>
      </c>
      <c r="J2112" s="370"/>
      <c r="K2112" s="370"/>
      <c r="L2112" s="372"/>
      <c r="M2112" s="37"/>
      <c r="N2112" s="370"/>
      <c r="O2112" s="458">
        <f>-SUM(TrialBalanceA!I83)</f>
        <v>0</v>
      </c>
      <c r="P2112" s="380"/>
      <c r="Q2112" s="389"/>
      <c r="R2112" s="416" t="str">
        <f>IF(R$1970="DELETE","DELETE",IF(O2112=0,"DELETE"," "))</f>
        <v>DELETE</v>
      </c>
      <c r="T2112" s="425"/>
    </row>
    <row r="2113" spans="2:24" ht="31.5" customHeight="1" x14ac:dyDescent="0.45">
      <c r="B2113" s="388"/>
      <c r="C2113" s="369"/>
      <c r="D2113" s="368" t="s">
        <v>520</v>
      </c>
      <c r="J2113" s="370"/>
      <c r="K2113" s="370"/>
      <c r="L2113" s="372"/>
      <c r="M2113" s="37"/>
      <c r="N2113" s="370"/>
      <c r="O2113" s="456">
        <f>IF(TrialBalanceA!I81&lt;0,-TrialBalanceA!I81,0)</f>
        <v>0</v>
      </c>
      <c r="P2113" s="380"/>
      <c r="Q2113" s="389"/>
      <c r="R2113" s="416" t="str">
        <f>IF(R$1970="DELETE","DELETE",IF(O2113=0,"DELETE"," "))</f>
        <v>DELETE</v>
      </c>
      <c r="T2113" s="425"/>
    </row>
    <row r="2114" spans="2:24" ht="31.5" customHeight="1" x14ac:dyDescent="0.45">
      <c r="B2114" s="388"/>
      <c r="C2114" s="369"/>
      <c r="D2114" s="368" t="s">
        <v>365</v>
      </c>
      <c r="J2114" s="370"/>
      <c r="K2114" s="370"/>
      <c r="L2114" s="372"/>
      <c r="M2114" s="37"/>
      <c r="N2114" s="370"/>
      <c r="O2114" s="456">
        <f>-TrialBalanceA!I80</f>
        <v>0</v>
      </c>
      <c r="P2114" s="380"/>
      <c r="Q2114" s="389"/>
      <c r="R2114" s="416" t="str">
        <f>IF(R$1970="DELETE","DELETE",IF(O2114=0,"DELETE"," "))</f>
        <v>DELETE</v>
      </c>
      <c r="T2114" s="425"/>
    </row>
    <row r="2115" spans="2:24" ht="9" customHeight="1" x14ac:dyDescent="0.45">
      <c r="B2115" s="388"/>
      <c r="C2115" s="369"/>
      <c r="J2115" s="370"/>
      <c r="K2115" s="370"/>
      <c r="L2115" s="372"/>
      <c r="M2115" s="37"/>
      <c r="N2115" s="370"/>
      <c r="O2115" s="457"/>
      <c r="P2115" s="380"/>
      <c r="Q2115" s="389"/>
      <c r="R2115" s="416" t="str">
        <f>R2108</f>
        <v>DELETE</v>
      </c>
      <c r="T2115" s="425"/>
    </row>
    <row r="2116" spans="2:24" ht="9" customHeight="1" x14ac:dyDescent="0.45">
      <c r="B2116" s="388"/>
      <c r="C2116" s="369"/>
      <c r="J2116" s="370"/>
      <c r="K2116" s="370"/>
      <c r="L2116" s="372"/>
      <c r="M2116" s="37"/>
      <c r="N2116" s="370"/>
      <c r="O2116" s="438"/>
      <c r="P2116" s="380"/>
      <c r="Q2116" s="389"/>
      <c r="R2116" s="416" t="str">
        <f>R2115</f>
        <v>DELETE</v>
      </c>
      <c r="T2116" s="425"/>
    </row>
    <row r="2117" spans="2:24" ht="9" customHeight="1" x14ac:dyDescent="0.45">
      <c r="B2117" s="388"/>
      <c r="C2117" s="369"/>
      <c r="J2117" s="370"/>
      <c r="K2117" s="370"/>
      <c r="L2117" s="372"/>
      <c r="M2117" s="37"/>
      <c r="N2117" s="370"/>
      <c r="O2117" s="434"/>
      <c r="P2117" s="380"/>
      <c r="Q2117" s="389"/>
      <c r="R2117" s="416" t="str">
        <f>R2116</f>
        <v>DELETE</v>
      </c>
      <c r="T2117" s="425"/>
    </row>
    <row r="2118" spans="2:24" ht="31.5" customHeight="1" x14ac:dyDescent="0.45">
      <c r="B2118" s="388"/>
      <c r="C2118" s="369"/>
      <c r="J2118" s="370"/>
      <c r="K2118" s="370"/>
      <c r="L2118" s="372"/>
      <c r="M2118" s="37"/>
      <c r="N2118" s="370"/>
      <c r="O2118" s="434">
        <f>SUM(S1982:S2115)</f>
        <v>0</v>
      </c>
      <c r="P2118" s="380"/>
      <c r="Q2118" s="389"/>
      <c r="R2118" s="416" t="str">
        <f>R2117</f>
        <v>DELETE</v>
      </c>
      <c r="T2118" s="425"/>
    </row>
    <row r="2119" spans="2:24" ht="31.5" customHeight="1" x14ac:dyDescent="0.45">
      <c r="B2119" s="388"/>
      <c r="C2119" s="369"/>
      <c r="J2119" s="370"/>
      <c r="K2119" s="370"/>
      <c r="L2119" s="372"/>
      <c r="M2119" s="37"/>
      <c r="N2119" s="370"/>
      <c r="O2119" s="434"/>
      <c r="P2119" s="380"/>
      <c r="Q2119" s="389"/>
      <c r="R2119" s="416" t="str">
        <f>R2118</f>
        <v>DELETE</v>
      </c>
      <c r="T2119" s="425"/>
    </row>
    <row r="2120" spans="2:24" ht="31.5" customHeight="1" x14ac:dyDescent="0.45">
      <c r="B2120" s="388"/>
      <c r="C2120" s="369" t="s">
        <v>263</v>
      </c>
      <c r="J2120" s="370"/>
      <c r="K2120" s="370">
        <f>FS!B602</f>
        <v>5</v>
      </c>
      <c r="L2120" s="372"/>
      <c r="M2120" s="37"/>
      <c r="N2120" s="370"/>
      <c r="O2120" s="434">
        <f>SUM(TrialBalanceA!I129:I139)</f>
        <v>0</v>
      </c>
      <c r="P2120" s="380"/>
      <c r="Q2120" s="389"/>
      <c r="R2120" s="416" t="str">
        <f t="shared" ref="R2120" si="152">IF(R$1970="DELETE","DELETE",IF(O2120=0,"DELETE"," "))</f>
        <v>DELETE</v>
      </c>
      <c r="S2120" s="421">
        <f>-O2120</f>
        <v>0</v>
      </c>
      <c r="T2120" s="425"/>
      <c r="U2120" s="421"/>
      <c r="V2120" s="421"/>
      <c r="W2120" s="421"/>
      <c r="X2120" s="421"/>
    </row>
    <row r="2121" spans="2:24" ht="9" customHeight="1" x14ac:dyDescent="0.45">
      <c r="B2121" s="388"/>
      <c r="C2121" s="369"/>
      <c r="J2121" s="370"/>
      <c r="K2121" s="370"/>
      <c r="L2121" s="372"/>
      <c r="M2121" s="37"/>
      <c r="N2121" s="370"/>
      <c r="O2121" s="438"/>
      <c r="P2121" s="380"/>
      <c r="Q2121" s="389"/>
      <c r="R2121" s="416" t="str">
        <f t="shared" ref="R2121:R2129" si="153">R$1970</f>
        <v>DELETE</v>
      </c>
      <c r="T2121" s="425"/>
    </row>
    <row r="2122" spans="2:24" ht="9" customHeight="1" x14ac:dyDescent="0.45">
      <c r="B2122" s="388"/>
      <c r="C2122" s="369"/>
      <c r="J2122" s="370"/>
      <c r="K2122" s="370"/>
      <c r="L2122" s="372"/>
      <c r="M2122" s="37"/>
      <c r="N2122" s="370"/>
      <c r="O2122" s="434"/>
      <c r="P2122" s="380"/>
      <c r="Q2122" s="389"/>
      <c r="R2122" s="416" t="str">
        <f t="shared" si="153"/>
        <v>DELETE</v>
      </c>
      <c r="T2122" s="425"/>
    </row>
    <row r="2123" spans="2:24" ht="31.5" customHeight="1" x14ac:dyDescent="0.45">
      <c r="B2123" s="388"/>
      <c r="C2123" s="411" t="str">
        <f>IF(O2123&lt;0,"NET LOSS BEFORE TAXATION","NET PROFIT BEFORE TAXATION")</f>
        <v>NET PROFIT BEFORE TAXATION</v>
      </c>
      <c r="J2123" s="370"/>
      <c r="K2123" s="370"/>
      <c r="L2123" s="372"/>
      <c r="M2123" s="37"/>
      <c r="N2123" s="370"/>
      <c r="O2123" s="434">
        <f>SUM(S1982:S2122)</f>
        <v>0</v>
      </c>
      <c r="P2123" s="380"/>
      <c r="Q2123" s="389"/>
      <c r="R2123" s="416" t="str">
        <f t="shared" si="153"/>
        <v>DELETE</v>
      </c>
      <c r="T2123" s="425"/>
      <c r="V2123" s="417" t="b">
        <f>O2123=M307</f>
        <v>1</v>
      </c>
    </row>
    <row r="2124" spans="2:24" ht="9" customHeight="1" thickBot="1" x14ac:dyDescent="0.5">
      <c r="B2124" s="388"/>
      <c r="C2124" s="369"/>
      <c r="J2124" s="370"/>
      <c r="K2124" s="370"/>
      <c r="L2124" s="372"/>
      <c r="M2124" s="37"/>
      <c r="N2124" s="370"/>
      <c r="O2124" s="439"/>
      <c r="P2124" s="380"/>
      <c r="Q2124" s="389"/>
      <c r="R2124" s="416" t="str">
        <f t="shared" si="153"/>
        <v>DELETE</v>
      </c>
      <c r="T2124" s="425"/>
    </row>
    <row r="2125" spans="2:24" ht="9" customHeight="1" thickTop="1" x14ac:dyDescent="0.45">
      <c r="B2125" s="388"/>
      <c r="C2125" s="369"/>
      <c r="J2125" s="370"/>
      <c r="K2125" s="370"/>
      <c r="L2125" s="372"/>
      <c r="M2125" s="37"/>
      <c r="N2125" s="370"/>
      <c r="O2125" s="441"/>
      <c r="P2125" s="380"/>
      <c r="Q2125" s="389"/>
      <c r="R2125" s="416" t="str">
        <f t="shared" si="153"/>
        <v>DELETE</v>
      </c>
      <c r="T2125" s="425"/>
    </row>
    <row r="2126" spans="2:24" ht="31.5" customHeight="1" x14ac:dyDescent="0.45">
      <c r="B2126" s="388"/>
      <c r="C2126" s="369"/>
      <c r="J2126" s="370"/>
      <c r="K2126" s="370"/>
      <c r="L2126" s="372"/>
      <c r="M2126" s="37"/>
      <c r="N2126" s="370"/>
      <c r="O2126" s="434"/>
      <c r="P2126" s="380"/>
      <c r="Q2126" s="389"/>
      <c r="R2126" s="416" t="str">
        <f t="shared" si="153"/>
        <v>DELETE</v>
      </c>
      <c r="T2126" s="425"/>
    </row>
    <row r="2127" spans="2:24" ht="31.5" customHeight="1" x14ac:dyDescent="0.45">
      <c r="B2127" s="388"/>
      <c r="C2127" s="369"/>
      <c r="J2127" s="370"/>
      <c r="K2127" s="370"/>
      <c r="L2127" s="370"/>
      <c r="M2127" s="434"/>
      <c r="N2127" s="390"/>
      <c r="O2127" s="434"/>
      <c r="P2127" s="380"/>
      <c r="Q2127" s="389"/>
      <c r="R2127" s="416" t="str">
        <f t="shared" si="153"/>
        <v>DELETE</v>
      </c>
      <c r="T2127" s="425"/>
    </row>
    <row r="2128" spans="2:24" ht="31.5" customHeight="1" x14ac:dyDescent="0.45">
      <c r="B2128" s="396"/>
      <c r="C2128" s="383"/>
      <c r="D2128" s="383"/>
      <c r="E2128" s="383"/>
      <c r="F2128" s="383"/>
      <c r="G2128" s="383"/>
      <c r="H2128" s="383"/>
      <c r="I2128" s="383"/>
      <c r="J2128" s="383"/>
      <c r="K2128" s="383"/>
      <c r="L2128" s="383"/>
      <c r="M2128" s="482"/>
      <c r="N2128" s="483"/>
      <c r="O2128" s="482"/>
      <c r="P2128" s="475"/>
      <c r="Q2128" s="398"/>
      <c r="R2128" s="416" t="str">
        <f t="shared" si="153"/>
        <v>DELETE</v>
      </c>
      <c r="T2128" s="425"/>
    </row>
    <row r="2129" spans="2:24" ht="31.5" customHeight="1" x14ac:dyDescent="0.45">
      <c r="M2129" s="479"/>
      <c r="N2129" s="469"/>
      <c r="O2129" s="479"/>
      <c r="R2129" s="416" t="str">
        <f t="shared" si="153"/>
        <v>DELETE</v>
      </c>
      <c r="T2129" s="425"/>
    </row>
    <row r="2130" spans="2:24" ht="31.5" customHeight="1" x14ac:dyDescent="0.45">
      <c r="M2130" s="479"/>
      <c r="N2130" s="469"/>
      <c r="O2130" s="479"/>
      <c r="R2130" s="416" t="str">
        <f>IF(SUM(U2142:U2144)+SUM(U2162:U2169)+SUM(U2268:U2275)+O2283=0,"DELETE",IF(SUM(S2142:S2144)+SUM(U2142:U2144)+SUM(S2162:S2169)+SUM(U2162:U2169)+SUM(S2268:S2275)+SUM(U2268:U2275)+M2283+O2283=0,"DELETE"," "))</f>
        <v>DELETE</v>
      </c>
      <c r="T2130" s="425"/>
      <c r="V2130" s="420"/>
      <c r="W2130" s="420"/>
      <c r="X2130" s="420"/>
    </row>
    <row r="2131" spans="2:24" ht="31.5" customHeight="1" x14ac:dyDescent="0.45">
      <c r="D2131" s="369" t="s">
        <v>614</v>
      </c>
      <c r="M2131" s="479"/>
      <c r="N2131" s="469"/>
      <c r="O2131" s="479"/>
      <c r="R2131" s="416" t="str">
        <f>R$2130</f>
        <v>DELETE</v>
      </c>
      <c r="T2131" s="425"/>
      <c r="V2131" s="419"/>
      <c r="X2131" s="419"/>
    </row>
    <row r="2132" spans="2:24" ht="31.5" customHeight="1" x14ac:dyDescent="0.45">
      <c r="M2132" s="479"/>
      <c r="N2132" s="469"/>
      <c r="O2132" s="479"/>
      <c r="R2132" s="416" t="str">
        <f t="shared" ref="R2132:R2141" si="154">R$2130</f>
        <v>DELETE</v>
      </c>
      <c r="T2132" s="425"/>
    </row>
    <row r="2133" spans="2:24" ht="31.5" customHeight="1" x14ac:dyDescent="0.45">
      <c r="D2133" s="369" t="str">
        <f>Criteria!E9</f>
        <v>ABC TRUST</v>
      </c>
      <c r="M2133" s="479"/>
      <c r="N2133" s="469"/>
      <c r="O2133" s="434" t="s">
        <v>105</v>
      </c>
      <c r="Q2133" s="370">
        <v>1</v>
      </c>
      <c r="R2133" s="416" t="str">
        <f t="shared" si="154"/>
        <v>DELETE</v>
      </c>
      <c r="T2133" s="425"/>
    </row>
    <row r="2134" spans="2:24" ht="31.5" customHeight="1" x14ac:dyDescent="0.45">
      <c r="D2134" s="369" t="str">
        <f>CONCATENATE("T/A ",Criteria!E15)</f>
        <v>T/A SURF SHOP</v>
      </c>
      <c r="M2134" s="479"/>
      <c r="N2134" s="469"/>
      <c r="O2134" s="479"/>
      <c r="R2134" s="416" t="str">
        <f t="shared" si="154"/>
        <v>DELETE</v>
      </c>
      <c r="T2134" s="425"/>
    </row>
    <row r="2135" spans="2:24" ht="31.5" customHeight="1" x14ac:dyDescent="0.45">
      <c r="M2135" s="479"/>
      <c r="N2135" s="469"/>
      <c r="O2135" s="479"/>
      <c r="R2135" s="416" t="str">
        <f t="shared" si="154"/>
        <v>DELETE</v>
      </c>
      <c r="T2135" s="425"/>
    </row>
    <row r="2136" spans="2:24" ht="31.5" customHeight="1" x14ac:dyDescent="0.45">
      <c r="D2136" s="369" t="s">
        <v>100</v>
      </c>
      <c r="M2136" s="479"/>
      <c r="N2136" s="469"/>
      <c r="O2136" s="479"/>
      <c r="R2136" s="416" t="str">
        <f t="shared" si="154"/>
        <v>DELETE</v>
      </c>
      <c r="T2136" s="425"/>
    </row>
    <row r="2137" spans="2:24" ht="31.5" customHeight="1" x14ac:dyDescent="0.45">
      <c r="D2137" s="369" t="str">
        <f>Criteria!E20</f>
        <v>29 FEBRUARY 2024</v>
      </c>
      <c r="M2137" s="479"/>
      <c r="N2137" s="469"/>
      <c r="O2137" s="479"/>
      <c r="R2137" s="416" t="str">
        <f t="shared" si="154"/>
        <v>DELETE</v>
      </c>
      <c r="T2137" s="425"/>
    </row>
    <row r="2138" spans="2:24" ht="31.5" customHeight="1" x14ac:dyDescent="0.45">
      <c r="M2138" s="479"/>
      <c r="N2138" s="469"/>
      <c r="O2138" s="479"/>
      <c r="R2138" s="416" t="str">
        <f t="shared" si="154"/>
        <v>DELETE</v>
      </c>
      <c r="T2138" s="425"/>
    </row>
    <row r="2139" spans="2:24" ht="31.5" customHeight="1" x14ac:dyDescent="0.45">
      <c r="B2139" s="385"/>
      <c r="C2139" s="386"/>
      <c r="D2139" s="386"/>
      <c r="E2139" s="386"/>
      <c r="F2139" s="386"/>
      <c r="G2139" s="386"/>
      <c r="H2139" s="386"/>
      <c r="I2139" s="386"/>
      <c r="J2139" s="386"/>
      <c r="K2139" s="386"/>
      <c r="L2139" s="386"/>
      <c r="M2139" s="484"/>
      <c r="N2139" s="485"/>
      <c r="O2139" s="484"/>
      <c r="P2139" s="481"/>
      <c r="Q2139" s="387"/>
      <c r="R2139" s="416" t="str">
        <f t="shared" si="154"/>
        <v>DELETE</v>
      </c>
      <c r="T2139" s="425"/>
    </row>
    <row r="2140" spans="2:24" ht="31.5" customHeight="1" x14ac:dyDescent="0.45">
      <c r="B2140" s="388"/>
      <c r="J2140" s="370"/>
      <c r="K2140" s="370" t="s">
        <v>113</v>
      </c>
      <c r="L2140" s="370"/>
      <c r="M2140" s="430">
        <f>Criteria!E22</f>
        <v>2024</v>
      </c>
      <c r="N2140" s="379"/>
      <c r="O2140" s="430">
        <f>Criteria!E27</f>
        <v>2023</v>
      </c>
      <c r="P2140" s="380"/>
      <c r="Q2140" s="389"/>
      <c r="R2140" s="416" t="str">
        <f t="shared" si="154"/>
        <v>DELETE</v>
      </c>
      <c r="T2140" s="425"/>
    </row>
    <row r="2141" spans="2:24" ht="31.5" customHeight="1" x14ac:dyDescent="0.45">
      <c r="B2141" s="388"/>
      <c r="J2141" s="370"/>
      <c r="K2141" s="370"/>
      <c r="L2141" s="370"/>
      <c r="M2141" s="434"/>
      <c r="N2141" s="390"/>
      <c r="O2141" s="434"/>
      <c r="P2141" s="380"/>
      <c r="Q2141" s="389"/>
      <c r="R2141" s="416" t="str">
        <f t="shared" si="154"/>
        <v>DELETE</v>
      </c>
      <c r="T2141" s="425"/>
    </row>
    <row r="2142" spans="2:24" ht="31.5" customHeight="1" x14ac:dyDescent="0.45">
      <c r="B2142" s="388"/>
      <c r="C2142" s="369" t="s">
        <v>1044</v>
      </c>
      <c r="J2142" s="370"/>
      <c r="K2142" s="370"/>
      <c r="L2142" s="370"/>
      <c r="M2142" s="434">
        <f>-SUM(TrialBalanceB!I6:I7)</f>
        <v>0</v>
      </c>
      <c r="N2142" s="390"/>
      <c r="O2142" s="434">
        <f>-SUM(TrialBalanceB!K6:K7)</f>
        <v>0</v>
      </c>
      <c r="P2142" s="380"/>
      <c r="Q2142" s="389"/>
      <c r="R2142" s="416" t="str">
        <f>IF(R2130="DELETE","DELETE",IF(M2142+O2142=0,IF(M2144+O2144=0," ","DELETE")," "))</f>
        <v>DELETE</v>
      </c>
      <c r="S2142" s="421">
        <f>M2142</f>
        <v>0</v>
      </c>
      <c r="T2142" s="425"/>
      <c r="U2142" s="421">
        <f>O2142</f>
        <v>0</v>
      </c>
      <c r="V2142" s="421"/>
      <c r="W2142" s="421"/>
      <c r="X2142" s="421"/>
    </row>
    <row r="2143" spans="2:24" ht="31.5" customHeight="1" x14ac:dyDescent="0.45">
      <c r="B2143" s="388"/>
      <c r="C2143" s="369"/>
      <c r="J2143" s="370"/>
      <c r="K2143" s="370"/>
      <c r="L2143" s="370"/>
      <c r="M2143" s="434"/>
      <c r="N2143" s="390"/>
      <c r="O2143" s="434"/>
      <c r="P2143" s="380"/>
      <c r="Q2143" s="389"/>
      <c r="R2143" s="416" t="str">
        <f>R2142</f>
        <v>DELETE</v>
      </c>
      <c r="S2143" s="421"/>
      <c r="T2143" s="425"/>
      <c r="U2143" s="421"/>
      <c r="V2143" s="421"/>
      <c r="W2143" s="421"/>
      <c r="X2143" s="421"/>
    </row>
    <row r="2144" spans="2:24" ht="31.5" customHeight="1" x14ac:dyDescent="0.45">
      <c r="B2144" s="388"/>
      <c r="C2144" s="369" t="s">
        <v>497</v>
      </c>
      <c r="J2144" s="370"/>
      <c r="K2144" s="370"/>
      <c r="L2144" s="370"/>
      <c r="M2144" s="434">
        <f>-TrialBalanceB!I8</f>
        <v>0</v>
      </c>
      <c r="N2144" s="390"/>
      <c r="O2144" s="434">
        <f>-TrialBalanceB!K8</f>
        <v>0</v>
      </c>
      <c r="P2144" s="380"/>
      <c r="Q2144" s="389"/>
      <c r="R2144" s="416" t="str">
        <f>IF(R$2130="DELETE","DELETE",IF(M2144+O2144=0,"DELETE"," "))</f>
        <v>DELETE</v>
      </c>
      <c r="S2144" s="421">
        <f>M2144</f>
        <v>0</v>
      </c>
      <c r="T2144" s="425"/>
      <c r="U2144" s="421">
        <f>O2144</f>
        <v>0</v>
      </c>
      <c r="V2144" s="421"/>
      <c r="W2144" s="421"/>
      <c r="X2144" s="421"/>
    </row>
    <row r="2145" spans="2:26" ht="31.5" customHeight="1" x14ac:dyDescent="0.45">
      <c r="B2145" s="388"/>
      <c r="C2145" s="369"/>
      <c r="J2145" s="370"/>
      <c r="K2145" s="370"/>
      <c r="L2145" s="370"/>
      <c r="M2145" s="434"/>
      <c r="N2145" s="390"/>
      <c r="O2145" s="434"/>
      <c r="P2145" s="380"/>
      <c r="Q2145" s="389"/>
      <c r="R2145" s="416" t="str">
        <f>R2144</f>
        <v>DELETE</v>
      </c>
      <c r="T2145" s="425"/>
    </row>
    <row r="2146" spans="2:26" ht="31.5" customHeight="1" x14ac:dyDescent="0.45">
      <c r="B2146" s="388"/>
      <c r="C2146" s="369" t="s">
        <v>275</v>
      </c>
      <c r="J2146" s="370"/>
      <c r="K2146" s="370"/>
      <c r="L2146" s="370"/>
      <c r="M2146" s="434">
        <f>SUM(M2149:M2156)</f>
        <v>0</v>
      </c>
      <c r="N2146" s="390"/>
      <c r="O2146" s="434">
        <f>SUM(O2149:O2156)</f>
        <v>0</v>
      </c>
      <c r="P2146" s="380"/>
      <c r="Q2146" s="389"/>
      <c r="R2146" s="416" t="str">
        <f>IF(R$2130="DELETE","DELETE",IF(M2146+O2146=0,"DELETE"," "))</f>
        <v>DELETE</v>
      </c>
      <c r="S2146" s="421">
        <f>-M2146</f>
        <v>0</v>
      </c>
      <c r="T2146" s="425"/>
      <c r="U2146" s="421">
        <f>-O2146</f>
        <v>0</v>
      </c>
      <c r="V2146" s="421"/>
      <c r="W2146" s="421"/>
      <c r="X2146" s="421"/>
    </row>
    <row r="2147" spans="2:26" ht="9" customHeight="1" x14ac:dyDescent="0.45">
      <c r="B2147" s="388"/>
      <c r="C2147" s="369"/>
      <c r="J2147" s="370"/>
      <c r="K2147" s="370"/>
      <c r="L2147" s="370"/>
      <c r="M2147" s="434"/>
      <c r="N2147" s="390"/>
      <c r="O2147" s="434"/>
      <c r="P2147" s="380"/>
      <c r="Q2147" s="389"/>
      <c r="R2147" s="416" t="str">
        <f>R2146</f>
        <v>DELETE</v>
      </c>
      <c r="T2147" s="425"/>
    </row>
    <row r="2148" spans="2:26" ht="9" customHeight="1" x14ac:dyDescent="0.45">
      <c r="B2148" s="388"/>
      <c r="C2148" s="369"/>
      <c r="J2148" s="370"/>
      <c r="K2148" s="370"/>
      <c r="L2148" s="370"/>
      <c r="M2148" s="435"/>
      <c r="N2148" s="391"/>
      <c r="O2148" s="450"/>
      <c r="P2148" s="380"/>
      <c r="Q2148" s="389"/>
      <c r="R2148" s="416" t="str">
        <f>R2147</f>
        <v>DELETE</v>
      </c>
      <c r="T2148" s="425"/>
    </row>
    <row r="2149" spans="2:26" ht="31.5" customHeight="1" x14ac:dyDescent="0.45">
      <c r="B2149" s="388"/>
      <c r="C2149" s="369"/>
      <c r="D2149" s="368" t="s">
        <v>499</v>
      </c>
      <c r="J2149" s="370"/>
      <c r="K2149" s="370"/>
      <c r="L2149" s="370"/>
      <c r="M2149" s="436">
        <f>SUM(TrialBalanceB!I10:I13)</f>
        <v>0</v>
      </c>
      <c r="N2149" s="390"/>
      <c r="O2149" s="451">
        <f>SUM(TrialBalanceB!K10:K13)</f>
        <v>0</v>
      </c>
      <c r="P2149" s="380"/>
      <c r="Q2149" s="389"/>
      <c r="R2149" s="416" t="str">
        <f t="shared" ref="R2149:R2156" si="155">IF(R$2130="DELETE","DELETE",IF(M2149+O2149=0,"DELETE"," "))</f>
        <v>DELETE</v>
      </c>
      <c r="T2149" s="425"/>
    </row>
    <row r="2150" spans="2:26" ht="31.5" customHeight="1" x14ac:dyDescent="0.45">
      <c r="B2150" s="388"/>
      <c r="C2150" s="369"/>
      <c r="D2150" s="368" t="s">
        <v>276</v>
      </c>
      <c r="J2150" s="370"/>
      <c r="K2150" s="370"/>
      <c r="L2150" s="370"/>
      <c r="M2150" s="436">
        <f>TrialBalanceB!I14</f>
        <v>0</v>
      </c>
      <c r="N2150" s="390"/>
      <c r="O2150" s="451">
        <f>TrialBalanceB!K14</f>
        <v>0</v>
      </c>
      <c r="P2150" s="380"/>
      <c r="Q2150" s="389"/>
      <c r="R2150" s="416" t="str">
        <f t="shared" si="155"/>
        <v>DELETE</v>
      </c>
      <c r="T2150" s="425"/>
    </row>
    <row r="2151" spans="2:26" ht="31.5" customHeight="1" x14ac:dyDescent="0.45">
      <c r="B2151" s="388"/>
      <c r="C2151" s="369"/>
      <c r="D2151" s="368">
        <f>TrialBalanceB!C15</f>
        <v>0</v>
      </c>
      <c r="J2151" s="370"/>
      <c r="K2151" s="370"/>
      <c r="L2151" s="370"/>
      <c r="M2151" s="436">
        <f>TrialBalanceB!I15</f>
        <v>0</v>
      </c>
      <c r="N2151" s="390"/>
      <c r="O2151" s="451">
        <f>TrialBalanceB!K15</f>
        <v>0</v>
      </c>
      <c r="P2151" s="380"/>
      <c r="Q2151" s="389"/>
      <c r="R2151" s="416" t="str">
        <f t="shared" si="155"/>
        <v>DELETE</v>
      </c>
      <c r="T2151" s="425"/>
    </row>
    <row r="2152" spans="2:26" ht="31.5" customHeight="1" x14ac:dyDescent="0.45">
      <c r="B2152" s="388"/>
      <c r="C2152" s="369"/>
      <c r="D2152" s="368">
        <f>TrialBalanceB!C16</f>
        <v>0</v>
      </c>
      <c r="J2152" s="370"/>
      <c r="K2152" s="370"/>
      <c r="L2152" s="370"/>
      <c r="M2152" s="436">
        <f>TrialBalanceB!I16</f>
        <v>0</v>
      </c>
      <c r="N2152" s="390"/>
      <c r="O2152" s="451">
        <f>TrialBalanceB!K16</f>
        <v>0</v>
      </c>
      <c r="P2152" s="380"/>
      <c r="Q2152" s="389"/>
      <c r="R2152" s="416" t="str">
        <f t="shared" si="155"/>
        <v>DELETE</v>
      </c>
      <c r="T2152" s="425"/>
    </row>
    <row r="2153" spans="2:26" ht="31.5" customHeight="1" x14ac:dyDescent="0.45">
      <c r="B2153" s="388"/>
      <c r="C2153" s="369"/>
      <c r="D2153" s="368">
        <f>TrialBalanceB!C17</f>
        <v>0</v>
      </c>
      <c r="J2153" s="370"/>
      <c r="K2153" s="370"/>
      <c r="L2153" s="370"/>
      <c r="M2153" s="436">
        <f>TrialBalanceB!I17</f>
        <v>0</v>
      </c>
      <c r="N2153" s="390"/>
      <c r="O2153" s="451">
        <f>TrialBalanceB!K17</f>
        <v>0</v>
      </c>
      <c r="P2153" s="380"/>
      <c r="Q2153" s="389"/>
      <c r="R2153" s="416" t="str">
        <f t="shared" si="155"/>
        <v>DELETE</v>
      </c>
      <c r="T2153" s="425"/>
    </row>
    <row r="2154" spans="2:26" ht="31.5" customHeight="1" x14ac:dyDescent="0.45">
      <c r="B2154" s="388"/>
      <c r="C2154" s="369"/>
      <c r="D2154" s="368">
        <f>TrialBalanceB!C18</f>
        <v>0</v>
      </c>
      <c r="J2154" s="370"/>
      <c r="K2154" s="370"/>
      <c r="L2154" s="370"/>
      <c r="M2154" s="436">
        <f>TrialBalanceB!I18</f>
        <v>0</v>
      </c>
      <c r="N2154" s="390"/>
      <c r="O2154" s="451">
        <f>TrialBalanceB!K18</f>
        <v>0</v>
      </c>
      <c r="P2154" s="380"/>
      <c r="Q2154" s="389"/>
      <c r="R2154" s="416" t="str">
        <f t="shared" si="155"/>
        <v>DELETE</v>
      </c>
      <c r="T2154" s="425"/>
    </row>
    <row r="2155" spans="2:26" ht="31.5" customHeight="1" x14ac:dyDescent="0.45">
      <c r="B2155" s="388"/>
      <c r="C2155" s="369"/>
      <c r="D2155" s="368">
        <f>TrialBalanceB!C19</f>
        <v>0</v>
      </c>
      <c r="J2155" s="370"/>
      <c r="K2155" s="370"/>
      <c r="L2155" s="370"/>
      <c r="M2155" s="436">
        <f>TrialBalanceB!I19</f>
        <v>0</v>
      </c>
      <c r="N2155" s="390"/>
      <c r="O2155" s="451">
        <f>TrialBalanceB!K19</f>
        <v>0</v>
      </c>
      <c r="P2155" s="380"/>
      <c r="Q2155" s="389"/>
      <c r="R2155" s="416" t="str">
        <f t="shared" si="155"/>
        <v>DELETE</v>
      </c>
      <c r="T2155" s="425"/>
    </row>
    <row r="2156" spans="2:26" ht="31.5" customHeight="1" x14ac:dyDescent="0.45">
      <c r="B2156" s="388"/>
      <c r="C2156" s="369"/>
      <c r="D2156" s="368" t="s">
        <v>500</v>
      </c>
      <c r="J2156" s="370"/>
      <c r="K2156" s="370"/>
      <c r="L2156" s="370"/>
      <c r="M2156" s="436">
        <f>SUM(TrialBalanceB!I20:I23)</f>
        <v>0</v>
      </c>
      <c r="N2156" s="390"/>
      <c r="O2156" s="451">
        <f>SUM(TrialBalanceB!K20:K23)</f>
        <v>0</v>
      </c>
      <c r="P2156" s="380"/>
      <c r="Q2156" s="389"/>
      <c r="R2156" s="416" t="str">
        <f t="shared" si="155"/>
        <v>DELETE</v>
      </c>
      <c r="T2156" s="425"/>
    </row>
    <row r="2157" spans="2:26" ht="9" customHeight="1" x14ac:dyDescent="0.45">
      <c r="B2157" s="388"/>
      <c r="C2157" s="369"/>
      <c r="J2157" s="370"/>
      <c r="K2157" s="370"/>
      <c r="L2157" s="370"/>
      <c r="M2157" s="437"/>
      <c r="N2157" s="392"/>
      <c r="O2157" s="452"/>
      <c r="P2157" s="380"/>
      <c r="Q2157" s="389"/>
      <c r="R2157" s="416" t="str">
        <f>R2146</f>
        <v>DELETE</v>
      </c>
      <c r="T2157" s="425"/>
    </row>
    <row r="2158" spans="2:26" ht="9" customHeight="1" x14ac:dyDescent="0.45">
      <c r="B2158" s="388"/>
      <c r="C2158" s="369"/>
      <c r="J2158" s="370"/>
      <c r="K2158" s="370"/>
      <c r="L2158" s="370"/>
      <c r="M2158" s="438"/>
      <c r="N2158" s="392"/>
      <c r="O2158" s="438"/>
      <c r="P2158" s="380"/>
      <c r="Q2158" s="389"/>
      <c r="R2158" s="416" t="str">
        <f>R2146</f>
        <v>DELETE</v>
      </c>
      <c r="T2158" s="425"/>
    </row>
    <row r="2159" spans="2:26" ht="9" customHeight="1" x14ac:dyDescent="0.45">
      <c r="B2159" s="388"/>
      <c r="C2159" s="369"/>
      <c r="J2159" s="370"/>
      <c r="K2159" s="370"/>
      <c r="L2159" s="370"/>
      <c r="M2159" s="434"/>
      <c r="N2159" s="390"/>
      <c r="O2159" s="434"/>
      <c r="P2159" s="380"/>
      <c r="Q2159" s="389"/>
      <c r="R2159" s="416" t="str">
        <f>R2158</f>
        <v>DELETE</v>
      </c>
      <c r="T2159" s="425"/>
    </row>
    <row r="2160" spans="2:26" ht="31.5" customHeight="1" x14ac:dyDescent="0.45">
      <c r="B2160" s="388"/>
      <c r="C2160" s="411" t="str">
        <f>IF((Y2160+Z2160)=3,"GROSS PROFIT/(LOSS)",(IF((Y2160+Z2160=4),"GROSS PROFIT","GROSS LOSS")))</f>
        <v>GROSS PROFIT</v>
      </c>
      <c r="J2160" s="370"/>
      <c r="K2160" s="370"/>
      <c r="L2160" s="370"/>
      <c r="M2160" s="434">
        <f>SUM(S2142:S2157)</f>
        <v>0</v>
      </c>
      <c r="N2160" s="390"/>
      <c r="O2160" s="434">
        <f>SUM(U2142:U2157)</f>
        <v>0</v>
      </c>
      <c r="P2160" s="380"/>
      <c r="Q2160" s="389"/>
      <c r="R2160" s="416" t="str">
        <f>R2159</f>
        <v>DELETE</v>
      </c>
      <c r="T2160" s="425"/>
      <c r="Y2160" s="417">
        <f>IF(M2160&lt;0,1,IF(M2160=0,IF(O2160&lt;0,1,2),2))</f>
        <v>2</v>
      </c>
      <c r="Z2160" s="417">
        <f>IF(O2160&lt;0,1,IF(O2160=0,IF(M2160&lt;0,1,2),2))</f>
        <v>2</v>
      </c>
    </row>
    <row r="2161" spans="2:24" ht="31.5" customHeight="1" x14ac:dyDescent="0.45">
      <c r="B2161" s="388"/>
      <c r="C2161" s="369"/>
      <c r="J2161" s="370"/>
      <c r="K2161" s="370"/>
      <c r="L2161" s="370"/>
      <c r="M2161" s="434"/>
      <c r="N2161" s="390"/>
      <c r="O2161" s="434"/>
      <c r="P2161" s="380"/>
      <c r="Q2161" s="389"/>
      <c r="R2161" s="416" t="str">
        <f>R2160</f>
        <v>DELETE</v>
      </c>
      <c r="T2161" s="425"/>
    </row>
    <row r="2162" spans="2:24" ht="31.5" customHeight="1" x14ac:dyDescent="0.45">
      <c r="B2162" s="388"/>
      <c r="C2162" s="369" t="s">
        <v>319</v>
      </c>
      <c r="J2162" s="370"/>
      <c r="K2162" s="370"/>
      <c r="L2162" s="370"/>
      <c r="M2162" s="434">
        <f>SUM(M2164:M2171)</f>
        <v>0</v>
      </c>
      <c r="N2162" s="390"/>
      <c r="O2162" s="434">
        <f>SUM(O2164:O2171)</f>
        <v>0</v>
      </c>
      <c r="P2162" s="380"/>
      <c r="Q2162" s="389"/>
      <c r="R2162" s="416" t="str">
        <f t="shared" ref="R2162" si="156">IF(R$2130="DELETE","DELETE",IF(M2162+O2162=0,"DELETE"," "))</f>
        <v>DELETE</v>
      </c>
      <c r="S2162" s="421">
        <f>M2162</f>
        <v>0</v>
      </c>
      <c r="T2162" s="425"/>
      <c r="U2162" s="421">
        <f>O2162</f>
        <v>0</v>
      </c>
    </row>
    <row r="2163" spans="2:24" ht="9" customHeight="1" x14ac:dyDescent="0.45">
      <c r="B2163" s="388"/>
      <c r="C2163" s="369"/>
      <c r="J2163" s="370"/>
      <c r="K2163" s="370"/>
      <c r="L2163" s="370"/>
      <c r="M2163" s="434"/>
      <c r="N2163" s="390"/>
      <c r="O2163" s="434"/>
      <c r="P2163" s="380"/>
      <c r="Q2163" s="389"/>
      <c r="R2163" s="416" t="str">
        <f>R2162</f>
        <v>DELETE</v>
      </c>
      <c r="T2163" s="425"/>
    </row>
    <row r="2164" spans="2:24" ht="9" customHeight="1" x14ac:dyDescent="0.45">
      <c r="B2164" s="388"/>
      <c r="C2164" s="369"/>
      <c r="J2164" s="370"/>
      <c r="K2164" s="370"/>
      <c r="L2164" s="370"/>
      <c r="M2164" s="435"/>
      <c r="N2164" s="391"/>
      <c r="O2164" s="450"/>
      <c r="P2164" s="380"/>
      <c r="Q2164" s="389"/>
      <c r="R2164" s="416" t="str">
        <f>R2162</f>
        <v>DELETE</v>
      </c>
      <c r="T2164" s="425"/>
    </row>
    <row r="2165" spans="2:24" ht="31.5" customHeight="1" x14ac:dyDescent="0.45">
      <c r="B2165" s="388"/>
      <c r="C2165" s="369"/>
      <c r="D2165" s="368" t="str">
        <f>TrialBalanceB!C25</f>
        <v>Insurance claims - Surf Shop</v>
      </c>
      <c r="J2165" s="370"/>
      <c r="K2165" s="370"/>
      <c r="L2165" s="370"/>
      <c r="M2165" s="436">
        <f>-TrialBalanceB!I25</f>
        <v>0</v>
      </c>
      <c r="N2165" s="390"/>
      <c r="O2165" s="451">
        <f>-TrialBalanceB!K25</f>
        <v>0</v>
      </c>
      <c r="P2165" s="380"/>
      <c r="Q2165" s="389"/>
      <c r="R2165" s="416" t="str">
        <f t="shared" ref="R2165:R2169" si="157">IF(R$2130="DELETE","DELETE",IF(M2165+O2165=0,"DELETE"," "))</f>
        <v>DELETE</v>
      </c>
      <c r="T2165" s="425"/>
    </row>
    <row r="2166" spans="2:24" ht="31.5" customHeight="1" x14ac:dyDescent="0.45">
      <c r="B2166" s="388"/>
      <c r="C2166" s="369"/>
      <c r="D2166" s="368" t="str">
        <f>TrialBalanceB!C26</f>
        <v>Government grants received</v>
      </c>
      <c r="J2166" s="370"/>
      <c r="K2166" s="370"/>
      <c r="L2166" s="370"/>
      <c r="M2166" s="436">
        <f>-TrialBalanceB!I26</f>
        <v>0</v>
      </c>
      <c r="N2166" s="390"/>
      <c r="O2166" s="451">
        <f>-TrialBalanceB!K26</f>
        <v>0</v>
      </c>
      <c r="P2166" s="380"/>
      <c r="Q2166" s="389"/>
      <c r="R2166" s="416" t="str">
        <f t="shared" si="157"/>
        <v>DELETE</v>
      </c>
      <c r="T2166" s="425"/>
    </row>
    <row r="2167" spans="2:24" ht="31.5" customHeight="1" x14ac:dyDescent="0.45">
      <c r="B2167" s="388"/>
      <c r="C2167" s="369"/>
      <c r="D2167" s="368">
        <f>TrialBalanceB!C27</f>
        <v>0</v>
      </c>
      <c r="J2167" s="370"/>
      <c r="K2167" s="370"/>
      <c r="L2167" s="370"/>
      <c r="M2167" s="436">
        <f>-TrialBalanceB!I27</f>
        <v>0</v>
      </c>
      <c r="N2167" s="390"/>
      <c r="O2167" s="451">
        <f>-TrialBalanceB!K27</f>
        <v>0</v>
      </c>
      <c r="P2167" s="380"/>
      <c r="Q2167" s="389"/>
      <c r="R2167" s="416" t="str">
        <f t="shared" si="157"/>
        <v>DELETE</v>
      </c>
      <c r="T2167" s="425"/>
    </row>
    <row r="2168" spans="2:24" ht="31.5" customHeight="1" x14ac:dyDescent="0.45">
      <c r="B2168" s="388"/>
      <c r="C2168" s="369"/>
      <c r="D2168" s="368">
        <f>TrialBalanceB!C28</f>
        <v>0</v>
      </c>
      <c r="J2168" s="370"/>
      <c r="K2168" s="370"/>
      <c r="L2168" s="370"/>
      <c r="M2168" s="436">
        <f>-TrialBalanceB!I28</f>
        <v>0</v>
      </c>
      <c r="N2168" s="390"/>
      <c r="O2168" s="451">
        <f>-TrialBalanceB!K28</f>
        <v>0</v>
      </c>
      <c r="P2168" s="380"/>
      <c r="Q2168" s="389"/>
      <c r="R2168" s="416" t="str">
        <f t="shared" si="157"/>
        <v>DELETE</v>
      </c>
      <c r="T2168" s="425"/>
    </row>
    <row r="2169" spans="2:24" ht="31.5" customHeight="1" x14ac:dyDescent="0.45">
      <c r="B2169" s="388"/>
      <c r="C2169" s="369"/>
      <c r="D2169" s="368">
        <f>TrialBalanceB!C29</f>
        <v>0</v>
      </c>
      <c r="J2169" s="370"/>
      <c r="K2169" s="370"/>
      <c r="L2169" s="370"/>
      <c r="M2169" s="436">
        <f>-TrialBalanceB!I29</f>
        <v>0</v>
      </c>
      <c r="N2169" s="390"/>
      <c r="O2169" s="451">
        <f>-TrialBalanceB!K29</f>
        <v>0</v>
      </c>
      <c r="P2169" s="380"/>
      <c r="Q2169" s="389"/>
      <c r="R2169" s="416" t="str">
        <f t="shared" si="157"/>
        <v>DELETE</v>
      </c>
      <c r="T2169" s="425"/>
    </row>
    <row r="2170" spans="2:24" ht="31.5" customHeight="1" x14ac:dyDescent="0.45">
      <c r="B2170" s="388"/>
      <c r="C2170" s="369"/>
      <c r="D2170" s="368" t="str">
        <f>TrialBalanceB!C30</f>
        <v>Recoupment of depreciation</v>
      </c>
      <c r="J2170" s="370"/>
      <c r="K2170" s="370"/>
      <c r="L2170" s="370"/>
      <c r="M2170" s="436">
        <f>-TrialBalanceB!I30</f>
        <v>0</v>
      </c>
      <c r="N2170" s="390"/>
      <c r="O2170" s="451">
        <f>-TrialBalanceB!K30</f>
        <v>0</v>
      </c>
      <c r="P2170" s="380"/>
      <c r="Q2170" s="389"/>
      <c r="R2170" s="416" t="str">
        <f t="shared" ref="R2170" si="158">IF(R$2130="DELETE","DELETE",IF(M2170+O2170=0,"DELETE"," "))</f>
        <v>DELETE</v>
      </c>
      <c r="T2170" s="425"/>
    </row>
    <row r="2171" spans="2:24" ht="9" customHeight="1" x14ac:dyDescent="0.45">
      <c r="B2171" s="388"/>
      <c r="C2171" s="369"/>
      <c r="J2171" s="370"/>
      <c r="K2171" s="370"/>
      <c r="L2171" s="370"/>
      <c r="M2171" s="437"/>
      <c r="N2171" s="392"/>
      <c r="O2171" s="452"/>
      <c r="P2171" s="380"/>
      <c r="Q2171" s="389"/>
      <c r="R2171" s="416" t="str">
        <f>R2162</f>
        <v>DELETE</v>
      </c>
      <c r="T2171" s="425"/>
    </row>
    <row r="2172" spans="2:24" ht="9" customHeight="1" x14ac:dyDescent="0.45">
      <c r="B2172" s="388"/>
      <c r="C2172" s="369"/>
      <c r="J2172" s="370"/>
      <c r="K2172" s="370"/>
      <c r="L2172" s="370"/>
      <c r="M2172" s="447"/>
      <c r="N2172" s="408"/>
      <c r="O2172" s="447"/>
      <c r="P2172" s="380"/>
      <c r="Q2172" s="389"/>
      <c r="R2172" s="416" t="str">
        <f>R2171</f>
        <v>DELETE</v>
      </c>
      <c r="T2172" s="425"/>
    </row>
    <row r="2173" spans="2:24" ht="9" customHeight="1" x14ac:dyDescent="0.45">
      <c r="B2173" s="388"/>
      <c r="C2173" s="369"/>
      <c r="J2173" s="370"/>
      <c r="K2173" s="370"/>
      <c r="L2173" s="370"/>
      <c r="M2173" s="434"/>
      <c r="N2173" s="390"/>
      <c r="O2173" s="434"/>
      <c r="P2173" s="380"/>
      <c r="Q2173" s="389"/>
      <c r="R2173" s="416" t="str">
        <f>R2172</f>
        <v>DELETE</v>
      </c>
      <c r="T2173" s="425"/>
    </row>
    <row r="2174" spans="2:24" ht="31.5" customHeight="1" x14ac:dyDescent="0.45">
      <c r="B2174" s="388"/>
      <c r="C2174" s="369"/>
      <c r="J2174" s="370"/>
      <c r="K2174" s="370"/>
      <c r="L2174" s="370"/>
      <c r="M2174" s="434">
        <f>SUM(S2142:S2162)</f>
        <v>0</v>
      </c>
      <c r="N2174" s="390"/>
      <c r="O2174" s="434">
        <f>SUM(U2142:U2162)</f>
        <v>0</v>
      </c>
      <c r="P2174" s="380"/>
      <c r="Q2174" s="389"/>
      <c r="R2174" s="416" t="str">
        <f>R2162</f>
        <v>DELETE</v>
      </c>
      <c r="T2174" s="425"/>
    </row>
    <row r="2175" spans="2:24" ht="31.5" customHeight="1" x14ac:dyDescent="0.45">
      <c r="B2175" s="388"/>
      <c r="C2175" s="369"/>
      <c r="J2175" s="370"/>
      <c r="K2175" s="370"/>
      <c r="L2175" s="370"/>
      <c r="M2175" s="434"/>
      <c r="N2175" s="390"/>
      <c r="O2175" s="434"/>
      <c r="P2175" s="380"/>
      <c r="Q2175" s="389"/>
      <c r="R2175" s="416" t="str">
        <f>R2174</f>
        <v>DELETE</v>
      </c>
      <c r="T2175" s="425"/>
    </row>
    <row r="2176" spans="2:24" ht="31.5" customHeight="1" x14ac:dyDescent="0.45">
      <c r="B2176" s="388"/>
      <c r="C2176" s="369" t="s">
        <v>1051</v>
      </c>
      <c r="J2176" s="370"/>
      <c r="K2176" s="370"/>
      <c r="L2176" s="370"/>
      <c r="M2176" s="434">
        <f>SUM(M2178:M2206)</f>
        <v>0</v>
      </c>
      <c r="N2176" s="390"/>
      <c r="O2176" s="434">
        <f>SUM(O2178:O2206)</f>
        <v>0</v>
      </c>
      <c r="P2176" s="380"/>
      <c r="Q2176" s="389"/>
      <c r="R2176" s="416" t="str">
        <f t="shared" ref="R2176" si="159">IF(R$2130="DELETE","DELETE",IF(M2176+O2176=0,"DELETE"," "))</f>
        <v>DELETE</v>
      </c>
      <c r="S2176" s="421">
        <f>-M2176</f>
        <v>0</v>
      </c>
      <c r="T2176" s="425"/>
      <c r="U2176" s="421">
        <f>-O2176</f>
        <v>0</v>
      </c>
      <c r="V2176" s="421"/>
      <c r="W2176" s="421"/>
      <c r="X2176" s="421"/>
    </row>
    <row r="2177" spans="2:24" ht="9" customHeight="1" x14ac:dyDescent="0.45">
      <c r="B2177" s="388"/>
      <c r="C2177" s="369"/>
      <c r="J2177" s="370"/>
      <c r="K2177" s="370"/>
      <c r="L2177" s="370"/>
      <c r="M2177" s="434"/>
      <c r="N2177" s="390"/>
      <c r="O2177" s="434"/>
      <c r="P2177" s="380"/>
      <c r="Q2177" s="389"/>
      <c r="R2177" s="416" t="str">
        <f>R2176</f>
        <v>DELETE</v>
      </c>
      <c r="T2177" s="425"/>
    </row>
    <row r="2178" spans="2:24" ht="9" customHeight="1" x14ac:dyDescent="0.45">
      <c r="B2178" s="388"/>
      <c r="C2178" s="369"/>
      <c r="J2178" s="370"/>
      <c r="K2178" s="370"/>
      <c r="L2178" s="370"/>
      <c r="M2178" s="435"/>
      <c r="N2178" s="391"/>
      <c r="O2178" s="450"/>
      <c r="P2178" s="380"/>
      <c r="Q2178" s="389"/>
      <c r="R2178" s="416" t="str">
        <f>R2177</f>
        <v>DELETE</v>
      </c>
      <c r="T2178" s="425"/>
    </row>
    <row r="2179" spans="2:24" ht="31.5" customHeight="1" x14ac:dyDescent="0.45">
      <c r="B2179" s="388"/>
      <c r="C2179" s="369"/>
      <c r="D2179" s="368" t="s">
        <v>277</v>
      </c>
      <c r="J2179" s="370"/>
      <c r="K2179" s="370"/>
      <c r="L2179" s="370"/>
      <c r="M2179" s="436">
        <f>TrialBalanceB!I37</f>
        <v>0</v>
      </c>
      <c r="N2179" s="390"/>
      <c r="O2179" s="451">
        <f>TrialBalanceB!K37</f>
        <v>0</v>
      </c>
      <c r="P2179" s="380"/>
      <c r="Q2179" s="389"/>
      <c r="R2179" s="416" t="str">
        <f t="shared" ref="R2179:R2205" si="160">IF(R$2130="DELETE","DELETE",IF(M2179+O2179=0,"DELETE"," "))</f>
        <v>DELETE</v>
      </c>
      <c r="T2179" s="425"/>
    </row>
    <row r="2180" spans="2:24" ht="31.5" customHeight="1" x14ac:dyDescent="0.45">
      <c r="B2180" s="388"/>
      <c r="C2180" s="369"/>
      <c r="D2180" s="368" t="s">
        <v>703</v>
      </c>
      <c r="J2180" s="370"/>
      <c r="K2180" s="370"/>
      <c r="L2180" s="370"/>
      <c r="M2180" s="436">
        <f>TrialBalanceB!I38</f>
        <v>0</v>
      </c>
      <c r="N2180" s="390"/>
      <c r="O2180" s="451">
        <f>TrialBalanceB!K38</f>
        <v>0</v>
      </c>
      <c r="P2180" s="380"/>
      <c r="Q2180" s="389"/>
      <c r="R2180" s="416" t="str">
        <f t="shared" si="160"/>
        <v>DELETE</v>
      </c>
      <c r="T2180" s="425"/>
    </row>
    <row r="2181" spans="2:24" ht="31.5" customHeight="1" x14ac:dyDescent="0.45">
      <c r="B2181" s="388"/>
      <c r="C2181" s="369"/>
      <c r="D2181" s="368" t="s">
        <v>278</v>
      </c>
      <c r="J2181" s="370"/>
      <c r="K2181" s="370"/>
      <c r="L2181" s="370"/>
      <c r="M2181" s="436">
        <f>TrialBalanceB!I39</f>
        <v>0</v>
      </c>
      <c r="N2181" s="390"/>
      <c r="O2181" s="451">
        <f>TrialBalanceB!K39</f>
        <v>0</v>
      </c>
      <c r="P2181" s="380"/>
      <c r="Q2181" s="389"/>
      <c r="R2181" s="416" t="str">
        <f t="shared" si="160"/>
        <v>DELETE</v>
      </c>
      <c r="T2181" s="425"/>
    </row>
    <row r="2182" spans="2:24" ht="31.5" customHeight="1" x14ac:dyDescent="0.45">
      <c r="B2182" s="388"/>
      <c r="C2182" s="369"/>
      <c r="D2182" s="368" t="s">
        <v>279</v>
      </c>
      <c r="J2182" s="370"/>
      <c r="K2182" s="370">
        <f>C$747</f>
        <v>6.2999999999999989</v>
      </c>
      <c r="L2182" s="370"/>
      <c r="M2182" s="436">
        <f>SUM(TrialBalanceB!I41:I43)</f>
        <v>0</v>
      </c>
      <c r="N2182" s="390"/>
      <c r="O2182" s="451">
        <f>SUM(TrialBalanceB!K41:K43)</f>
        <v>0</v>
      </c>
      <c r="P2182" s="380"/>
      <c r="Q2182" s="389"/>
      <c r="R2182" s="416" t="str">
        <f t="shared" si="160"/>
        <v>DELETE</v>
      </c>
      <c r="T2182" s="425"/>
    </row>
    <row r="2183" spans="2:24" ht="31.5" customHeight="1" x14ac:dyDescent="0.45">
      <c r="B2183" s="388"/>
      <c r="C2183" s="369"/>
      <c r="D2183" s="368" t="s">
        <v>501</v>
      </c>
      <c r="J2183" s="370"/>
      <c r="K2183" s="370"/>
      <c r="L2183" s="370"/>
      <c r="M2183" s="436">
        <f>TrialBalanceB!I44</f>
        <v>0</v>
      </c>
      <c r="N2183" s="390"/>
      <c r="O2183" s="451">
        <f>TrialBalanceB!K44</f>
        <v>0</v>
      </c>
      <c r="P2183" s="380"/>
      <c r="Q2183" s="389"/>
      <c r="R2183" s="416" t="str">
        <f t="shared" si="160"/>
        <v>DELETE</v>
      </c>
      <c r="S2183" s="422"/>
      <c r="T2183" s="425"/>
      <c r="U2183" s="422"/>
      <c r="V2183" s="422"/>
      <c r="W2183" s="422"/>
      <c r="X2183" s="422"/>
    </row>
    <row r="2184" spans="2:24" ht="31.5" customHeight="1" x14ac:dyDescent="0.45">
      <c r="B2184" s="388"/>
      <c r="C2184" s="369"/>
      <c r="D2184" s="368" t="s">
        <v>733</v>
      </c>
      <c r="J2184" s="370"/>
      <c r="K2184" s="370"/>
      <c r="L2184" s="370"/>
      <c r="M2184" s="436">
        <f>TrialBalanceB!I45</f>
        <v>0</v>
      </c>
      <c r="N2184" s="390"/>
      <c r="O2184" s="451">
        <f>TrialBalanceB!K45</f>
        <v>0</v>
      </c>
      <c r="P2184" s="380"/>
      <c r="Q2184" s="389"/>
      <c r="R2184" s="416" t="str">
        <f t="shared" si="160"/>
        <v>DELETE</v>
      </c>
      <c r="T2184" s="425"/>
    </row>
    <row r="2185" spans="2:24" ht="31.5" customHeight="1" x14ac:dyDescent="0.45">
      <c r="B2185" s="388"/>
      <c r="C2185" s="369"/>
      <c r="D2185" s="368" t="s">
        <v>68</v>
      </c>
      <c r="J2185" s="370"/>
      <c r="K2185" s="370"/>
      <c r="L2185" s="370"/>
      <c r="M2185" s="436">
        <f>TrialBalanceB!I46</f>
        <v>0</v>
      </c>
      <c r="N2185" s="390"/>
      <c r="O2185" s="451">
        <f>TrialBalanceB!K46</f>
        <v>0</v>
      </c>
      <c r="P2185" s="380"/>
      <c r="Q2185" s="389"/>
      <c r="R2185" s="416" t="str">
        <f t="shared" si="160"/>
        <v>DELETE</v>
      </c>
      <c r="T2185" s="425"/>
    </row>
    <row r="2186" spans="2:24" ht="31.5" customHeight="1" x14ac:dyDescent="0.45">
      <c r="B2186" s="388"/>
      <c r="C2186" s="369"/>
      <c r="D2186" s="368" t="s">
        <v>280</v>
      </c>
      <c r="J2186" s="370"/>
      <c r="K2186" s="370"/>
      <c r="L2186" s="370"/>
      <c r="M2186" s="436">
        <f>TrialBalanceB!I47</f>
        <v>0</v>
      </c>
      <c r="N2186" s="390"/>
      <c r="O2186" s="451">
        <f>TrialBalanceB!K47</f>
        <v>0</v>
      </c>
      <c r="P2186" s="380"/>
      <c r="Q2186" s="389"/>
      <c r="R2186" s="416" t="str">
        <f t="shared" si="160"/>
        <v>DELETE</v>
      </c>
      <c r="T2186" s="425"/>
    </row>
    <row r="2187" spans="2:24" ht="31.5" customHeight="1" x14ac:dyDescent="0.45">
      <c r="B2187" s="388"/>
      <c r="C2187" s="369"/>
      <c r="D2187" s="368" t="s">
        <v>518</v>
      </c>
      <c r="J2187" s="370"/>
      <c r="K2187" s="370"/>
      <c r="L2187" s="370"/>
      <c r="M2187" s="436">
        <f>SUM(TrialBalanceB!I48:I49)</f>
        <v>0</v>
      </c>
      <c r="N2187" s="390"/>
      <c r="O2187" s="451">
        <f>SUM(TrialBalanceB!K48:K49)</f>
        <v>0</v>
      </c>
      <c r="P2187" s="380"/>
      <c r="Q2187" s="389"/>
      <c r="R2187" s="416" t="str">
        <f t="shared" si="160"/>
        <v>DELETE</v>
      </c>
      <c r="T2187" s="425"/>
    </row>
    <row r="2188" spans="2:24" ht="31.5" customHeight="1" x14ac:dyDescent="0.45">
      <c r="B2188" s="388"/>
      <c r="C2188" s="369"/>
      <c r="D2188" s="368" t="s">
        <v>516</v>
      </c>
      <c r="J2188" s="370"/>
      <c r="K2188" s="370"/>
      <c r="L2188" s="370"/>
      <c r="M2188" s="436">
        <f>TrialBalanceB!I50</f>
        <v>0</v>
      </c>
      <c r="N2188" s="390"/>
      <c r="O2188" s="451">
        <f>TrialBalanceB!K50</f>
        <v>0</v>
      </c>
      <c r="P2188" s="380"/>
      <c r="Q2188" s="389"/>
      <c r="R2188" s="416" t="str">
        <f t="shared" si="160"/>
        <v>DELETE</v>
      </c>
      <c r="T2188" s="425"/>
    </row>
    <row r="2189" spans="2:24" ht="31.5" customHeight="1" x14ac:dyDescent="0.45">
      <c r="B2189" s="388"/>
      <c r="C2189" s="369"/>
      <c r="D2189" s="368" t="s">
        <v>502</v>
      </c>
      <c r="J2189" s="370"/>
      <c r="K2189" s="370"/>
      <c r="L2189" s="370"/>
      <c r="M2189" s="436">
        <f>SUM(TrialBalanceB!I52:I56)</f>
        <v>0</v>
      </c>
      <c r="N2189" s="390"/>
      <c r="O2189" s="451">
        <f>SUM(TrialBalanceB!K52:K56)</f>
        <v>0</v>
      </c>
      <c r="P2189" s="380"/>
      <c r="Q2189" s="389"/>
      <c r="R2189" s="416" t="str">
        <f t="shared" si="160"/>
        <v>DELETE</v>
      </c>
      <c r="T2189" s="425"/>
    </row>
    <row r="2190" spans="2:24" ht="31.5" customHeight="1" x14ac:dyDescent="0.45">
      <c r="B2190" s="388"/>
      <c r="C2190" s="369"/>
      <c r="D2190" s="368" t="s">
        <v>483</v>
      </c>
      <c r="J2190" s="370"/>
      <c r="K2190" s="370">
        <f>FS!C$715</f>
        <v>6.1999999999999993</v>
      </c>
      <c r="L2190" s="370"/>
      <c r="M2190" s="436">
        <f>SUM(TrialBalanceB!I58:I60)</f>
        <v>0</v>
      </c>
      <c r="N2190" s="390"/>
      <c r="O2190" s="451">
        <f>SUM(TrialBalanceB!K58:K60)</f>
        <v>0</v>
      </c>
      <c r="P2190" s="380"/>
      <c r="Q2190" s="389"/>
      <c r="R2190" s="416" t="str">
        <f t="shared" si="160"/>
        <v>DELETE</v>
      </c>
      <c r="T2190" s="425"/>
    </row>
    <row r="2191" spans="2:24" ht="31.5" customHeight="1" x14ac:dyDescent="0.45">
      <c r="B2191" s="388"/>
      <c r="C2191" s="369"/>
      <c r="D2191" s="368" t="s">
        <v>76</v>
      </c>
      <c r="J2191" s="370"/>
      <c r="K2191" s="370"/>
      <c r="L2191" s="370"/>
      <c r="M2191" s="436">
        <f>TrialBalanceB!I61</f>
        <v>0</v>
      </c>
      <c r="N2191" s="390"/>
      <c r="O2191" s="451">
        <f>TrialBalanceB!K61</f>
        <v>0</v>
      </c>
      <c r="P2191" s="380"/>
      <c r="Q2191" s="389"/>
      <c r="R2191" s="416" t="str">
        <f t="shared" si="160"/>
        <v>DELETE</v>
      </c>
      <c r="T2191" s="425"/>
    </row>
    <row r="2192" spans="2:24" ht="31.5" customHeight="1" x14ac:dyDescent="0.45">
      <c r="B2192" s="388"/>
      <c r="C2192" s="369"/>
      <c r="D2192" s="368" t="s">
        <v>254</v>
      </c>
      <c r="J2192" s="370"/>
      <c r="K2192" s="370"/>
      <c r="L2192" s="370"/>
      <c r="M2192" s="436">
        <f>SUM(TrialBalanceB!I62:I64)</f>
        <v>0</v>
      </c>
      <c r="N2192" s="390"/>
      <c r="O2192" s="451">
        <f>SUM(TrialBalanceB!K62:K64)</f>
        <v>0</v>
      </c>
      <c r="P2192" s="380"/>
      <c r="Q2192" s="389"/>
      <c r="R2192" s="416" t="str">
        <f t="shared" si="160"/>
        <v>DELETE</v>
      </c>
      <c r="T2192" s="425"/>
    </row>
    <row r="2193" spans="2:20" ht="31.5" customHeight="1" x14ac:dyDescent="0.45">
      <c r="B2193" s="388"/>
      <c r="C2193" s="369"/>
      <c r="D2193" s="368" t="s">
        <v>734</v>
      </c>
      <c r="J2193" s="370"/>
      <c r="K2193" s="370"/>
      <c r="L2193" s="370"/>
      <c r="M2193" s="436">
        <f>SUM(TrialBalanceB!I65:I66)</f>
        <v>0</v>
      </c>
      <c r="N2193" s="390"/>
      <c r="O2193" s="451">
        <f>SUM(TrialBalanceB!K65:K66)</f>
        <v>0</v>
      </c>
      <c r="P2193" s="380"/>
      <c r="Q2193" s="389"/>
      <c r="R2193" s="416" t="str">
        <f t="shared" si="160"/>
        <v>DELETE</v>
      </c>
      <c r="T2193" s="425"/>
    </row>
    <row r="2194" spans="2:20" ht="31.5" customHeight="1" x14ac:dyDescent="0.45">
      <c r="B2194" s="388"/>
      <c r="C2194" s="369"/>
      <c r="D2194" s="368" t="s">
        <v>255</v>
      </c>
      <c r="J2194" s="370"/>
      <c r="K2194" s="370"/>
      <c r="L2194" s="370"/>
      <c r="M2194" s="436">
        <f>TrialBalanceB!I67</f>
        <v>0</v>
      </c>
      <c r="N2194" s="390"/>
      <c r="O2194" s="451">
        <f>TrialBalanceB!K67</f>
        <v>0</v>
      </c>
      <c r="P2194" s="380"/>
      <c r="Q2194" s="389"/>
      <c r="R2194" s="416" t="str">
        <f t="shared" si="160"/>
        <v>DELETE</v>
      </c>
      <c r="T2194" s="425"/>
    </row>
    <row r="2195" spans="2:20" ht="31.5" customHeight="1" x14ac:dyDescent="0.45">
      <c r="B2195" s="388"/>
      <c r="C2195" s="369"/>
      <c r="D2195" s="368" t="s">
        <v>392</v>
      </c>
      <c r="J2195" s="370"/>
      <c r="K2195" s="370"/>
      <c r="L2195" s="370"/>
      <c r="M2195" s="436">
        <f>TrialBalanceB!I68</f>
        <v>0</v>
      </c>
      <c r="N2195" s="390"/>
      <c r="O2195" s="451">
        <f>TrialBalanceB!K68</f>
        <v>0</v>
      </c>
      <c r="P2195" s="380"/>
      <c r="Q2195" s="389"/>
      <c r="R2195" s="416" t="str">
        <f t="shared" si="160"/>
        <v>DELETE</v>
      </c>
      <c r="T2195" s="425"/>
    </row>
    <row r="2196" spans="2:20" ht="31.5" customHeight="1" x14ac:dyDescent="0.45">
      <c r="B2196" s="388"/>
      <c r="C2196" s="369"/>
      <c r="D2196" s="368">
        <f>TrialBalanceB!C69</f>
        <v>0</v>
      </c>
      <c r="J2196" s="370"/>
      <c r="K2196" s="370"/>
      <c r="L2196" s="370"/>
      <c r="M2196" s="436">
        <f>TrialBalanceB!I69</f>
        <v>0</v>
      </c>
      <c r="N2196" s="390"/>
      <c r="O2196" s="451">
        <f>TrialBalanceB!K69</f>
        <v>0</v>
      </c>
      <c r="P2196" s="380"/>
      <c r="Q2196" s="389"/>
      <c r="R2196" s="416" t="str">
        <f t="shared" si="160"/>
        <v>DELETE</v>
      </c>
      <c r="T2196" s="425"/>
    </row>
    <row r="2197" spans="2:20" ht="31.5" customHeight="1" x14ac:dyDescent="0.45">
      <c r="B2197" s="388"/>
      <c r="C2197" s="369"/>
      <c r="D2197" s="368">
        <f>TrialBalanceB!C70</f>
        <v>0</v>
      </c>
      <c r="J2197" s="370"/>
      <c r="K2197" s="370"/>
      <c r="L2197" s="370"/>
      <c r="M2197" s="436">
        <f>TrialBalanceB!I70</f>
        <v>0</v>
      </c>
      <c r="N2197" s="390"/>
      <c r="O2197" s="451">
        <f>TrialBalanceB!K70</f>
        <v>0</v>
      </c>
      <c r="P2197" s="380"/>
      <c r="Q2197" s="389"/>
      <c r="R2197" s="416" t="str">
        <f t="shared" si="160"/>
        <v>DELETE</v>
      </c>
      <c r="T2197" s="425"/>
    </row>
    <row r="2198" spans="2:20" ht="31.5" customHeight="1" x14ac:dyDescent="0.45">
      <c r="B2198" s="388"/>
      <c r="C2198" s="369"/>
      <c r="D2198" s="368">
        <f>TrialBalanceB!C71</f>
        <v>0</v>
      </c>
      <c r="J2198" s="370"/>
      <c r="K2198" s="370"/>
      <c r="L2198" s="370"/>
      <c r="M2198" s="436">
        <f>TrialBalanceB!I71</f>
        <v>0</v>
      </c>
      <c r="N2198" s="390"/>
      <c r="O2198" s="451">
        <f>TrialBalanceB!K71</f>
        <v>0</v>
      </c>
      <c r="P2198" s="380"/>
      <c r="Q2198" s="389"/>
      <c r="R2198" s="416" t="str">
        <f t="shared" si="160"/>
        <v>DELETE</v>
      </c>
      <c r="T2198" s="425"/>
    </row>
    <row r="2199" spans="2:20" ht="31.5" customHeight="1" x14ac:dyDescent="0.45">
      <c r="B2199" s="388"/>
      <c r="C2199" s="369"/>
      <c r="D2199" s="368">
        <f>TrialBalanceB!C72</f>
        <v>0</v>
      </c>
      <c r="J2199" s="370"/>
      <c r="K2199" s="370"/>
      <c r="L2199" s="370"/>
      <c r="M2199" s="436">
        <f>TrialBalanceB!I72</f>
        <v>0</v>
      </c>
      <c r="N2199" s="390"/>
      <c r="O2199" s="451">
        <f>TrialBalanceB!K72</f>
        <v>0</v>
      </c>
      <c r="P2199" s="380"/>
      <c r="Q2199" s="389"/>
      <c r="R2199" s="416" t="str">
        <f t="shared" si="160"/>
        <v>DELETE</v>
      </c>
      <c r="T2199" s="425"/>
    </row>
    <row r="2200" spans="2:20" ht="31.5" customHeight="1" x14ac:dyDescent="0.45">
      <c r="B2200" s="388"/>
      <c r="C2200" s="369"/>
      <c r="D2200" s="368">
        <f>TrialBalanceB!C73</f>
        <v>0</v>
      </c>
      <c r="J2200" s="370"/>
      <c r="K2200" s="370"/>
      <c r="L2200" s="370"/>
      <c r="M2200" s="436">
        <f>TrialBalanceB!I73</f>
        <v>0</v>
      </c>
      <c r="N2200" s="390"/>
      <c r="O2200" s="451">
        <f>TrialBalanceB!K73</f>
        <v>0</v>
      </c>
      <c r="P2200" s="380"/>
      <c r="Q2200" s="389"/>
      <c r="R2200" s="416" t="str">
        <f t="shared" si="160"/>
        <v>DELETE</v>
      </c>
      <c r="T2200" s="425"/>
    </row>
    <row r="2201" spans="2:20" ht="31.5" customHeight="1" x14ac:dyDescent="0.45">
      <c r="B2201" s="388"/>
      <c r="C2201" s="369"/>
      <c r="D2201" s="368">
        <f>TrialBalanceB!C74</f>
        <v>0</v>
      </c>
      <c r="J2201" s="370"/>
      <c r="K2201" s="370"/>
      <c r="L2201" s="370"/>
      <c r="M2201" s="436">
        <f>TrialBalanceB!I74</f>
        <v>0</v>
      </c>
      <c r="N2201" s="390"/>
      <c r="O2201" s="451">
        <f>TrialBalanceB!K74</f>
        <v>0</v>
      </c>
      <c r="P2201" s="380"/>
      <c r="Q2201" s="389"/>
      <c r="R2201" s="416" t="str">
        <f t="shared" si="160"/>
        <v>DELETE</v>
      </c>
      <c r="T2201" s="425"/>
    </row>
    <row r="2202" spans="2:20" ht="31.5" customHeight="1" x14ac:dyDescent="0.45">
      <c r="B2202" s="388"/>
      <c r="C2202" s="369"/>
      <c r="D2202" s="368">
        <f>TrialBalanceB!C75</f>
        <v>0</v>
      </c>
      <c r="J2202" s="370"/>
      <c r="K2202" s="370"/>
      <c r="L2202" s="370"/>
      <c r="M2202" s="436">
        <f>TrialBalanceB!I75</f>
        <v>0</v>
      </c>
      <c r="N2202" s="390"/>
      <c r="O2202" s="451">
        <f>TrialBalanceB!K75</f>
        <v>0</v>
      </c>
      <c r="P2202" s="380"/>
      <c r="Q2202" s="389"/>
      <c r="R2202" s="416" t="str">
        <f t="shared" si="160"/>
        <v>DELETE</v>
      </c>
      <c r="T2202" s="425"/>
    </row>
    <row r="2203" spans="2:20" ht="31.5" customHeight="1" x14ac:dyDescent="0.45">
      <c r="B2203" s="388"/>
      <c r="C2203" s="369"/>
      <c r="D2203" s="368">
        <f>TrialBalanceB!C76</f>
        <v>0</v>
      </c>
      <c r="J2203" s="370"/>
      <c r="K2203" s="370"/>
      <c r="L2203" s="370"/>
      <c r="M2203" s="436">
        <f>TrialBalanceB!I76</f>
        <v>0</v>
      </c>
      <c r="N2203" s="390"/>
      <c r="O2203" s="451">
        <f>TrialBalanceB!K76</f>
        <v>0</v>
      </c>
      <c r="P2203" s="380"/>
      <c r="Q2203" s="389"/>
      <c r="R2203" s="416" t="str">
        <f t="shared" si="160"/>
        <v>DELETE</v>
      </c>
      <c r="T2203" s="425"/>
    </row>
    <row r="2204" spans="2:20" ht="31.5" customHeight="1" x14ac:dyDescent="0.45">
      <c r="B2204" s="388"/>
      <c r="C2204" s="369"/>
      <c r="D2204" s="368">
        <f>TrialBalanceB!C77</f>
        <v>0</v>
      </c>
      <c r="J2204" s="370"/>
      <c r="K2204" s="370"/>
      <c r="L2204" s="370"/>
      <c r="M2204" s="436">
        <f>TrialBalanceB!I77</f>
        <v>0</v>
      </c>
      <c r="N2204" s="390"/>
      <c r="O2204" s="451">
        <f>TrialBalanceB!K77</f>
        <v>0</v>
      </c>
      <c r="P2204" s="380"/>
      <c r="Q2204" s="389"/>
      <c r="R2204" s="416" t="str">
        <f t="shared" si="160"/>
        <v>DELETE</v>
      </c>
      <c r="T2204" s="425"/>
    </row>
    <row r="2205" spans="2:20" ht="31.5" customHeight="1" x14ac:dyDescent="0.45">
      <c r="B2205" s="388"/>
      <c r="C2205" s="369"/>
      <c r="D2205" s="368">
        <f>TrialBalanceB!C78</f>
        <v>0</v>
      </c>
      <c r="J2205" s="370"/>
      <c r="K2205" s="370"/>
      <c r="L2205" s="370"/>
      <c r="M2205" s="436">
        <f>TrialBalanceB!I78</f>
        <v>0</v>
      </c>
      <c r="N2205" s="390"/>
      <c r="O2205" s="451">
        <f>TrialBalanceB!K78</f>
        <v>0</v>
      </c>
      <c r="P2205" s="380"/>
      <c r="Q2205" s="389"/>
      <c r="R2205" s="416" t="str">
        <f t="shared" si="160"/>
        <v>DELETE</v>
      </c>
      <c r="T2205" s="425"/>
    </row>
    <row r="2206" spans="2:20" ht="9" customHeight="1" x14ac:dyDescent="0.45">
      <c r="B2206" s="388"/>
      <c r="C2206" s="369"/>
      <c r="J2206" s="370"/>
      <c r="K2206" s="370"/>
      <c r="L2206" s="370"/>
      <c r="M2206" s="437"/>
      <c r="N2206" s="392"/>
      <c r="O2206" s="452"/>
      <c r="P2206" s="380"/>
      <c r="Q2206" s="389"/>
      <c r="R2206" s="416" t="str">
        <f>R2176</f>
        <v>DELETE</v>
      </c>
      <c r="T2206" s="425"/>
    </row>
    <row r="2207" spans="2:20" ht="9" customHeight="1" x14ac:dyDescent="0.45">
      <c r="B2207" s="388"/>
      <c r="C2207" s="369"/>
      <c r="J2207" s="370"/>
      <c r="K2207" s="370"/>
      <c r="L2207" s="370"/>
      <c r="M2207" s="438"/>
      <c r="N2207" s="392"/>
      <c r="O2207" s="438"/>
      <c r="P2207" s="380"/>
      <c r="Q2207" s="389"/>
      <c r="R2207" s="416" t="str">
        <f t="shared" ref="R2207:R2227" si="161">R$2130</f>
        <v>DELETE</v>
      </c>
      <c r="T2207" s="425"/>
    </row>
    <row r="2208" spans="2:20" ht="9" customHeight="1" x14ac:dyDescent="0.45">
      <c r="B2208" s="388"/>
      <c r="C2208" s="369"/>
      <c r="J2208" s="370"/>
      <c r="K2208" s="370"/>
      <c r="L2208" s="370"/>
      <c r="M2208" s="434"/>
      <c r="N2208" s="390"/>
      <c r="O2208" s="434"/>
      <c r="P2208" s="380"/>
      <c r="Q2208" s="389"/>
      <c r="R2208" s="416" t="str">
        <f t="shared" si="161"/>
        <v>DELETE</v>
      </c>
      <c r="T2208" s="425"/>
    </row>
    <row r="2209" spans="2:26" ht="31.5" customHeight="1" x14ac:dyDescent="0.45">
      <c r="B2209" s="388"/>
      <c r="C2209" s="411" t="str">
        <f>IF((Y2209+Z2209)=3,"OPERATING PROFIT/(LOSS)",(IF((Y2209+Z2209=4),"OPERATING PROFIT","OPERATING LOSS")))</f>
        <v>OPERATING PROFIT</v>
      </c>
      <c r="J2209" s="370"/>
      <c r="K2209" s="370"/>
      <c r="L2209" s="370"/>
      <c r="M2209" s="434">
        <f>SUM(S2142:S2207)</f>
        <v>0</v>
      </c>
      <c r="N2209" s="390"/>
      <c r="O2209" s="434">
        <f>SUM(U2142:U2207)</f>
        <v>0</v>
      </c>
      <c r="P2209" s="380"/>
      <c r="Q2209" s="389"/>
      <c r="R2209" s="416" t="str">
        <f t="shared" si="161"/>
        <v>DELETE</v>
      </c>
      <c r="T2209" s="425"/>
      <c r="Y2209" s="417">
        <f>IF(M2209&lt;0,1,IF(M2209=0,IF(O2209&lt;0,1,2),2))</f>
        <v>2</v>
      </c>
      <c r="Z2209" s="417">
        <f>IF(O2209&lt;0,1,IF(O2209=0,IF(M2209&lt;0,1,2),2))</f>
        <v>2</v>
      </c>
    </row>
    <row r="2210" spans="2:26" ht="31.5" customHeight="1" x14ac:dyDescent="0.45">
      <c r="B2210" s="388"/>
      <c r="C2210" s="369"/>
      <c r="D2210" s="368" t="s">
        <v>257</v>
      </c>
      <c r="J2210" s="370"/>
      <c r="K2210" s="370"/>
      <c r="L2210" s="370"/>
      <c r="M2210" s="434"/>
      <c r="N2210" s="390"/>
      <c r="O2210" s="434"/>
      <c r="P2210" s="380"/>
      <c r="Q2210" s="389"/>
      <c r="R2210" s="416" t="str">
        <f t="shared" si="161"/>
        <v>DELETE</v>
      </c>
      <c r="T2210" s="425"/>
    </row>
    <row r="2211" spans="2:26" ht="31.5" customHeight="1" x14ac:dyDescent="0.45">
      <c r="B2211" s="388"/>
      <c r="C2211" s="369"/>
      <c r="J2211" s="370"/>
      <c r="K2211" s="370"/>
      <c r="L2211" s="370"/>
      <c r="M2211" s="434"/>
      <c r="N2211" s="390"/>
      <c r="O2211" s="434"/>
      <c r="P2211" s="380"/>
      <c r="Q2211" s="389"/>
      <c r="R2211" s="416" t="str">
        <f t="shared" si="161"/>
        <v>DELETE</v>
      </c>
      <c r="T2211" s="425"/>
    </row>
    <row r="2212" spans="2:26" ht="31.5" customHeight="1" x14ac:dyDescent="0.45">
      <c r="B2212" s="388"/>
      <c r="C2212" s="369"/>
      <c r="J2212" s="370"/>
      <c r="K2212" s="370"/>
      <c r="L2212" s="370"/>
      <c r="M2212" s="434"/>
      <c r="N2212" s="390"/>
      <c r="O2212" s="434"/>
      <c r="P2212" s="380"/>
      <c r="Q2212" s="389"/>
      <c r="R2212" s="416" t="str">
        <f t="shared" si="161"/>
        <v>DELETE</v>
      </c>
      <c r="T2212" s="425"/>
    </row>
    <row r="2213" spans="2:26" ht="31.5" customHeight="1" x14ac:dyDescent="0.45">
      <c r="B2213" s="396"/>
      <c r="C2213" s="407"/>
      <c r="D2213" s="383"/>
      <c r="E2213" s="383"/>
      <c r="F2213" s="383"/>
      <c r="G2213" s="383"/>
      <c r="H2213" s="383"/>
      <c r="I2213" s="383"/>
      <c r="J2213" s="403"/>
      <c r="K2213" s="403"/>
      <c r="L2213" s="403"/>
      <c r="M2213" s="438"/>
      <c r="N2213" s="392"/>
      <c r="O2213" s="438"/>
      <c r="P2213" s="404"/>
      <c r="Q2213" s="398"/>
      <c r="R2213" s="416" t="str">
        <f t="shared" si="161"/>
        <v>DELETE</v>
      </c>
      <c r="T2213" s="425"/>
    </row>
    <row r="2214" spans="2:26" ht="31.5" customHeight="1" x14ac:dyDescent="0.45">
      <c r="C2214" s="369"/>
      <c r="J2214" s="370"/>
      <c r="K2214" s="370"/>
      <c r="L2214" s="370"/>
      <c r="M2214" s="434"/>
      <c r="N2214" s="390"/>
      <c r="O2214" s="434"/>
      <c r="P2214" s="380"/>
      <c r="R2214" s="416" t="str">
        <f t="shared" si="161"/>
        <v>DELETE</v>
      </c>
      <c r="T2214" s="425"/>
    </row>
    <row r="2215" spans="2:26" ht="31.5" customHeight="1" x14ac:dyDescent="0.45">
      <c r="C2215" s="369"/>
      <c r="J2215" s="370"/>
      <c r="K2215" s="370"/>
      <c r="L2215" s="370"/>
      <c r="M2215" s="434"/>
      <c r="N2215" s="390"/>
      <c r="O2215" s="434"/>
      <c r="P2215" s="380"/>
      <c r="R2215" s="416" t="str">
        <f t="shared" si="161"/>
        <v>DELETE</v>
      </c>
      <c r="T2215" s="425"/>
    </row>
    <row r="2216" spans="2:26" ht="31.5" customHeight="1" x14ac:dyDescent="0.45">
      <c r="C2216" s="369"/>
      <c r="D2216" s="369" t="str">
        <f>Criteria!E9</f>
        <v>ABC TRUST</v>
      </c>
      <c r="J2216" s="370"/>
      <c r="K2216" s="370"/>
      <c r="L2216" s="370"/>
      <c r="M2216" s="434"/>
      <c r="N2216" s="390"/>
      <c r="O2216" s="434" t="s">
        <v>105</v>
      </c>
      <c r="P2216" s="380"/>
      <c r="Q2216" s="370">
        <f>MAX($Q$2133:Q2215)+1</f>
        <v>2</v>
      </c>
      <c r="R2216" s="416" t="str">
        <f t="shared" si="161"/>
        <v>DELETE</v>
      </c>
      <c r="T2216" s="425"/>
    </row>
    <row r="2217" spans="2:26" ht="31.5" customHeight="1" x14ac:dyDescent="0.45">
      <c r="C2217" s="369"/>
      <c r="D2217" s="369" t="str">
        <f>CONCATENATE("T/A ",Criteria!E15)</f>
        <v>T/A SURF SHOP</v>
      </c>
      <c r="J2217" s="370"/>
      <c r="K2217" s="370"/>
      <c r="L2217" s="370"/>
      <c r="M2217" s="434"/>
      <c r="N2217" s="390"/>
      <c r="O2217" s="434"/>
      <c r="P2217" s="380"/>
      <c r="R2217" s="416" t="str">
        <f t="shared" si="161"/>
        <v>DELETE</v>
      </c>
      <c r="T2217" s="425"/>
    </row>
    <row r="2218" spans="2:26" ht="31.5" customHeight="1" x14ac:dyDescent="0.45">
      <c r="C2218" s="369"/>
      <c r="J2218" s="370"/>
      <c r="K2218" s="370"/>
      <c r="L2218" s="370"/>
      <c r="M2218" s="434"/>
      <c r="N2218" s="390"/>
      <c r="O2218" s="434"/>
      <c r="P2218" s="380"/>
      <c r="R2218" s="416" t="str">
        <f t="shared" si="161"/>
        <v>DELETE</v>
      </c>
      <c r="T2218" s="425"/>
    </row>
    <row r="2219" spans="2:26" ht="31.5" customHeight="1" x14ac:dyDescent="0.45">
      <c r="C2219" s="369"/>
      <c r="D2219" s="369" t="s">
        <v>100</v>
      </c>
      <c r="J2219" s="370"/>
      <c r="K2219" s="370"/>
      <c r="L2219" s="370"/>
      <c r="M2219" s="434"/>
      <c r="N2219" s="390"/>
      <c r="O2219" s="434"/>
      <c r="P2219" s="380"/>
      <c r="R2219" s="416" t="str">
        <f t="shared" si="161"/>
        <v>DELETE</v>
      </c>
      <c r="T2219" s="425"/>
    </row>
    <row r="2220" spans="2:26" ht="31.5" customHeight="1" x14ac:dyDescent="0.45">
      <c r="C2220" s="369"/>
      <c r="D2220" s="369" t="str">
        <f>D2137</f>
        <v>29 FEBRUARY 2024</v>
      </c>
      <c r="H2220" s="368" t="s">
        <v>111</v>
      </c>
      <c r="J2220" s="370"/>
      <c r="K2220" s="370"/>
      <c r="L2220" s="370"/>
      <c r="M2220" s="434"/>
      <c r="N2220" s="390"/>
      <c r="O2220" s="434"/>
      <c r="P2220" s="380"/>
      <c r="R2220" s="416" t="str">
        <f t="shared" si="161"/>
        <v>DELETE</v>
      </c>
      <c r="T2220" s="425"/>
    </row>
    <row r="2221" spans="2:26" ht="31.5" customHeight="1" x14ac:dyDescent="0.45">
      <c r="C2221" s="369"/>
      <c r="J2221" s="370"/>
      <c r="K2221" s="403"/>
      <c r="L2221" s="403"/>
      <c r="M2221" s="438"/>
      <c r="N2221" s="392"/>
      <c r="O2221" s="438"/>
      <c r="P2221" s="380"/>
      <c r="R2221" s="416" t="str">
        <f t="shared" si="161"/>
        <v>DELETE</v>
      </c>
      <c r="T2221" s="425"/>
    </row>
    <row r="2222" spans="2:26" ht="31.5" customHeight="1" x14ac:dyDescent="0.45">
      <c r="B2222" s="385"/>
      <c r="C2222" s="410"/>
      <c r="D2222" s="386"/>
      <c r="E2222" s="386"/>
      <c r="F2222" s="386"/>
      <c r="G2222" s="386"/>
      <c r="H2222" s="386"/>
      <c r="I2222" s="386"/>
      <c r="J2222" s="413"/>
      <c r="M2222" s="479"/>
      <c r="N2222" s="469"/>
      <c r="O2222" s="479"/>
      <c r="P2222" s="406"/>
      <c r="Q2222" s="387"/>
      <c r="R2222" s="416" t="str">
        <f t="shared" si="161"/>
        <v>DELETE</v>
      </c>
      <c r="T2222" s="425"/>
    </row>
    <row r="2223" spans="2:26" ht="31.5" customHeight="1" x14ac:dyDescent="0.45">
      <c r="B2223" s="388"/>
      <c r="C2223" s="369"/>
      <c r="J2223" s="370"/>
      <c r="K2223" s="370"/>
      <c r="L2223" s="370"/>
      <c r="M2223" s="430">
        <f>Criteria!E22</f>
        <v>2024</v>
      </c>
      <c r="N2223" s="379"/>
      <c r="O2223" s="430">
        <f>Criteria!E27</f>
        <v>2023</v>
      </c>
      <c r="P2223" s="380"/>
      <c r="Q2223" s="389"/>
      <c r="R2223" s="416" t="str">
        <f t="shared" si="161"/>
        <v>DELETE</v>
      </c>
      <c r="T2223" s="425"/>
    </row>
    <row r="2224" spans="2:26" ht="31.5" customHeight="1" x14ac:dyDescent="0.45">
      <c r="B2224" s="388"/>
      <c r="C2224" s="369"/>
      <c r="J2224" s="370"/>
      <c r="K2224" s="370"/>
      <c r="L2224" s="370"/>
      <c r="M2224" s="434"/>
      <c r="N2224" s="390"/>
      <c r="O2224" s="434"/>
      <c r="P2224" s="380"/>
      <c r="Q2224" s="389"/>
      <c r="R2224" s="416" t="str">
        <f t="shared" si="161"/>
        <v>DELETE</v>
      </c>
      <c r="T2224" s="425"/>
    </row>
    <row r="2225" spans="2:26" ht="31.5" customHeight="1" x14ac:dyDescent="0.45">
      <c r="B2225" s="388"/>
      <c r="C2225" s="411" t="str">
        <f>IF((Y2225+Z2225)=3,"OPERATING PROFIT/(LOSS)",(IF((Y2225+Z2225=4),"OPERATING PROFIT","OPERATING LOSS")))</f>
        <v>OPERATING PROFIT</v>
      </c>
      <c r="J2225" s="370"/>
      <c r="K2225" s="370"/>
      <c r="L2225" s="370"/>
      <c r="M2225" s="434">
        <f>SUM(S2142:S2206)</f>
        <v>0</v>
      </c>
      <c r="N2225" s="390"/>
      <c r="O2225" s="434">
        <f>SUM(U2142:U2206)</f>
        <v>0</v>
      </c>
      <c r="P2225" s="380"/>
      <c r="Q2225" s="389"/>
      <c r="R2225" s="416" t="str">
        <f t="shared" si="161"/>
        <v>DELETE</v>
      </c>
      <c r="T2225" s="425"/>
      <c r="V2225" s="417" t="b">
        <f>M2225=M2209</f>
        <v>1</v>
      </c>
      <c r="X2225" s="417" t="b">
        <f>O2225=O2209</f>
        <v>1</v>
      </c>
      <c r="Y2225" s="417">
        <f>IF(M2225&lt;0,1,IF(M2225=0,IF(O2225&lt;0,1,2),2))</f>
        <v>2</v>
      </c>
      <c r="Z2225" s="417">
        <f>IF(O2225&lt;0,1,IF(O2225=0,IF(M2225&lt;0,1,2),2))</f>
        <v>2</v>
      </c>
    </row>
    <row r="2226" spans="2:26" ht="31.5" customHeight="1" x14ac:dyDescent="0.45">
      <c r="B2226" s="388"/>
      <c r="C2226" s="369"/>
      <c r="D2226" s="368" t="s">
        <v>258</v>
      </c>
      <c r="J2226" s="370"/>
      <c r="K2226" s="370"/>
      <c r="L2226" s="370"/>
      <c r="M2226" s="434"/>
      <c r="N2226" s="390"/>
      <c r="O2226" s="434"/>
      <c r="P2226" s="380"/>
      <c r="Q2226" s="389"/>
      <c r="R2226" s="416" t="str">
        <f t="shared" si="161"/>
        <v>DELETE</v>
      </c>
      <c r="T2226" s="425"/>
    </row>
    <row r="2227" spans="2:26" ht="31.5" customHeight="1" x14ac:dyDescent="0.45">
      <c r="B2227" s="388"/>
      <c r="C2227" s="369"/>
      <c r="J2227" s="370"/>
      <c r="K2227" s="370"/>
      <c r="L2227" s="370"/>
      <c r="M2227" s="434"/>
      <c r="N2227" s="390"/>
      <c r="O2227" s="434"/>
      <c r="P2227" s="380"/>
      <c r="Q2227" s="389"/>
      <c r="R2227" s="416" t="str">
        <f t="shared" si="161"/>
        <v>DELETE</v>
      </c>
      <c r="T2227" s="425"/>
    </row>
    <row r="2228" spans="2:26" ht="31.5" customHeight="1" x14ac:dyDescent="0.45">
      <c r="B2228" s="388"/>
      <c r="C2228" s="369" t="s">
        <v>1045</v>
      </c>
      <c r="J2228" s="370"/>
      <c r="K2228" s="370"/>
      <c r="L2228" s="370"/>
      <c r="M2228" s="434">
        <f>SUM(M2231:M2263)</f>
        <v>0</v>
      </c>
      <c r="N2228" s="390"/>
      <c r="O2228" s="434">
        <f>SUM(O2231:O2263)</f>
        <v>0</v>
      </c>
      <c r="P2228" s="380"/>
      <c r="Q2228" s="389"/>
      <c r="R2228" s="416" t="str">
        <f t="shared" ref="R2228" si="162">IF(R$2130="DELETE","DELETE",IF(M2228+O2228=0,"DELETE"," "))</f>
        <v>DELETE</v>
      </c>
      <c r="S2228" s="421">
        <f>-M2228</f>
        <v>0</v>
      </c>
      <c r="T2228" s="425"/>
      <c r="U2228" s="421">
        <f>-O2228</f>
        <v>0</v>
      </c>
      <c r="V2228" s="421"/>
      <c r="W2228" s="421"/>
      <c r="X2228" s="421"/>
    </row>
    <row r="2229" spans="2:26" ht="9" customHeight="1" x14ac:dyDescent="0.45">
      <c r="B2229" s="388"/>
      <c r="C2229" s="369"/>
      <c r="J2229" s="370"/>
      <c r="K2229" s="370"/>
      <c r="L2229" s="370"/>
      <c r="M2229" s="434"/>
      <c r="N2229" s="390"/>
      <c r="O2229" s="434"/>
      <c r="P2229" s="380"/>
      <c r="Q2229" s="389"/>
      <c r="R2229" s="416" t="str">
        <f>R2228</f>
        <v>DELETE</v>
      </c>
      <c r="T2229" s="425"/>
    </row>
    <row r="2230" spans="2:26" ht="9" customHeight="1" x14ac:dyDescent="0.45">
      <c r="B2230" s="388"/>
      <c r="C2230" s="369"/>
      <c r="J2230" s="370"/>
      <c r="K2230" s="370"/>
      <c r="L2230" s="370"/>
      <c r="M2230" s="435"/>
      <c r="N2230" s="391"/>
      <c r="O2230" s="450"/>
      <c r="P2230" s="380"/>
      <c r="Q2230" s="389"/>
      <c r="R2230" s="416" t="str">
        <f>R2229</f>
        <v>DELETE</v>
      </c>
      <c r="T2230" s="425"/>
    </row>
    <row r="2231" spans="2:26" ht="31.5" customHeight="1" x14ac:dyDescent="0.45">
      <c r="B2231" s="388"/>
      <c r="C2231" s="369"/>
      <c r="D2231" s="368" t="s">
        <v>218</v>
      </c>
      <c r="J2231" s="370"/>
      <c r="K2231" s="370"/>
      <c r="L2231" s="370"/>
      <c r="M2231" s="436">
        <f>SUM(TrialBalanceB!I85:I88)</f>
        <v>0</v>
      </c>
      <c r="N2231" s="390"/>
      <c r="O2231" s="451">
        <f>SUM(TrialBalanceB!K85:K88)</f>
        <v>0</v>
      </c>
      <c r="P2231" s="380"/>
      <c r="Q2231" s="389"/>
      <c r="R2231" s="416" t="str">
        <f t="shared" ref="R2231:R2261" si="163">IF(R$2130="DELETE","DELETE",IF(M2231+O2231=0,"DELETE"," "))</f>
        <v>DELETE</v>
      </c>
      <c r="T2231" s="425"/>
    </row>
    <row r="2232" spans="2:26" ht="31.5" customHeight="1" x14ac:dyDescent="0.45">
      <c r="B2232" s="388"/>
      <c r="C2232" s="369"/>
      <c r="D2232" s="368" t="s">
        <v>222</v>
      </c>
      <c r="J2232" s="370"/>
      <c r="K2232" s="370"/>
      <c r="L2232" s="370"/>
      <c r="M2232" s="436">
        <f>TrialBalanceB!I90</f>
        <v>0</v>
      </c>
      <c r="N2232" s="390"/>
      <c r="O2232" s="451">
        <f>TrialBalanceB!K90</f>
        <v>0</v>
      </c>
      <c r="P2232" s="380"/>
      <c r="Q2232" s="389"/>
      <c r="R2232" s="416" t="str">
        <f>IF(R$2130="DELETE","DELETE",IF(M2232+O2232=0,"DELETE"," "))</f>
        <v>DELETE</v>
      </c>
      <c r="T2232" s="425"/>
    </row>
    <row r="2233" spans="2:26" ht="31.5" customHeight="1" x14ac:dyDescent="0.45">
      <c r="B2233" s="388"/>
      <c r="C2233" s="369"/>
      <c r="D2233" s="368" t="s">
        <v>220</v>
      </c>
      <c r="J2233" s="370"/>
      <c r="K2233" s="370"/>
      <c r="L2233" s="370"/>
      <c r="M2233" s="436">
        <f>TrialBalanceB!I89</f>
        <v>0</v>
      </c>
      <c r="N2233" s="390"/>
      <c r="O2233" s="451">
        <f>TrialBalanceB!K89</f>
        <v>0</v>
      </c>
      <c r="P2233" s="380"/>
      <c r="Q2233" s="389"/>
      <c r="R2233" s="416" t="str">
        <f>IF(R$2130="DELETE","DELETE",IF(M2233+O2233=0,"DELETE"," "))</f>
        <v>DELETE</v>
      </c>
      <c r="T2233" s="425"/>
    </row>
    <row r="2234" spans="2:26" ht="31.5" customHeight="1" x14ac:dyDescent="0.45">
      <c r="B2234" s="388"/>
      <c r="C2234" s="369"/>
      <c r="D2234" s="368" t="s">
        <v>259</v>
      </c>
      <c r="J2234" s="370"/>
      <c r="K2234" s="370"/>
      <c r="L2234" s="370"/>
      <c r="M2234" s="436">
        <f>TrialBalanceB!I91</f>
        <v>0</v>
      </c>
      <c r="N2234" s="390"/>
      <c r="O2234" s="451">
        <f>TrialBalanceB!K91</f>
        <v>0</v>
      </c>
      <c r="P2234" s="380"/>
      <c r="Q2234" s="389"/>
      <c r="R2234" s="416" t="str">
        <f t="shared" si="163"/>
        <v>DELETE</v>
      </c>
      <c r="T2234" s="425"/>
    </row>
    <row r="2235" spans="2:26" ht="31.5" customHeight="1" x14ac:dyDescent="0.45">
      <c r="B2235" s="388"/>
      <c r="C2235" s="369"/>
      <c r="D2235" s="368" t="s">
        <v>225</v>
      </c>
      <c r="J2235" s="370"/>
      <c r="K2235" s="370"/>
      <c r="L2235" s="370"/>
      <c r="M2235" s="436">
        <f>TrialBalanceB!I92</f>
        <v>0</v>
      </c>
      <c r="N2235" s="390"/>
      <c r="O2235" s="451">
        <f>TrialBalanceB!K92</f>
        <v>0</v>
      </c>
      <c r="P2235" s="380"/>
      <c r="Q2235" s="389"/>
      <c r="R2235" s="416" t="str">
        <f t="shared" si="163"/>
        <v>DELETE</v>
      </c>
      <c r="T2235" s="425"/>
    </row>
    <row r="2236" spans="2:26" ht="31.5" customHeight="1" x14ac:dyDescent="0.45">
      <c r="B2236" s="388"/>
      <c r="C2236" s="369"/>
      <c r="D2236" s="368" t="s">
        <v>735</v>
      </c>
      <c r="J2236" s="370"/>
      <c r="K2236" s="370"/>
      <c r="L2236" s="370"/>
      <c r="M2236" s="436">
        <f>TrialBalanceB!I93</f>
        <v>0</v>
      </c>
      <c r="N2236" s="390"/>
      <c r="O2236" s="451">
        <f>TrialBalanceB!K93</f>
        <v>0</v>
      </c>
      <c r="P2236" s="380"/>
      <c r="Q2236" s="389"/>
      <c r="R2236" s="416" t="str">
        <f t="shared" si="163"/>
        <v>DELETE</v>
      </c>
      <c r="T2236" s="425"/>
    </row>
    <row r="2237" spans="2:26" ht="31.5" customHeight="1" x14ac:dyDescent="0.45">
      <c r="B2237" s="388"/>
      <c r="C2237" s="369"/>
      <c r="D2237" s="368" t="s">
        <v>279</v>
      </c>
      <c r="J2237" s="370"/>
      <c r="K2237" s="370">
        <f>C$747</f>
        <v>6.2999999999999989</v>
      </c>
      <c r="L2237" s="370"/>
      <c r="M2237" s="436">
        <f>SUM(TrialBalanceB!I95:I96)</f>
        <v>0</v>
      </c>
      <c r="N2237" s="390"/>
      <c r="O2237" s="451">
        <f>SUM(TrialBalanceB!K95:K96)</f>
        <v>0</v>
      </c>
      <c r="P2237" s="380"/>
      <c r="Q2237" s="389"/>
      <c r="R2237" s="416" t="str">
        <f t="shared" si="163"/>
        <v>DELETE</v>
      </c>
      <c r="T2237" s="425"/>
    </row>
    <row r="2238" spans="2:26" ht="31.5" customHeight="1" x14ac:dyDescent="0.45">
      <c r="B2238" s="388"/>
      <c r="C2238" s="369"/>
      <c r="D2238" s="368" t="s">
        <v>260</v>
      </c>
      <c r="J2238" s="370"/>
      <c r="K2238" s="370"/>
      <c r="L2238" s="370"/>
      <c r="M2238" s="436">
        <f>TrialBalanceB!I103</f>
        <v>0</v>
      </c>
      <c r="N2238" s="390"/>
      <c r="O2238" s="451">
        <f>TrialBalanceB!K103</f>
        <v>0</v>
      </c>
      <c r="P2238" s="380"/>
      <c r="Q2238" s="389"/>
      <c r="R2238" s="416" t="str">
        <f t="shared" si="163"/>
        <v>DELETE</v>
      </c>
      <c r="T2238" s="425"/>
    </row>
    <row r="2239" spans="2:26" ht="31.5" customHeight="1" x14ac:dyDescent="0.45">
      <c r="B2239" s="388"/>
      <c r="C2239" s="369"/>
      <c r="D2239" s="368" t="s">
        <v>375</v>
      </c>
      <c r="J2239" s="370"/>
      <c r="K2239" s="370"/>
      <c r="L2239" s="370"/>
      <c r="M2239" s="436">
        <f>TrialBalanceB!I104</f>
        <v>0</v>
      </c>
      <c r="N2239" s="390"/>
      <c r="O2239" s="451">
        <f>TrialBalanceB!K104</f>
        <v>0</v>
      </c>
      <c r="P2239" s="380"/>
      <c r="Q2239" s="389"/>
      <c r="R2239" s="416" t="str">
        <f t="shared" si="163"/>
        <v>DELETE</v>
      </c>
      <c r="T2239" s="425"/>
    </row>
    <row r="2240" spans="2:26" ht="31.5" customHeight="1" x14ac:dyDescent="0.45">
      <c r="B2240" s="388"/>
      <c r="C2240" s="369"/>
      <c r="D2240" s="368" t="s">
        <v>326</v>
      </c>
      <c r="J2240" s="370"/>
      <c r="K2240" s="370"/>
      <c r="L2240" s="370"/>
      <c r="M2240" s="436">
        <f>TrialBalanceB!I105</f>
        <v>0</v>
      </c>
      <c r="N2240" s="390"/>
      <c r="O2240" s="451">
        <f>TrialBalanceB!K105</f>
        <v>0</v>
      </c>
      <c r="P2240" s="380"/>
      <c r="Q2240" s="389"/>
      <c r="R2240" s="416" t="str">
        <f t="shared" si="163"/>
        <v>DELETE</v>
      </c>
      <c r="T2240" s="425"/>
    </row>
    <row r="2241" spans="2:20" ht="31.5" customHeight="1" x14ac:dyDescent="0.45">
      <c r="B2241" s="388"/>
      <c r="C2241" s="369"/>
      <c r="D2241" s="368" t="s">
        <v>377</v>
      </c>
      <c r="J2241" s="370"/>
      <c r="K2241" s="370"/>
      <c r="L2241" s="370"/>
      <c r="M2241" s="436">
        <f>TrialBalanceB!I106</f>
        <v>0</v>
      </c>
      <c r="N2241" s="390"/>
      <c r="O2241" s="451">
        <f>TrialBalanceB!K106</f>
        <v>0</v>
      </c>
      <c r="P2241" s="380"/>
      <c r="Q2241" s="389"/>
      <c r="R2241" s="416" t="str">
        <f t="shared" si="163"/>
        <v>DELETE</v>
      </c>
      <c r="T2241" s="425"/>
    </row>
    <row r="2242" spans="2:20" ht="31.5" customHeight="1" x14ac:dyDescent="0.45">
      <c r="B2242" s="388"/>
      <c r="C2242" s="369"/>
      <c r="D2242" s="368" t="s">
        <v>1081</v>
      </c>
      <c r="J2242" s="370"/>
      <c r="K2242" s="370"/>
      <c r="L2242" s="370"/>
      <c r="M2242" s="436">
        <f>IF(TrialBalanceB!I141&gt;0,TrialBalanceB!I141,0)</f>
        <v>0</v>
      </c>
      <c r="N2242" s="390"/>
      <c r="O2242" s="451">
        <f>IF(TrialBalanceB!K141&gt;0,TrialBalanceB!K141,0)</f>
        <v>0</v>
      </c>
      <c r="P2242" s="380"/>
      <c r="Q2242" s="389"/>
      <c r="R2242" s="416" t="str">
        <f>IF(R$2130="DELETE","DELETE",IF(M2242+O2242=0,"DELETE"," "))</f>
        <v>DELETE</v>
      </c>
      <c r="T2242" s="425"/>
    </row>
    <row r="2243" spans="2:20" ht="31.5" customHeight="1" x14ac:dyDescent="0.45">
      <c r="B2243" s="388"/>
      <c r="C2243" s="369"/>
      <c r="D2243" s="368" t="s">
        <v>496</v>
      </c>
      <c r="J2243" s="370"/>
      <c r="K2243" s="370"/>
      <c r="L2243" s="370"/>
      <c r="M2243" s="436">
        <f>TrialBalanceB!I107+TrialBalanceB!I108</f>
        <v>0</v>
      </c>
      <c r="N2243" s="390"/>
      <c r="O2243" s="451">
        <f>TrialBalanceB!K107+TrialBalanceB!K108</f>
        <v>0</v>
      </c>
      <c r="P2243" s="380"/>
      <c r="Q2243" s="389"/>
      <c r="R2243" s="416" t="str">
        <f t="shared" si="163"/>
        <v>DELETE</v>
      </c>
      <c r="T2243" s="425"/>
    </row>
    <row r="2244" spans="2:20" ht="31.5" customHeight="1" x14ac:dyDescent="0.45">
      <c r="B2244" s="388"/>
      <c r="C2244" s="369"/>
      <c r="D2244" s="368" t="s">
        <v>519</v>
      </c>
      <c r="J2244" s="370"/>
      <c r="K2244" s="370"/>
      <c r="L2244" s="370"/>
      <c r="M2244" s="436">
        <f>IF(TrialBalanceB!I81&gt;0,TrialBalanceB!I81,0)</f>
        <v>0</v>
      </c>
      <c r="N2244" s="390"/>
      <c r="O2244" s="451">
        <f>IF(TrialBalanceB!K81&gt;0,TrialBalanceB!K81,0)</f>
        <v>0</v>
      </c>
      <c r="P2244" s="380"/>
      <c r="Q2244" s="389"/>
      <c r="R2244" s="416" t="str">
        <f>IF(R$2130="DELETE","DELETE",IF(M2244+O2244=0,"DELETE"," "))</f>
        <v>DELETE</v>
      </c>
      <c r="T2244" s="425"/>
    </row>
    <row r="2245" spans="2:20" ht="31.5" customHeight="1" x14ac:dyDescent="0.45">
      <c r="B2245" s="388"/>
      <c r="C2245" s="369"/>
      <c r="D2245" s="368" t="s">
        <v>736</v>
      </c>
      <c r="J2245" s="370"/>
      <c r="K2245" s="370"/>
      <c r="L2245" s="370"/>
      <c r="M2245" s="436">
        <f>TrialBalanceB!I109</f>
        <v>0</v>
      </c>
      <c r="N2245" s="390"/>
      <c r="O2245" s="451">
        <f>TrialBalanceB!K109</f>
        <v>0</v>
      </c>
      <c r="P2245" s="380"/>
      <c r="Q2245" s="389"/>
      <c r="R2245" s="416" t="str">
        <f>IF(R$2130="DELETE","DELETE",IF(M2245+O2245=0,"DELETE"," "))</f>
        <v>DELETE</v>
      </c>
      <c r="T2245" s="425"/>
    </row>
    <row r="2246" spans="2:20" ht="31.5" customHeight="1" x14ac:dyDescent="0.45">
      <c r="B2246" s="388"/>
      <c r="C2246" s="369"/>
      <c r="D2246" s="368" t="s">
        <v>261</v>
      </c>
      <c r="J2246" s="370"/>
      <c r="K2246" s="370"/>
      <c r="L2246" s="370"/>
      <c r="M2246" s="436">
        <f>TrialBalanceB!I110</f>
        <v>0</v>
      </c>
      <c r="N2246" s="390"/>
      <c r="O2246" s="451">
        <f>TrialBalanceB!K110</f>
        <v>0</v>
      </c>
      <c r="P2246" s="380"/>
      <c r="Q2246" s="389"/>
      <c r="R2246" s="416" t="str">
        <f>IF(R$2130="DELETE","DELETE",IF(M2246+O2246=0,"DELETE"," "))</f>
        <v>DELETE</v>
      </c>
      <c r="T2246" s="425"/>
    </row>
    <row r="2247" spans="2:20" ht="31.5" customHeight="1" x14ac:dyDescent="0.45">
      <c r="B2247" s="388"/>
      <c r="C2247" s="369"/>
      <c r="D2247" s="368" t="s">
        <v>254</v>
      </c>
      <c r="J2247" s="370"/>
      <c r="K2247" s="370"/>
      <c r="L2247" s="370"/>
      <c r="M2247" s="436">
        <f>SUM(TrialBalanceB!I111:I112)</f>
        <v>0</v>
      </c>
      <c r="N2247" s="390"/>
      <c r="O2247" s="451">
        <f>SUM(TrialBalanceB!K111:K112)</f>
        <v>0</v>
      </c>
      <c r="P2247" s="380"/>
      <c r="Q2247" s="389"/>
      <c r="R2247" s="416" t="str">
        <f t="shared" si="163"/>
        <v>DELETE</v>
      </c>
      <c r="T2247" s="425"/>
    </row>
    <row r="2248" spans="2:20" ht="31.5" customHeight="1" x14ac:dyDescent="0.45">
      <c r="B2248" s="388"/>
      <c r="C2248" s="369"/>
      <c r="D2248" s="368" t="s">
        <v>262</v>
      </c>
      <c r="J2248" s="370"/>
      <c r="K2248" s="370"/>
      <c r="L2248" s="370"/>
      <c r="M2248" s="436">
        <f>TrialBalanceB!I113</f>
        <v>0</v>
      </c>
      <c r="N2248" s="390"/>
      <c r="O2248" s="451">
        <f>TrialBalanceB!K113</f>
        <v>0</v>
      </c>
      <c r="P2248" s="380"/>
      <c r="Q2248" s="389"/>
      <c r="R2248" s="416" t="str">
        <f t="shared" si="163"/>
        <v>DELETE</v>
      </c>
      <c r="T2248" s="425"/>
    </row>
    <row r="2249" spans="2:20" ht="31.5" customHeight="1" x14ac:dyDescent="0.45">
      <c r="B2249" s="388"/>
      <c r="C2249" s="369"/>
      <c r="D2249" s="368" t="s">
        <v>737</v>
      </c>
      <c r="J2249" s="370"/>
      <c r="K2249" s="370"/>
      <c r="L2249" s="370"/>
      <c r="M2249" s="436">
        <f>TrialBalanceB!I114</f>
        <v>0</v>
      </c>
      <c r="N2249" s="390"/>
      <c r="O2249" s="451">
        <f>TrialBalanceB!K114</f>
        <v>0</v>
      </c>
      <c r="P2249" s="380"/>
      <c r="Q2249" s="389"/>
      <c r="R2249" s="416" t="str">
        <f t="shared" si="163"/>
        <v>DELETE</v>
      </c>
      <c r="T2249" s="425"/>
    </row>
    <row r="2250" spans="2:20" ht="31.5" customHeight="1" x14ac:dyDescent="0.45">
      <c r="B2250" s="388"/>
      <c r="C2250" s="369"/>
      <c r="D2250" s="368" t="s">
        <v>88</v>
      </c>
      <c r="J2250" s="370"/>
      <c r="K2250" s="370"/>
      <c r="L2250" s="370"/>
      <c r="M2250" s="436">
        <f>TrialBalanceB!I115</f>
        <v>0</v>
      </c>
      <c r="N2250" s="390"/>
      <c r="O2250" s="451">
        <f>TrialBalanceB!K115</f>
        <v>0</v>
      </c>
      <c r="P2250" s="380"/>
      <c r="Q2250" s="389"/>
      <c r="R2250" s="416" t="str">
        <f t="shared" si="163"/>
        <v>DELETE</v>
      </c>
      <c r="T2250" s="425"/>
    </row>
    <row r="2251" spans="2:20" ht="31.5" customHeight="1" x14ac:dyDescent="0.45">
      <c r="B2251" s="388"/>
      <c r="C2251" s="369"/>
      <c r="D2251" s="368" t="str">
        <f>IF(MAX(Criteria!I38:I42)&gt;1,"Trustees' remuneration","Trustee's remuneration")</f>
        <v>Trustees' remuneration</v>
      </c>
      <c r="J2251" s="370"/>
      <c r="K2251" s="370">
        <f>C$688</f>
        <v>6.1</v>
      </c>
      <c r="L2251" s="370"/>
      <c r="M2251" s="436">
        <f>SUM(TrialBalanceB!I98:I102)</f>
        <v>0</v>
      </c>
      <c r="N2251" s="390"/>
      <c r="O2251" s="451">
        <f>SUM(TrialBalanceB!K98:K102)</f>
        <v>0</v>
      </c>
      <c r="P2251" s="380"/>
      <c r="Q2251" s="389"/>
      <c r="R2251" s="416" t="str">
        <f t="shared" si="163"/>
        <v>DELETE</v>
      </c>
      <c r="T2251" s="425"/>
    </row>
    <row r="2252" spans="2:20" ht="31.5" customHeight="1" x14ac:dyDescent="0.45">
      <c r="B2252" s="388"/>
      <c r="C2252" s="369"/>
      <c r="D2252" s="368">
        <f>TrialBalanceB!C116</f>
        <v>0</v>
      </c>
      <c r="J2252" s="370"/>
      <c r="K2252" s="370"/>
      <c r="L2252" s="370"/>
      <c r="M2252" s="436">
        <f>TrialBalanceB!I116</f>
        <v>0</v>
      </c>
      <c r="N2252" s="390"/>
      <c r="O2252" s="451">
        <f>TrialBalanceB!K116</f>
        <v>0</v>
      </c>
      <c r="P2252" s="380"/>
      <c r="Q2252" s="389"/>
      <c r="R2252" s="416" t="str">
        <f t="shared" si="163"/>
        <v>DELETE</v>
      </c>
      <c r="T2252" s="425"/>
    </row>
    <row r="2253" spans="2:20" ht="31.5" customHeight="1" x14ac:dyDescent="0.45">
      <c r="B2253" s="388"/>
      <c r="C2253" s="369"/>
      <c r="D2253" s="368">
        <f>TrialBalanceB!C117</f>
        <v>0</v>
      </c>
      <c r="J2253" s="370"/>
      <c r="K2253" s="370"/>
      <c r="L2253" s="370"/>
      <c r="M2253" s="436">
        <f>TrialBalanceB!I117</f>
        <v>0</v>
      </c>
      <c r="N2253" s="390"/>
      <c r="O2253" s="451">
        <f>TrialBalanceB!K117</f>
        <v>0</v>
      </c>
      <c r="P2253" s="380"/>
      <c r="Q2253" s="389"/>
      <c r="R2253" s="416" t="str">
        <f t="shared" si="163"/>
        <v>DELETE</v>
      </c>
      <c r="T2253" s="425"/>
    </row>
    <row r="2254" spans="2:20" ht="31.5" customHeight="1" x14ac:dyDescent="0.45">
      <c r="B2254" s="388"/>
      <c r="C2254" s="369"/>
      <c r="D2254" s="368">
        <f>TrialBalanceB!C118</f>
        <v>0</v>
      </c>
      <c r="J2254" s="370"/>
      <c r="K2254" s="370"/>
      <c r="L2254" s="370"/>
      <c r="M2254" s="436">
        <f>TrialBalanceB!I118</f>
        <v>0</v>
      </c>
      <c r="N2254" s="390"/>
      <c r="O2254" s="451">
        <f>TrialBalanceB!K118</f>
        <v>0</v>
      </c>
      <c r="P2254" s="380"/>
      <c r="Q2254" s="389"/>
      <c r="R2254" s="416" t="str">
        <f t="shared" si="163"/>
        <v>DELETE</v>
      </c>
      <c r="T2254" s="425"/>
    </row>
    <row r="2255" spans="2:20" ht="31.5" customHeight="1" x14ac:dyDescent="0.45">
      <c r="B2255" s="388"/>
      <c r="C2255" s="369"/>
      <c r="D2255" s="368">
        <f>TrialBalanceB!C119</f>
        <v>0</v>
      </c>
      <c r="J2255" s="370"/>
      <c r="K2255" s="370"/>
      <c r="L2255" s="370"/>
      <c r="M2255" s="436">
        <f>TrialBalanceB!I119</f>
        <v>0</v>
      </c>
      <c r="N2255" s="390"/>
      <c r="O2255" s="451">
        <f>TrialBalanceB!K119</f>
        <v>0</v>
      </c>
      <c r="P2255" s="380"/>
      <c r="Q2255" s="389"/>
      <c r="R2255" s="416" t="str">
        <f t="shared" si="163"/>
        <v>DELETE</v>
      </c>
      <c r="T2255" s="425"/>
    </row>
    <row r="2256" spans="2:20" ht="31.5" customHeight="1" x14ac:dyDescent="0.45">
      <c r="B2256" s="388"/>
      <c r="C2256" s="369"/>
      <c r="D2256" s="368">
        <f>TrialBalanceB!C120</f>
        <v>0</v>
      </c>
      <c r="J2256" s="370"/>
      <c r="K2256" s="370"/>
      <c r="L2256" s="370"/>
      <c r="M2256" s="436">
        <f>TrialBalanceB!I120</f>
        <v>0</v>
      </c>
      <c r="N2256" s="390"/>
      <c r="O2256" s="451">
        <f>TrialBalanceB!K120</f>
        <v>0</v>
      </c>
      <c r="P2256" s="380"/>
      <c r="Q2256" s="389"/>
      <c r="R2256" s="416" t="str">
        <f t="shared" si="163"/>
        <v>DELETE</v>
      </c>
      <c r="T2256" s="425"/>
    </row>
    <row r="2257" spans="2:26" ht="31.5" customHeight="1" x14ac:dyDescent="0.45">
      <c r="B2257" s="388"/>
      <c r="C2257" s="369"/>
      <c r="D2257" s="368">
        <f>TrialBalanceB!C121</f>
        <v>0</v>
      </c>
      <c r="J2257" s="370"/>
      <c r="K2257" s="370"/>
      <c r="L2257" s="370"/>
      <c r="M2257" s="436">
        <f>TrialBalanceB!I121</f>
        <v>0</v>
      </c>
      <c r="N2257" s="390"/>
      <c r="O2257" s="451">
        <f>TrialBalanceB!K121</f>
        <v>0</v>
      </c>
      <c r="P2257" s="380"/>
      <c r="Q2257" s="389"/>
      <c r="R2257" s="416" t="str">
        <f t="shared" si="163"/>
        <v>DELETE</v>
      </c>
      <c r="T2257" s="425"/>
    </row>
    <row r="2258" spans="2:26" ht="31.5" customHeight="1" x14ac:dyDescent="0.45">
      <c r="B2258" s="388"/>
      <c r="C2258" s="369"/>
      <c r="D2258" s="368">
        <f>TrialBalanceB!C122</f>
        <v>0</v>
      </c>
      <c r="J2258" s="370"/>
      <c r="K2258" s="370"/>
      <c r="L2258" s="370"/>
      <c r="M2258" s="436">
        <f>TrialBalanceB!I122</f>
        <v>0</v>
      </c>
      <c r="N2258" s="390"/>
      <c r="O2258" s="451">
        <f>TrialBalanceB!K122</f>
        <v>0</v>
      </c>
      <c r="P2258" s="380"/>
      <c r="Q2258" s="389"/>
      <c r="R2258" s="416" t="str">
        <f t="shared" si="163"/>
        <v>DELETE</v>
      </c>
      <c r="T2258" s="425"/>
    </row>
    <row r="2259" spans="2:26" ht="31.5" customHeight="1" x14ac:dyDescent="0.45">
      <c r="B2259" s="388"/>
      <c r="C2259" s="369"/>
      <c r="D2259" s="368">
        <f>TrialBalanceB!C123</f>
        <v>0</v>
      </c>
      <c r="J2259" s="370"/>
      <c r="K2259" s="370"/>
      <c r="L2259" s="370"/>
      <c r="M2259" s="436">
        <f>TrialBalanceB!I123</f>
        <v>0</v>
      </c>
      <c r="N2259" s="390"/>
      <c r="O2259" s="451">
        <f>TrialBalanceB!K123</f>
        <v>0</v>
      </c>
      <c r="P2259" s="380"/>
      <c r="Q2259" s="389"/>
      <c r="R2259" s="416" t="str">
        <f t="shared" si="163"/>
        <v>DELETE</v>
      </c>
      <c r="T2259" s="425"/>
    </row>
    <row r="2260" spans="2:26" ht="31.5" customHeight="1" x14ac:dyDescent="0.45">
      <c r="B2260" s="388"/>
      <c r="C2260" s="369"/>
      <c r="D2260" s="368">
        <f>TrialBalanceB!C124</f>
        <v>0</v>
      </c>
      <c r="J2260" s="370"/>
      <c r="K2260" s="370"/>
      <c r="L2260" s="370"/>
      <c r="M2260" s="436">
        <f>TrialBalanceB!I124</f>
        <v>0</v>
      </c>
      <c r="N2260" s="390"/>
      <c r="O2260" s="451">
        <f>TrialBalanceB!K124</f>
        <v>0</v>
      </c>
      <c r="P2260" s="380"/>
      <c r="Q2260" s="389"/>
      <c r="R2260" s="416" t="str">
        <f t="shared" si="163"/>
        <v>DELETE</v>
      </c>
      <c r="T2260" s="425"/>
    </row>
    <row r="2261" spans="2:26" ht="31.5" customHeight="1" x14ac:dyDescent="0.45">
      <c r="B2261" s="388"/>
      <c r="C2261" s="369"/>
      <c r="D2261" s="368" t="str">
        <f>TrialBalanceB!C125</f>
        <v>Amortisation of prepaid lease agreement</v>
      </c>
      <c r="J2261" s="370"/>
      <c r="K2261" s="370"/>
      <c r="L2261" s="370"/>
      <c r="M2261" s="436">
        <f>TrialBalanceB!I125</f>
        <v>0</v>
      </c>
      <c r="N2261" s="390"/>
      <c r="O2261" s="451">
        <f>TrialBalanceB!K125</f>
        <v>0</v>
      </c>
      <c r="P2261" s="380"/>
      <c r="Q2261" s="389"/>
      <c r="R2261" s="416" t="str">
        <f t="shared" si="163"/>
        <v>DELETE</v>
      </c>
      <c r="T2261" s="425"/>
    </row>
    <row r="2262" spans="2:26" ht="31.5" customHeight="1" x14ac:dyDescent="0.45">
      <c r="B2262" s="388"/>
      <c r="C2262" s="369"/>
      <c r="D2262" s="368" t="str">
        <f>TrialBalanceB!C126</f>
        <v>Amortisation of goodwill</v>
      </c>
      <c r="J2262" s="370"/>
      <c r="K2262" s="370"/>
      <c r="L2262" s="370"/>
      <c r="M2262" s="436">
        <f>TrialBalanceB!I126</f>
        <v>0</v>
      </c>
      <c r="N2262" s="390"/>
      <c r="O2262" s="451">
        <f>TrialBalanceB!K126</f>
        <v>0</v>
      </c>
      <c r="P2262" s="380"/>
      <c r="Q2262" s="389"/>
      <c r="R2262" s="416" t="str">
        <f t="shared" ref="R2262" si="164">IF(R$2130="DELETE","DELETE",IF(M2262+O2262=0,"DELETE"," "))</f>
        <v>DELETE</v>
      </c>
      <c r="T2262" s="425"/>
    </row>
    <row r="2263" spans="2:26" ht="9" customHeight="1" x14ac:dyDescent="0.45">
      <c r="B2263" s="388"/>
      <c r="C2263" s="369"/>
      <c r="J2263" s="370"/>
      <c r="K2263" s="370"/>
      <c r="L2263" s="370"/>
      <c r="M2263" s="437"/>
      <c r="N2263" s="392"/>
      <c r="O2263" s="452"/>
      <c r="P2263" s="380"/>
      <c r="Q2263" s="389"/>
      <c r="R2263" s="416" t="str">
        <f>R2228</f>
        <v>DELETE</v>
      </c>
      <c r="T2263" s="425"/>
    </row>
    <row r="2264" spans="2:26" ht="9" customHeight="1" x14ac:dyDescent="0.45">
      <c r="B2264" s="388"/>
      <c r="C2264" s="369"/>
      <c r="J2264" s="370"/>
      <c r="K2264" s="370"/>
      <c r="L2264" s="370"/>
      <c r="M2264" s="438"/>
      <c r="N2264" s="392"/>
      <c r="O2264" s="438"/>
      <c r="P2264" s="380"/>
      <c r="Q2264" s="389"/>
      <c r="R2264" s="416" t="str">
        <f t="shared" ref="R2264:R2267" si="165">R$2130</f>
        <v>DELETE</v>
      </c>
      <c r="T2264" s="425"/>
    </row>
    <row r="2265" spans="2:26" ht="9" customHeight="1" x14ac:dyDescent="0.45">
      <c r="B2265" s="388"/>
      <c r="C2265" s="369"/>
      <c r="J2265" s="370"/>
      <c r="K2265" s="370"/>
      <c r="L2265" s="370"/>
      <c r="M2265" s="434"/>
      <c r="N2265" s="390"/>
      <c r="O2265" s="434"/>
      <c r="P2265" s="380"/>
      <c r="Q2265" s="389"/>
      <c r="R2265" s="416" t="str">
        <f t="shared" si="165"/>
        <v>DELETE</v>
      </c>
      <c r="T2265" s="425"/>
    </row>
    <row r="2266" spans="2:26" ht="31.5" customHeight="1" x14ac:dyDescent="0.45">
      <c r="B2266" s="388"/>
      <c r="C2266" s="411" t="str">
        <f>IF((Y2266+Z2266)=3,"OPERATING PROFIT/(LOSS) FOR THE YEAR",(IF((Y2266+Z2266=4),"OPERATING PROFIT FOR THE YEAR","OPERATING LOSS FOR THE YEAR")))</f>
        <v>OPERATING PROFIT FOR THE YEAR</v>
      </c>
      <c r="J2266" s="370"/>
      <c r="K2266" s="370">
        <f>FS!B685</f>
        <v>6</v>
      </c>
      <c r="L2266" s="370"/>
      <c r="M2266" s="434">
        <f>SUM(S2142:S2263)</f>
        <v>0</v>
      </c>
      <c r="N2266" s="390"/>
      <c r="O2266" s="434">
        <f>SUM(U2142:U2263)</f>
        <v>0</v>
      </c>
      <c r="P2266" s="380"/>
      <c r="Q2266" s="389"/>
      <c r="R2266" s="416" t="str">
        <f t="shared" si="165"/>
        <v>DELETE</v>
      </c>
      <c r="T2266" s="425"/>
      <c r="Y2266" s="417">
        <f>IF(M2266&lt;0,1,IF(M2266=0,IF(O2266&lt;0,1,2),2))</f>
        <v>2</v>
      </c>
      <c r="Z2266" s="417">
        <f>IF(O2266&lt;0,1,IF(O2266=0,IF(M2266&lt;0,1,2),2))</f>
        <v>2</v>
      </c>
    </row>
    <row r="2267" spans="2:26" ht="31.5" customHeight="1" x14ac:dyDescent="0.45">
      <c r="B2267" s="388"/>
      <c r="C2267" s="369"/>
      <c r="J2267" s="370"/>
      <c r="K2267" s="370"/>
      <c r="L2267" s="370"/>
      <c r="M2267" s="434"/>
      <c r="N2267" s="390"/>
      <c r="O2267" s="434"/>
      <c r="P2267" s="380"/>
      <c r="Q2267" s="389"/>
      <c r="R2267" s="416" t="str">
        <f t="shared" si="165"/>
        <v>DELETE</v>
      </c>
      <c r="T2267" s="425"/>
    </row>
    <row r="2268" spans="2:26" ht="31.5" customHeight="1" x14ac:dyDescent="0.45">
      <c r="B2268" s="388"/>
      <c r="C2268" s="369" t="s">
        <v>122</v>
      </c>
      <c r="J2268" s="370"/>
      <c r="K2268" s="370"/>
      <c r="L2268" s="370"/>
      <c r="M2268" s="434">
        <f>SUM(M2271:M2275)</f>
        <v>0</v>
      </c>
      <c r="N2268" s="390"/>
      <c r="O2268" s="434">
        <f>SUM(O2271:O2275)</f>
        <v>0</v>
      </c>
      <c r="P2268" s="380"/>
      <c r="Q2268" s="389"/>
      <c r="R2268" s="416" t="str">
        <f t="shared" ref="R2268" si="166">IF(R$2130="DELETE","DELETE",IF(M2268+O2268=0,"DELETE"," "))</f>
        <v>DELETE</v>
      </c>
      <c r="S2268" s="421">
        <f>M2268</f>
        <v>0</v>
      </c>
      <c r="T2268" s="425"/>
      <c r="U2268" s="421">
        <f>O2268</f>
        <v>0</v>
      </c>
      <c r="V2268" s="421"/>
      <c r="W2268" s="421"/>
      <c r="X2268" s="421"/>
    </row>
    <row r="2269" spans="2:26" ht="9" customHeight="1" x14ac:dyDescent="0.45">
      <c r="B2269" s="388"/>
      <c r="C2269" s="369"/>
      <c r="J2269" s="370"/>
      <c r="K2269" s="370"/>
      <c r="L2269" s="370"/>
      <c r="M2269" s="434"/>
      <c r="N2269" s="390"/>
      <c r="O2269" s="434"/>
      <c r="P2269" s="380"/>
      <c r="Q2269" s="389"/>
      <c r="R2269" s="416" t="str">
        <f>R2268</f>
        <v>DELETE</v>
      </c>
      <c r="T2269" s="425"/>
    </row>
    <row r="2270" spans="2:26" ht="9" customHeight="1" x14ac:dyDescent="0.45">
      <c r="B2270" s="388"/>
      <c r="C2270" s="369"/>
      <c r="J2270" s="370"/>
      <c r="K2270" s="370"/>
      <c r="L2270" s="370"/>
      <c r="M2270" s="435"/>
      <c r="N2270" s="391"/>
      <c r="O2270" s="450"/>
      <c r="P2270" s="380"/>
      <c r="Q2270" s="389"/>
      <c r="R2270" s="416" t="str">
        <f>R2269</f>
        <v>DELETE</v>
      </c>
      <c r="T2270" s="425"/>
    </row>
    <row r="2271" spans="2:26" ht="31.5" customHeight="1" x14ac:dyDescent="0.45">
      <c r="B2271" s="388"/>
      <c r="C2271" s="369"/>
      <c r="D2271" s="368" t="s">
        <v>208</v>
      </c>
      <c r="J2271" s="370"/>
      <c r="K2271" s="370"/>
      <c r="L2271" s="370"/>
      <c r="M2271" s="436">
        <f>-TrialBalanceB!I82</f>
        <v>0</v>
      </c>
      <c r="N2271" s="390"/>
      <c r="O2271" s="451">
        <f>-TrialBalanceB!K82</f>
        <v>0</v>
      </c>
      <c r="P2271" s="380"/>
      <c r="Q2271" s="389"/>
      <c r="R2271" s="416" t="str">
        <f>IF(R$2130="DELETE","DELETE",IF(M2271+O2271=0,"DELETE"," "))</f>
        <v>DELETE</v>
      </c>
      <c r="T2271" s="425"/>
    </row>
    <row r="2272" spans="2:26" ht="31.5" customHeight="1" x14ac:dyDescent="0.45">
      <c r="B2272" s="388"/>
      <c r="C2272" s="369"/>
      <c r="D2272" s="368" t="s">
        <v>210</v>
      </c>
      <c r="J2272" s="370"/>
      <c r="K2272" s="370"/>
      <c r="L2272" s="370"/>
      <c r="M2272" s="442">
        <f>-SUM(TrialBalanceB!I83)</f>
        <v>0</v>
      </c>
      <c r="N2272" s="414"/>
      <c r="O2272" s="454">
        <f>-TrialBalanceB!K83</f>
        <v>0</v>
      </c>
      <c r="P2272" s="380"/>
      <c r="Q2272" s="389"/>
      <c r="R2272" s="416" t="str">
        <f>IF(R$2130="DELETE","DELETE",IF(M2272+O2272=0,"DELETE"," "))</f>
        <v>DELETE</v>
      </c>
      <c r="T2272" s="425"/>
    </row>
    <row r="2273" spans="2:26" ht="31.5" customHeight="1" x14ac:dyDescent="0.45">
      <c r="B2273" s="388"/>
      <c r="C2273" s="369"/>
      <c r="D2273" s="368" t="s">
        <v>520</v>
      </c>
      <c r="J2273" s="370"/>
      <c r="K2273" s="370"/>
      <c r="L2273" s="370"/>
      <c r="M2273" s="436">
        <f>IF(TrialBalanceB!I81&lt;0,-TrialBalanceB!I81,0)</f>
        <v>0</v>
      </c>
      <c r="N2273" s="390"/>
      <c r="O2273" s="451">
        <f>IF(TrialBalanceB!K81&lt;0,-TrialBalanceB!K81,0)</f>
        <v>0</v>
      </c>
      <c r="P2273" s="380"/>
      <c r="Q2273" s="389"/>
      <c r="R2273" s="416" t="str">
        <f>IF(R$2130="DELETE","DELETE",IF(M2273+O2273=0,"DELETE"," "))</f>
        <v>DELETE</v>
      </c>
      <c r="T2273" s="425"/>
    </row>
    <row r="2274" spans="2:26" ht="31.5" customHeight="1" x14ac:dyDescent="0.45">
      <c r="B2274" s="388"/>
      <c r="C2274" s="369"/>
      <c r="D2274" s="368" t="s">
        <v>365</v>
      </c>
      <c r="J2274" s="370"/>
      <c r="K2274" s="370"/>
      <c r="L2274" s="370"/>
      <c r="M2274" s="436">
        <f>-TrialBalanceB!I80</f>
        <v>0</v>
      </c>
      <c r="N2274" s="390"/>
      <c r="O2274" s="451">
        <f>-TrialBalanceB!K80</f>
        <v>0</v>
      </c>
      <c r="P2274" s="380"/>
      <c r="Q2274" s="389"/>
      <c r="R2274" s="416" t="str">
        <f>IF(R$2130="DELETE","DELETE",IF(M2274+O2274=0,"DELETE"," "))</f>
        <v>DELETE</v>
      </c>
      <c r="T2274" s="425"/>
    </row>
    <row r="2275" spans="2:26" ht="9" customHeight="1" x14ac:dyDescent="0.45">
      <c r="B2275" s="388"/>
      <c r="C2275" s="369"/>
      <c r="J2275" s="370"/>
      <c r="K2275" s="370"/>
      <c r="L2275" s="370"/>
      <c r="M2275" s="437"/>
      <c r="N2275" s="392"/>
      <c r="O2275" s="452"/>
      <c r="P2275" s="380"/>
      <c r="Q2275" s="389"/>
      <c r="R2275" s="416" t="str">
        <f>R2268</f>
        <v>DELETE</v>
      </c>
      <c r="T2275" s="425"/>
    </row>
    <row r="2276" spans="2:26" ht="9" customHeight="1" x14ac:dyDescent="0.45">
      <c r="B2276" s="388"/>
      <c r="C2276" s="369"/>
      <c r="J2276" s="370"/>
      <c r="K2276" s="370"/>
      <c r="L2276" s="370"/>
      <c r="M2276" s="438"/>
      <c r="N2276" s="392"/>
      <c r="O2276" s="438"/>
      <c r="P2276" s="380"/>
      <c r="Q2276" s="389"/>
      <c r="R2276" s="416" t="str">
        <f>R2275</f>
        <v>DELETE</v>
      </c>
      <c r="T2276" s="425"/>
    </row>
    <row r="2277" spans="2:26" ht="9" customHeight="1" x14ac:dyDescent="0.45">
      <c r="B2277" s="388"/>
      <c r="C2277" s="369"/>
      <c r="J2277" s="370"/>
      <c r="K2277" s="370"/>
      <c r="L2277" s="370"/>
      <c r="M2277" s="434"/>
      <c r="N2277" s="390"/>
      <c r="O2277" s="434"/>
      <c r="P2277" s="380"/>
      <c r="Q2277" s="389"/>
      <c r="R2277" s="416" t="str">
        <f>R2276</f>
        <v>DELETE</v>
      </c>
      <c r="T2277" s="425"/>
    </row>
    <row r="2278" spans="2:26" ht="31.5" customHeight="1" x14ac:dyDescent="0.45">
      <c r="B2278" s="388"/>
      <c r="C2278" s="369"/>
      <c r="J2278" s="370"/>
      <c r="K2278" s="370"/>
      <c r="L2278" s="370"/>
      <c r="M2278" s="434">
        <f>SUM(S2142:S2275)</f>
        <v>0</v>
      </c>
      <c r="N2278" s="390"/>
      <c r="O2278" s="434">
        <f>SUM(U2142:U2275)</f>
        <v>0</v>
      </c>
      <c r="P2278" s="380"/>
      <c r="Q2278" s="389"/>
      <c r="R2278" s="416" t="str">
        <f>R2277</f>
        <v>DELETE</v>
      </c>
      <c r="T2278" s="425"/>
    </row>
    <row r="2279" spans="2:26" ht="31.5" customHeight="1" x14ac:dyDescent="0.45">
      <c r="B2279" s="388"/>
      <c r="C2279" s="369"/>
      <c r="J2279" s="370"/>
      <c r="K2279" s="370"/>
      <c r="L2279" s="370"/>
      <c r="M2279" s="434"/>
      <c r="N2279" s="390"/>
      <c r="O2279" s="434"/>
      <c r="P2279" s="380"/>
      <c r="Q2279" s="389"/>
      <c r="R2279" s="416" t="str">
        <f>R2278</f>
        <v>DELETE</v>
      </c>
      <c r="T2279" s="425"/>
    </row>
    <row r="2280" spans="2:26" ht="31.5" customHeight="1" x14ac:dyDescent="0.45">
      <c r="B2280" s="388"/>
      <c r="C2280" s="369" t="s">
        <v>263</v>
      </c>
      <c r="J2280" s="370"/>
      <c r="K2280" s="370">
        <f>FS!B602</f>
        <v>5</v>
      </c>
      <c r="L2280" s="370"/>
      <c r="M2280" s="434">
        <f>SUM(TrialBalanceB!I129:I139)</f>
        <v>0</v>
      </c>
      <c r="N2280" s="390"/>
      <c r="O2280" s="434">
        <f>SUM(TrialBalanceB!K129:K139)</f>
        <v>0</v>
      </c>
      <c r="P2280" s="380"/>
      <c r="Q2280" s="389"/>
      <c r="R2280" s="416" t="str">
        <f t="shared" ref="R2280" si="167">IF(R$2130="DELETE","DELETE",IF(M2280+O2280=0,"DELETE"," "))</f>
        <v>DELETE</v>
      </c>
      <c r="S2280" s="421">
        <f>-M2280</f>
        <v>0</v>
      </c>
      <c r="T2280" s="425"/>
      <c r="U2280" s="421">
        <f>-O2280</f>
        <v>0</v>
      </c>
      <c r="V2280" s="421"/>
      <c r="W2280" s="421"/>
      <c r="X2280" s="421"/>
    </row>
    <row r="2281" spans="2:26" ht="9" customHeight="1" x14ac:dyDescent="0.45">
      <c r="B2281" s="388"/>
      <c r="C2281" s="369"/>
      <c r="J2281" s="370"/>
      <c r="K2281" s="370"/>
      <c r="L2281" s="370"/>
      <c r="M2281" s="438"/>
      <c r="N2281" s="392"/>
      <c r="O2281" s="438"/>
      <c r="P2281" s="380"/>
      <c r="Q2281" s="389"/>
      <c r="R2281" s="416" t="str">
        <f t="shared" ref="R2281:R2289" si="168">R$2130</f>
        <v>DELETE</v>
      </c>
      <c r="T2281" s="425"/>
    </row>
    <row r="2282" spans="2:26" ht="9" customHeight="1" x14ac:dyDescent="0.45">
      <c r="B2282" s="388"/>
      <c r="C2282" s="369"/>
      <c r="J2282" s="370"/>
      <c r="K2282" s="370"/>
      <c r="L2282" s="370"/>
      <c r="M2282" s="434"/>
      <c r="N2282" s="390"/>
      <c r="O2282" s="434"/>
      <c r="P2282" s="380"/>
      <c r="Q2282" s="389"/>
      <c r="R2282" s="416" t="str">
        <f t="shared" si="168"/>
        <v>DELETE</v>
      </c>
      <c r="T2282" s="425"/>
    </row>
    <row r="2283" spans="2:26" ht="31.5" customHeight="1" x14ac:dyDescent="0.45">
      <c r="B2283" s="388"/>
      <c r="C2283" s="411" t="str">
        <f>IF((Y2283+Z2283)=3,"PROFIT/(LOSS) BEFORE TAXATION",(IF((Y2283+Z2283=4),"PROFIT BEFORE TAXATION","LOSS BEFORE TAXATION")))</f>
        <v>PROFIT BEFORE TAXATION</v>
      </c>
      <c r="J2283" s="370"/>
      <c r="K2283" s="370"/>
      <c r="L2283" s="370"/>
      <c r="M2283" s="434">
        <f>SUM(S2142:S2282)</f>
        <v>0</v>
      </c>
      <c r="N2283" s="390"/>
      <c r="O2283" s="434">
        <f>SUM(U2142:U2282)</f>
        <v>0</v>
      </c>
      <c r="P2283" s="380"/>
      <c r="Q2283" s="389"/>
      <c r="R2283" s="416" t="str">
        <f t="shared" si="168"/>
        <v>DELETE</v>
      </c>
      <c r="T2283" s="425"/>
      <c r="V2283" s="417" t="b">
        <f>M2283=M309</f>
        <v>1</v>
      </c>
      <c r="X2283" s="417" t="b">
        <f>O2283=O309</f>
        <v>1</v>
      </c>
      <c r="Y2283" s="417">
        <f>IF(M2283&lt;0,1,IF(M2283=0,IF(O2283&lt;0,1,2),2))</f>
        <v>2</v>
      </c>
      <c r="Z2283" s="417">
        <f>IF(O2283&lt;0,1,IF(O2283=0,IF(M2283&lt;0,1,2),2))</f>
        <v>2</v>
      </c>
    </row>
    <row r="2284" spans="2:26" ht="9" customHeight="1" thickBot="1" x14ac:dyDescent="0.5">
      <c r="B2284" s="388"/>
      <c r="C2284" s="369"/>
      <c r="J2284" s="370"/>
      <c r="K2284" s="370"/>
      <c r="L2284" s="370"/>
      <c r="M2284" s="439"/>
      <c r="N2284" s="393"/>
      <c r="O2284" s="439"/>
      <c r="P2284" s="380"/>
      <c r="Q2284" s="389"/>
      <c r="R2284" s="416" t="str">
        <f t="shared" si="168"/>
        <v>DELETE</v>
      </c>
      <c r="T2284" s="425"/>
    </row>
    <row r="2285" spans="2:26" ht="9" customHeight="1" thickTop="1" x14ac:dyDescent="0.45">
      <c r="B2285" s="388"/>
      <c r="C2285" s="369"/>
      <c r="J2285" s="370"/>
      <c r="K2285" s="370"/>
      <c r="L2285" s="370"/>
      <c r="M2285" s="434"/>
      <c r="N2285" s="390"/>
      <c r="O2285" s="434"/>
      <c r="P2285" s="380"/>
      <c r="Q2285" s="389"/>
      <c r="R2285" s="416" t="str">
        <f t="shared" si="168"/>
        <v>DELETE</v>
      </c>
      <c r="T2285" s="425"/>
    </row>
    <row r="2286" spans="2:26" ht="31.5" customHeight="1" x14ac:dyDescent="0.45">
      <c r="B2286" s="388"/>
      <c r="C2286" s="369"/>
      <c r="J2286" s="370"/>
      <c r="K2286" s="370"/>
      <c r="L2286" s="370"/>
      <c r="M2286" s="434"/>
      <c r="N2286" s="390"/>
      <c r="O2286" s="434"/>
      <c r="P2286" s="380"/>
      <c r="Q2286" s="389"/>
      <c r="R2286" s="416" t="str">
        <f t="shared" si="168"/>
        <v>DELETE</v>
      </c>
      <c r="T2286" s="425"/>
    </row>
    <row r="2287" spans="2:26" ht="31.5" customHeight="1" x14ac:dyDescent="0.45">
      <c r="B2287" s="388"/>
      <c r="C2287" s="369"/>
      <c r="J2287" s="370"/>
      <c r="K2287" s="370"/>
      <c r="L2287" s="370"/>
      <c r="M2287" s="434"/>
      <c r="N2287" s="390"/>
      <c r="O2287" s="434"/>
      <c r="P2287" s="380"/>
      <c r="Q2287" s="389"/>
      <c r="R2287" s="416" t="str">
        <f t="shared" si="168"/>
        <v>DELETE</v>
      </c>
      <c r="T2287" s="425"/>
    </row>
    <row r="2288" spans="2:26" ht="31.5" customHeight="1" x14ac:dyDescent="0.45">
      <c r="B2288" s="396"/>
      <c r="C2288" s="383"/>
      <c r="D2288" s="383"/>
      <c r="E2288" s="383"/>
      <c r="F2288" s="383"/>
      <c r="G2288" s="383"/>
      <c r="H2288" s="383"/>
      <c r="I2288" s="383"/>
      <c r="J2288" s="383"/>
      <c r="K2288" s="383"/>
      <c r="L2288" s="383"/>
      <c r="M2288" s="482"/>
      <c r="N2288" s="483"/>
      <c r="O2288" s="482"/>
      <c r="P2288" s="475"/>
      <c r="Q2288" s="398"/>
      <c r="R2288" s="416" t="str">
        <f t="shared" si="168"/>
        <v>DELETE</v>
      </c>
      <c r="T2288" s="425"/>
    </row>
    <row r="2289" spans="2:24" ht="31.5" customHeight="1" x14ac:dyDescent="0.45">
      <c r="M2289" s="479"/>
      <c r="N2289" s="469"/>
      <c r="O2289" s="479"/>
      <c r="R2289" s="416" t="str">
        <f t="shared" si="168"/>
        <v>DELETE</v>
      </c>
      <c r="T2289" s="425"/>
    </row>
    <row r="2290" spans="2:24" ht="31.5" customHeight="1" x14ac:dyDescent="0.45">
      <c r="M2290" s="479"/>
      <c r="N2290" s="469"/>
      <c r="O2290" s="479"/>
      <c r="R2290" s="416" t="str">
        <f>IF(SUM(U2142:U2146)+SUM(U2162:U2171)+SUM(U2268:U2275)+O2283=0,IF(SUM(S2302:S2304)+SUM(S2322:S2329)+SUM(S2428:S2435)+O2443=0,"DELETE"," "),"DELETE")</f>
        <v>DELETE</v>
      </c>
      <c r="T2290" s="425"/>
      <c r="V2290" s="420"/>
      <c r="W2290" s="420"/>
      <c r="X2290" s="420"/>
    </row>
    <row r="2291" spans="2:24" ht="31.5" customHeight="1" x14ac:dyDescent="0.45">
      <c r="D2291" s="369" t="s">
        <v>614</v>
      </c>
      <c r="M2291" s="479"/>
      <c r="N2291" s="469"/>
      <c r="O2291" s="479"/>
      <c r="R2291" s="416" t="str">
        <f>R$2290</f>
        <v>DELETE</v>
      </c>
      <c r="T2291" s="425"/>
      <c r="V2291" s="419"/>
      <c r="X2291" s="419"/>
    </row>
    <row r="2292" spans="2:24" ht="31.5" customHeight="1" x14ac:dyDescent="0.45">
      <c r="M2292" s="479"/>
      <c r="N2292" s="469"/>
      <c r="O2292" s="479"/>
      <c r="R2292" s="416" t="str">
        <f t="shared" ref="R2292:R2301" si="169">R$2290</f>
        <v>DELETE</v>
      </c>
      <c r="T2292" s="425"/>
    </row>
    <row r="2293" spans="2:24" ht="31.5" customHeight="1" x14ac:dyDescent="0.45">
      <c r="D2293" s="369" t="str">
        <f>Criteria!E9</f>
        <v>ABC TRUST</v>
      </c>
      <c r="M2293" s="479"/>
      <c r="N2293" s="469"/>
      <c r="O2293" s="434" t="s">
        <v>105</v>
      </c>
      <c r="Q2293" s="370">
        <v>1</v>
      </c>
      <c r="R2293" s="416" t="str">
        <f t="shared" si="169"/>
        <v>DELETE</v>
      </c>
      <c r="T2293" s="425"/>
    </row>
    <row r="2294" spans="2:24" ht="31.5" customHeight="1" x14ac:dyDescent="0.45">
      <c r="D2294" s="369" t="str">
        <f>CONCATENATE("T/A ",Criteria!E15)</f>
        <v>T/A SURF SHOP</v>
      </c>
      <c r="M2294" s="479"/>
      <c r="N2294" s="469"/>
      <c r="O2294" s="479"/>
      <c r="R2294" s="416" t="str">
        <f t="shared" si="169"/>
        <v>DELETE</v>
      </c>
      <c r="T2294" s="425"/>
    </row>
    <row r="2295" spans="2:24" ht="31.5" customHeight="1" x14ac:dyDescent="0.45">
      <c r="M2295" s="479"/>
      <c r="N2295" s="469"/>
      <c r="O2295" s="479"/>
      <c r="R2295" s="416" t="str">
        <f t="shared" si="169"/>
        <v>DELETE</v>
      </c>
      <c r="T2295" s="425"/>
    </row>
    <row r="2296" spans="2:24" ht="31.5" customHeight="1" x14ac:dyDescent="0.45">
      <c r="D2296" s="369" t="s">
        <v>100</v>
      </c>
      <c r="M2296" s="479"/>
      <c r="N2296" s="469"/>
      <c r="O2296" s="479"/>
      <c r="R2296" s="416" t="str">
        <f t="shared" si="169"/>
        <v>DELETE</v>
      </c>
      <c r="T2296" s="425"/>
    </row>
    <row r="2297" spans="2:24" ht="31.5" customHeight="1" x14ac:dyDescent="0.45">
      <c r="D2297" s="369" t="str">
        <f>Criteria!E20</f>
        <v>29 FEBRUARY 2024</v>
      </c>
      <c r="M2297" s="479"/>
      <c r="N2297" s="469"/>
      <c r="O2297" s="479"/>
      <c r="R2297" s="416" t="str">
        <f t="shared" si="169"/>
        <v>DELETE</v>
      </c>
      <c r="T2297" s="425"/>
    </row>
    <row r="2298" spans="2:24" ht="31.5" customHeight="1" x14ac:dyDescent="0.45">
      <c r="M2298" s="479"/>
      <c r="N2298" s="469"/>
      <c r="O2298" s="479"/>
      <c r="R2298" s="416" t="str">
        <f t="shared" si="169"/>
        <v>DELETE</v>
      </c>
      <c r="T2298" s="425"/>
    </row>
    <row r="2299" spans="2:24" ht="31.5" customHeight="1" x14ac:dyDescent="0.45">
      <c r="B2299" s="385"/>
      <c r="C2299" s="386"/>
      <c r="D2299" s="386"/>
      <c r="E2299" s="386"/>
      <c r="F2299" s="386"/>
      <c r="G2299" s="386"/>
      <c r="H2299" s="386"/>
      <c r="I2299" s="386"/>
      <c r="J2299" s="386"/>
      <c r="K2299" s="386"/>
      <c r="L2299" s="386"/>
      <c r="M2299" s="484"/>
      <c r="N2299" s="485"/>
      <c r="O2299" s="484"/>
      <c r="P2299" s="481"/>
      <c r="Q2299" s="387"/>
      <c r="R2299" s="416" t="str">
        <f t="shared" si="169"/>
        <v>DELETE</v>
      </c>
      <c r="T2299" s="425"/>
    </row>
    <row r="2300" spans="2:24" ht="31.5" customHeight="1" x14ac:dyDescent="0.45">
      <c r="B2300" s="388"/>
      <c r="J2300" s="370"/>
      <c r="K2300" s="370" t="s">
        <v>113</v>
      </c>
      <c r="L2300" s="372"/>
      <c r="M2300" s="37"/>
      <c r="N2300" s="370"/>
      <c r="O2300" s="430">
        <f>Criteria!E22</f>
        <v>2024</v>
      </c>
      <c r="P2300" s="380"/>
      <c r="Q2300" s="389"/>
      <c r="R2300" s="416" t="str">
        <f t="shared" si="169"/>
        <v>DELETE</v>
      </c>
      <c r="T2300" s="425"/>
    </row>
    <row r="2301" spans="2:24" ht="31.5" customHeight="1" x14ac:dyDescent="0.45">
      <c r="B2301" s="388"/>
      <c r="J2301" s="370"/>
      <c r="K2301" s="370"/>
      <c r="L2301" s="372"/>
      <c r="M2301" s="37"/>
      <c r="N2301" s="370"/>
      <c r="O2301" s="434"/>
      <c r="P2301" s="380"/>
      <c r="Q2301" s="389"/>
      <c r="R2301" s="416" t="str">
        <f t="shared" si="169"/>
        <v>DELETE</v>
      </c>
      <c r="T2301" s="425"/>
    </row>
    <row r="2302" spans="2:24" ht="31.5" customHeight="1" x14ac:dyDescent="0.45">
      <c r="B2302" s="388"/>
      <c r="C2302" s="369" t="s">
        <v>1044</v>
      </c>
      <c r="J2302" s="370"/>
      <c r="K2302" s="370"/>
      <c r="L2302" s="372"/>
      <c r="M2302" s="37"/>
      <c r="N2302" s="370"/>
      <c r="O2302" s="434">
        <f>-SUM(TrialBalanceB!I6:I7)</f>
        <v>0</v>
      </c>
      <c r="P2302" s="380"/>
      <c r="Q2302" s="389"/>
      <c r="R2302" s="416" t="str">
        <f>IF(R2290="DELETE","DELETE",IF(O2302=0,IF(O2304=0," ","DELETE")," "))</f>
        <v>DELETE</v>
      </c>
      <c r="S2302" s="421">
        <f>O2302</f>
        <v>0</v>
      </c>
      <c r="T2302" s="425"/>
      <c r="U2302" s="421"/>
      <c r="V2302" s="421"/>
      <c r="W2302" s="421"/>
      <c r="X2302" s="421"/>
    </row>
    <row r="2303" spans="2:24" ht="31.5" customHeight="1" x14ac:dyDescent="0.45">
      <c r="B2303" s="388"/>
      <c r="C2303" s="369"/>
      <c r="J2303" s="370"/>
      <c r="K2303" s="370"/>
      <c r="L2303" s="372"/>
      <c r="M2303" s="37"/>
      <c r="N2303" s="370"/>
      <c r="O2303" s="434"/>
      <c r="P2303" s="380"/>
      <c r="Q2303" s="389"/>
      <c r="R2303" s="416" t="str">
        <f>R2302</f>
        <v>DELETE</v>
      </c>
      <c r="S2303" s="421"/>
      <c r="T2303" s="425"/>
      <c r="U2303" s="421"/>
      <c r="V2303" s="421"/>
      <c r="W2303" s="421"/>
      <c r="X2303" s="421"/>
    </row>
    <row r="2304" spans="2:24" ht="31.5" customHeight="1" x14ac:dyDescent="0.45">
      <c r="B2304" s="388"/>
      <c r="C2304" s="369" t="s">
        <v>497</v>
      </c>
      <c r="J2304" s="370"/>
      <c r="K2304" s="370"/>
      <c r="L2304" s="372"/>
      <c r="M2304" s="37"/>
      <c r="N2304" s="370"/>
      <c r="O2304" s="434">
        <f>-TrialBalanceB!I8</f>
        <v>0</v>
      </c>
      <c r="P2304" s="380"/>
      <c r="Q2304" s="389"/>
      <c r="R2304" s="416" t="str">
        <f>IF(R2290="DELETE","DELETE",IF(O2304=0,"DELETE"," "))</f>
        <v>DELETE</v>
      </c>
      <c r="S2304" s="421">
        <f>O2304</f>
        <v>0</v>
      </c>
      <c r="T2304" s="425"/>
      <c r="U2304" s="421"/>
      <c r="V2304" s="421"/>
      <c r="W2304" s="421"/>
      <c r="X2304" s="421"/>
    </row>
    <row r="2305" spans="2:24" ht="31.5" customHeight="1" x14ac:dyDescent="0.45">
      <c r="B2305" s="388"/>
      <c r="C2305" s="369"/>
      <c r="J2305" s="370"/>
      <c r="K2305" s="370"/>
      <c r="L2305" s="372"/>
      <c r="M2305" s="37"/>
      <c r="N2305" s="370"/>
      <c r="O2305" s="434"/>
      <c r="P2305" s="380"/>
      <c r="Q2305" s="389"/>
      <c r="R2305" s="416" t="str">
        <f>R2304</f>
        <v>DELETE</v>
      </c>
      <c r="T2305" s="425"/>
    </row>
    <row r="2306" spans="2:24" ht="31.5" customHeight="1" x14ac:dyDescent="0.45">
      <c r="B2306" s="388"/>
      <c r="C2306" s="369" t="s">
        <v>275</v>
      </c>
      <c r="J2306" s="370"/>
      <c r="K2306" s="370"/>
      <c r="L2306" s="372"/>
      <c r="M2306" s="37"/>
      <c r="N2306" s="370"/>
      <c r="O2306" s="434">
        <f>SUM(O2309:O2316)</f>
        <v>0</v>
      </c>
      <c r="P2306" s="380"/>
      <c r="Q2306" s="389"/>
      <c r="R2306" s="416" t="str">
        <f>IF(R$2290="DELETE","DELETE",IF(O2306=0,"DELETE"," "))</f>
        <v>DELETE</v>
      </c>
      <c r="S2306" s="421">
        <f>-O2306</f>
        <v>0</v>
      </c>
      <c r="T2306" s="425"/>
      <c r="U2306" s="421"/>
      <c r="V2306" s="421"/>
      <c r="W2306" s="421"/>
      <c r="X2306" s="421"/>
    </row>
    <row r="2307" spans="2:24" ht="9" customHeight="1" x14ac:dyDescent="0.45">
      <c r="B2307" s="388"/>
      <c r="C2307" s="369"/>
      <c r="J2307" s="370"/>
      <c r="K2307" s="370"/>
      <c r="L2307" s="372"/>
      <c r="M2307" s="37"/>
      <c r="N2307" s="370"/>
      <c r="O2307" s="434"/>
      <c r="P2307" s="380"/>
      <c r="Q2307" s="389"/>
      <c r="R2307" s="416" t="str">
        <f>R2306</f>
        <v>DELETE</v>
      </c>
      <c r="T2307" s="425"/>
    </row>
    <row r="2308" spans="2:24" ht="9" customHeight="1" x14ac:dyDescent="0.45">
      <c r="B2308" s="388"/>
      <c r="C2308" s="369"/>
      <c r="J2308" s="370"/>
      <c r="K2308" s="370"/>
      <c r="L2308" s="372"/>
      <c r="M2308" s="37"/>
      <c r="N2308" s="370"/>
      <c r="O2308" s="455"/>
      <c r="P2308" s="380"/>
      <c r="Q2308" s="389"/>
      <c r="R2308" s="416" t="str">
        <f>R2307</f>
        <v>DELETE</v>
      </c>
      <c r="T2308" s="425"/>
    </row>
    <row r="2309" spans="2:24" ht="31.5" customHeight="1" x14ac:dyDescent="0.45">
      <c r="B2309" s="388"/>
      <c r="C2309" s="369"/>
      <c r="D2309" s="368" t="s">
        <v>499</v>
      </c>
      <c r="J2309" s="370"/>
      <c r="K2309" s="370"/>
      <c r="L2309" s="372"/>
      <c r="M2309" s="37"/>
      <c r="N2309" s="370"/>
      <c r="O2309" s="456">
        <f>SUM(TrialBalanceB!I10:I13)</f>
        <v>0</v>
      </c>
      <c r="P2309" s="380"/>
      <c r="Q2309" s="389"/>
      <c r="R2309" s="416" t="str">
        <f t="shared" ref="R2309:R2316" si="170">IF(R$2290="DELETE","DELETE",IF(O2309=0,"DELETE"," "))</f>
        <v>DELETE</v>
      </c>
      <c r="T2309" s="425"/>
    </row>
    <row r="2310" spans="2:24" ht="31.5" customHeight="1" x14ac:dyDescent="0.45">
      <c r="B2310" s="388"/>
      <c r="C2310" s="369"/>
      <c r="D2310" s="368" t="s">
        <v>276</v>
      </c>
      <c r="J2310" s="370"/>
      <c r="K2310" s="370"/>
      <c r="L2310" s="372"/>
      <c r="M2310" s="37"/>
      <c r="N2310" s="370"/>
      <c r="O2310" s="456">
        <f>TrialBalanceB!I14</f>
        <v>0</v>
      </c>
      <c r="P2310" s="380"/>
      <c r="Q2310" s="389"/>
      <c r="R2310" s="416" t="str">
        <f t="shared" si="170"/>
        <v>DELETE</v>
      </c>
      <c r="T2310" s="425"/>
    </row>
    <row r="2311" spans="2:24" ht="31.5" customHeight="1" x14ac:dyDescent="0.45">
      <c r="B2311" s="388"/>
      <c r="C2311" s="369"/>
      <c r="D2311" s="368">
        <f>TrialBalanceB!C15</f>
        <v>0</v>
      </c>
      <c r="J2311" s="370"/>
      <c r="K2311" s="370"/>
      <c r="L2311" s="372"/>
      <c r="M2311" s="37"/>
      <c r="N2311" s="370"/>
      <c r="O2311" s="456">
        <f>TrialBalanceB!I15</f>
        <v>0</v>
      </c>
      <c r="P2311" s="380"/>
      <c r="Q2311" s="389"/>
      <c r="R2311" s="416" t="str">
        <f t="shared" si="170"/>
        <v>DELETE</v>
      </c>
      <c r="T2311" s="425"/>
    </row>
    <row r="2312" spans="2:24" ht="31.5" customHeight="1" x14ac:dyDescent="0.45">
      <c r="B2312" s="388"/>
      <c r="C2312" s="369"/>
      <c r="D2312" s="368">
        <f>TrialBalanceB!C16</f>
        <v>0</v>
      </c>
      <c r="J2312" s="370"/>
      <c r="K2312" s="370"/>
      <c r="L2312" s="372"/>
      <c r="M2312" s="37"/>
      <c r="N2312" s="370"/>
      <c r="O2312" s="456">
        <f>TrialBalanceB!I16</f>
        <v>0</v>
      </c>
      <c r="P2312" s="380"/>
      <c r="Q2312" s="389"/>
      <c r="R2312" s="416" t="str">
        <f t="shared" si="170"/>
        <v>DELETE</v>
      </c>
      <c r="T2312" s="425"/>
    </row>
    <row r="2313" spans="2:24" ht="31.5" customHeight="1" x14ac:dyDescent="0.45">
      <c r="B2313" s="388"/>
      <c r="C2313" s="369"/>
      <c r="D2313" s="368">
        <f>TrialBalanceB!C17</f>
        <v>0</v>
      </c>
      <c r="J2313" s="370"/>
      <c r="K2313" s="370"/>
      <c r="L2313" s="372"/>
      <c r="M2313" s="37"/>
      <c r="N2313" s="370"/>
      <c r="O2313" s="456">
        <f>TrialBalanceB!I17</f>
        <v>0</v>
      </c>
      <c r="P2313" s="380"/>
      <c r="Q2313" s="389"/>
      <c r="R2313" s="416" t="str">
        <f t="shared" si="170"/>
        <v>DELETE</v>
      </c>
      <c r="T2313" s="425"/>
    </row>
    <row r="2314" spans="2:24" ht="31.5" customHeight="1" x14ac:dyDescent="0.45">
      <c r="B2314" s="388"/>
      <c r="C2314" s="369"/>
      <c r="D2314" s="368">
        <f>TrialBalanceB!C18</f>
        <v>0</v>
      </c>
      <c r="J2314" s="370"/>
      <c r="K2314" s="370"/>
      <c r="L2314" s="372"/>
      <c r="M2314" s="37"/>
      <c r="N2314" s="370"/>
      <c r="O2314" s="456">
        <f>TrialBalanceB!I18</f>
        <v>0</v>
      </c>
      <c r="P2314" s="380"/>
      <c r="Q2314" s="389"/>
      <c r="R2314" s="416" t="str">
        <f t="shared" si="170"/>
        <v>DELETE</v>
      </c>
      <c r="T2314" s="425"/>
    </row>
    <row r="2315" spans="2:24" ht="31.5" customHeight="1" x14ac:dyDescent="0.45">
      <c r="B2315" s="388"/>
      <c r="C2315" s="369"/>
      <c r="D2315" s="368">
        <f>TrialBalanceB!C19</f>
        <v>0</v>
      </c>
      <c r="J2315" s="370"/>
      <c r="K2315" s="370"/>
      <c r="L2315" s="372"/>
      <c r="M2315" s="37"/>
      <c r="N2315" s="370"/>
      <c r="O2315" s="456">
        <f>TrialBalanceB!I19</f>
        <v>0</v>
      </c>
      <c r="P2315" s="380"/>
      <c r="Q2315" s="389"/>
      <c r="R2315" s="416" t="str">
        <f t="shared" si="170"/>
        <v>DELETE</v>
      </c>
      <c r="T2315" s="425"/>
    </row>
    <row r="2316" spans="2:24" ht="31.5" customHeight="1" x14ac:dyDescent="0.45">
      <c r="B2316" s="388"/>
      <c r="C2316" s="369"/>
      <c r="D2316" s="368" t="s">
        <v>500</v>
      </c>
      <c r="J2316" s="370"/>
      <c r="K2316" s="370"/>
      <c r="L2316" s="372"/>
      <c r="M2316" s="37"/>
      <c r="N2316" s="370"/>
      <c r="O2316" s="456">
        <f>SUM(TrialBalanceB!I20:I23)</f>
        <v>0</v>
      </c>
      <c r="P2316" s="380"/>
      <c r="Q2316" s="389"/>
      <c r="R2316" s="416" t="str">
        <f t="shared" si="170"/>
        <v>DELETE</v>
      </c>
      <c r="T2316" s="425"/>
    </row>
    <row r="2317" spans="2:24" ht="9" customHeight="1" x14ac:dyDescent="0.45">
      <c r="B2317" s="388"/>
      <c r="C2317" s="369"/>
      <c r="J2317" s="370"/>
      <c r="K2317" s="370"/>
      <c r="L2317" s="372"/>
      <c r="M2317" s="37"/>
      <c r="N2317" s="370"/>
      <c r="O2317" s="457"/>
      <c r="P2317" s="380"/>
      <c r="Q2317" s="389"/>
      <c r="R2317" s="416" t="str">
        <f>R2306</f>
        <v>DELETE</v>
      </c>
      <c r="T2317" s="425"/>
    </row>
    <row r="2318" spans="2:24" ht="9" customHeight="1" x14ac:dyDescent="0.45">
      <c r="B2318" s="388"/>
      <c r="C2318" s="369"/>
      <c r="J2318" s="370"/>
      <c r="K2318" s="370"/>
      <c r="L2318" s="372"/>
      <c r="M2318" s="37"/>
      <c r="N2318" s="370"/>
      <c r="O2318" s="438"/>
      <c r="P2318" s="380"/>
      <c r="Q2318" s="389"/>
      <c r="R2318" s="416" t="str">
        <f>R2306</f>
        <v>DELETE</v>
      </c>
      <c r="T2318" s="425"/>
    </row>
    <row r="2319" spans="2:24" ht="9" customHeight="1" x14ac:dyDescent="0.45">
      <c r="B2319" s="388"/>
      <c r="C2319" s="369"/>
      <c r="J2319" s="370"/>
      <c r="K2319" s="370"/>
      <c r="L2319" s="372"/>
      <c r="M2319" s="37"/>
      <c r="N2319" s="370"/>
      <c r="O2319" s="434"/>
      <c r="P2319" s="380"/>
      <c r="Q2319" s="389"/>
      <c r="R2319" s="416" t="str">
        <f>R2318</f>
        <v>DELETE</v>
      </c>
      <c r="T2319" s="425"/>
    </row>
    <row r="2320" spans="2:24" ht="31.5" customHeight="1" x14ac:dyDescent="0.45">
      <c r="B2320" s="388"/>
      <c r="C2320" s="411" t="str">
        <f>IF(O2320&lt;0,"GROSS LOSS","GROSS PROFIT")</f>
        <v>GROSS PROFIT</v>
      </c>
      <c r="J2320" s="370"/>
      <c r="K2320" s="370"/>
      <c r="L2320" s="372"/>
      <c r="M2320" s="37"/>
      <c r="N2320" s="370"/>
      <c r="O2320" s="434">
        <f>SUM(S2302:S2317)</f>
        <v>0</v>
      </c>
      <c r="P2320" s="380"/>
      <c r="Q2320" s="389"/>
      <c r="R2320" s="416" t="str">
        <f>R2319</f>
        <v>DELETE</v>
      </c>
      <c r="T2320" s="425"/>
    </row>
    <row r="2321" spans="2:24" ht="31.5" customHeight="1" x14ac:dyDescent="0.45">
      <c r="B2321" s="388"/>
      <c r="C2321" s="369"/>
      <c r="J2321" s="370"/>
      <c r="K2321" s="370"/>
      <c r="L2321" s="372"/>
      <c r="M2321" s="37"/>
      <c r="N2321" s="370"/>
      <c r="O2321" s="434"/>
      <c r="P2321" s="380"/>
      <c r="Q2321" s="389"/>
      <c r="R2321" s="416" t="str">
        <f>R2320</f>
        <v>DELETE</v>
      </c>
      <c r="T2321" s="425"/>
    </row>
    <row r="2322" spans="2:24" ht="31.5" customHeight="1" x14ac:dyDescent="0.45">
      <c r="B2322" s="388"/>
      <c r="C2322" s="369" t="s">
        <v>319</v>
      </c>
      <c r="J2322" s="370"/>
      <c r="K2322" s="370"/>
      <c r="L2322" s="372"/>
      <c r="M2322" s="37"/>
      <c r="N2322" s="370"/>
      <c r="O2322" s="434">
        <f>SUM(O2324:O2331)</f>
        <v>0</v>
      </c>
      <c r="P2322" s="380"/>
      <c r="Q2322" s="389"/>
      <c r="R2322" s="416" t="str">
        <f t="shared" ref="R2322" si="171">IF(R$2290="DELETE","DELETE",IF(O2322=0,"DELETE"," "))</f>
        <v>DELETE</v>
      </c>
      <c r="S2322" s="421">
        <f>O2322</f>
        <v>0</v>
      </c>
      <c r="T2322" s="425"/>
      <c r="U2322" s="421"/>
    </row>
    <row r="2323" spans="2:24" ht="9" customHeight="1" x14ac:dyDescent="0.45">
      <c r="B2323" s="388"/>
      <c r="C2323" s="369"/>
      <c r="J2323" s="370"/>
      <c r="K2323" s="370"/>
      <c r="L2323" s="372"/>
      <c r="M2323" s="37"/>
      <c r="N2323" s="370"/>
      <c r="O2323" s="434"/>
      <c r="P2323" s="380"/>
      <c r="Q2323" s="389"/>
      <c r="R2323" s="416" t="str">
        <f>R2322</f>
        <v>DELETE</v>
      </c>
      <c r="T2323" s="425"/>
    </row>
    <row r="2324" spans="2:24" ht="9" customHeight="1" x14ac:dyDescent="0.45">
      <c r="B2324" s="388"/>
      <c r="C2324" s="369"/>
      <c r="J2324" s="370"/>
      <c r="K2324" s="370"/>
      <c r="L2324" s="372"/>
      <c r="M2324" s="37"/>
      <c r="N2324" s="370"/>
      <c r="O2324" s="455"/>
      <c r="P2324" s="380"/>
      <c r="Q2324" s="389"/>
      <c r="R2324" s="416" t="str">
        <f>R2322</f>
        <v>DELETE</v>
      </c>
      <c r="T2324" s="425"/>
    </row>
    <row r="2325" spans="2:24" ht="31.5" customHeight="1" x14ac:dyDescent="0.45">
      <c r="B2325" s="388"/>
      <c r="C2325" s="369"/>
      <c r="D2325" s="368" t="str">
        <f>TrialBalanceB!C25</f>
        <v>Insurance claims - Surf Shop</v>
      </c>
      <c r="J2325" s="370"/>
      <c r="K2325" s="370"/>
      <c r="L2325" s="372"/>
      <c r="M2325" s="37"/>
      <c r="N2325" s="370"/>
      <c r="O2325" s="456">
        <f>-TrialBalanceB!I25</f>
        <v>0</v>
      </c>
      <c r="P2325" s="380"/>
      <c r="Q2325" s="389"/>
      <c r="R2325" s="416" t="str">
        <f t="shared" ref="R2325:R2329" si="172">IF(R$2290="DELETE","DELETE",IF(O2325=0,"DELETE"," "))</f>
        <v>DELETE</v>
      </c>
      <c r="T2325" s="425"/>
    </row>
    <row r="2326" spans="2:24" ht="31.5" customHeight="1" x14ac:dyDescent="0.45">
      <c r="B2326" s="388"/>
      <c r="C2326" s="369"/>
      <c r="D2326" s="368" t="str">
        <f>TrialBalanceB!C26</f>
        <v>Government grants received</v>
      </c>
      <c r="J2326" s="370"/>
      <c r="K2326" s="370"/>
      <c r="L2326" s="372"/>
      <c r="M2326" s="37"/>
      <c r="N2326" s="370"/>
      <c r="O2326" s="456">
        <f>-TrialBalanceB!I26</f>
        <v>0</v>
      </c>
      <c r="P2326" s="380"/>
      <c r="Q2326" s="389"/>
      <c r="R2326" s="416" t="str">
        <f t="shared" si="172"/>
        <v>DELETE</v>
      </c>
      <c r="T2326" s="425"/>
    </row>
    <row r="2327" spans="2:24" ht="31.5" customHeight="1" x14ac:dyDescent="0.45">
      <c r="B2327" s="388"/>
      <c r="C2327" s="369"/>
      <c r="D2327" s="368">
        <f>TrialBalanceB!C27</f>
        <v>0</v>
      </c>
      <c r="J2327" s="370"/>
      <c r="K2327" s="370"/>
      <c r="L2327" s="372"/>
      <c r="M2327" s="37"/>
      <c r="N2327" s="370"/>
      <c r="O2327" s="456">
        <f>-TrialBalanceB!I27</f>
        <v>0</v>
      </c>
      <c r="P2327" s="380"/>
      <c r="Q2327" s="389"/>
      <c r="R2327" s="416" t="str">
        <f t="shared" si="172"/>
        <v>DELETE</v>
      </c>
      <c r="T2327" s="425"/>
    </row>
    <row r="2328" spans="2:24" ht="31.5" customHeight="1" x14ac:dyDescent="0.45">
      <c r="B2328" s="388"/>
      <c r="C2328" s="369"/>
      <c r="D2328" s="368">
        <f>TrialBalanceB!C28</f>
        <v>0</v>
      </c>
      <c r="J2328" s="370"/>
      <c r="K2328" s="370"/>
      <c r="L2328" s="372"/>
      <c r="M2328" s="37"/>
      <c r="N2328" s="370"/>
      <c r="O2328" s="456">
        <f>-TrialBalanceB!I28</f>
        <v>0</v>
      </c>
      <c r="P2328" s="380"/>
      <c r="Q2328" s="389"/>
      <c r="R2328" s="416" t="str">
        <f t="shared" si="172"/>
        <v>DELETE</v>
      </c>
      <c r="T2328" s="425"/>
    </row>
    <row r="2329" spans="2:24" ht="31.5" customHeight="1" x14ac:dyDescent="0.45">
      <c r="B2329" s="388"/>
      <c r="C2329" s="369"/>
      <c r="D2329" s="368">
        <f>TrialBalanceB!C29</f>
        <v>0</v>
      </c>
      <c r="J2329" s="370"/>
      <c r="K2329" s="370"/>
      <c r="L2329" s="372"/>
      <c r="M2329" s="37"/>
      <c r="N2329" s="370"/>
      <c r="O2329" s="456">
        <f>-TrialBalanceB!I29</f>
        <v>0</v>
      </c>
      <c r="P2329" s="380"/>
      <c r="Q2329" s="389"/>
      <c r="R2329" s="416" t="str">
        <f t="shared" si="172"/>
        <v>DELETE</v>
      </c>
      <c r="T2329" s="425"/>
    </row>
    <row r="2330" spans="2:24" ht="31.5" customHeight="1" x14ac:dyDescent="0.45">
      <c r="B2330" s="388"/>
      <c r="C2330" s="369"/>
      <c r="D2330" s="368" t="str">
        <f>TrialBalanceB!C30</f>
        <v>Recoupment of depreciation</v>
      </c>
      <c r="J2330" s="370"/>
      <c r="K2330" s="370"/>
      <c r="L2330" s="372"/>
      <c r="M2330" s="37"/>
      <c r="N2330" s="370"/>
      <c r="O2330" s="456">
        <f>-TrialBalanceB!I30</f>
        <v>0</v>
      </c>
      <c r="P2330" s="380"/>
      <c r="Q2330" s="389"/>
      <c r="R2330" s="416" t="str">
        <f t="shared" ref="R2330" si="173">IF(R$2290="DELETE","DELETE",IF(O2330=0,"DELETE"," "))</f>
        <v>DELETE</v>
      </c>
      <c r="T2330" s="425"/>
    </row>
    <row r="2331" spans="2:24" ht="9" customHeight="1" x14ac:dyDescent="0.45">
      <c r="B2331" s="388"/>
      <c r="C2331" s="369"/>
      <c r="J2331" s="370"/>
      <c r="K2331" s="370"/>
      <c r="L2331" s="372"/>
      <c r="M2331" s="37"/>
      <c r="N2331" s="370"/>
      <c r="O2331" s="457"/>
      <c r="P2331" s="380"/>
      <c r="Q2331" s="389"/>
      <c r="R2331" s="416" t="str">
        <f>R2322</f>
        <v>DELETE</v>
      </c>
      <c r="T2331" s="425"/>
    </row>
    <row r="2332" spans="2:24" ht="9" customHeight="1" x14ac:dyDescent="0.45">
      <c r="B2332" s="388"/>
      <c r="C2332" s="369"/>
      <c r="J2332" s="370"/>
      <c r="K2332" s="370"/>
      <c r="L2332" s="372"/>
      <c r="M2332" s="37"/>
      <c r="N2332" s="370"/>
      <c r="O2332" s="447"/>
      <c r="P2332" s="380"/>
      <c r="Q2332" s="389"/>
      <c r="R2332" s="416" t="str">
        <f>R2331</f>
        <v>DELETE</v>
      </c>
      <c r="T2332" s="425"/>
    </row>
    <row r="2333" spans="2:24" ht="9" customHeight="1" x14ac:dyDescent="0.45">
      <c r="B2333" s="388"/>
      <c r="C2333" s="369"/>
      <c r="J2333" s="370"/>
      <c r="K2333" s="370"/>
      <c r="L2333" s="372"/>
      <c r="M2333" s="37"/>
      <c r="N2333" s="370"/>
      <c r="O2333" s="434"/>
      <c r="P2333" s="380"/>
      <c r="Q2333" s="389"/>
      <c r="R2333" s="416" t="str">
        <f>R2332</f>
        <v>DELETE</v>
      </c>
      <c r="T2333" s="425"/>
    </row>
    <row r="2334" spans="2:24" ht="31.5" customHeight="1" x14ac:dyDescent="0.45">
      <c r="B2334" s="388"/>
      <c r="C2334" s="369"/>
      <c r="J2334" s="370"/>
      <c r="K2334" s="370"/>
      <c r="L2334" s="372"/>
      <c r="M2334" s="37"/>
      <c r="N2334" s="370"/>
      <c r="O2334" s="434">
        <f>SUM(S2302:S2322)</f>
        <v>0</v>
      </c>
      <c r="P2334" s="380"/>
      <c r="Q2334" s="389"/>
      <c r="R2334" s="416" t="str">
        <f>R2322</f>
        <v>DELETE</v>
      </c>
      <c r="T2334" s="425"/>
    </row>
    <row r="2335" spans="2:24" ht="31.5" customHeight="1" x14ac:dyDescent="0.45">
      <c r="B2335" s="388"/>
      <c r="C2335" s="369"/>
      <c r="J2335" s="370"/>
      <c r="K2335" s="370"/>
      <c r="L2335" s="372"/>
      <c r="M2335" s="37"/>
      <c r="N2335" s="370"/>
      <c r="O2335" s="434"/>
      <c r="P2335" s="380"/>
      <c r="Q2335" s="389"/>
      <c r="R2335" s="416" t="str">
        <f>R2334</f>
        <v>DELETE</v>
      </c>
      <c r="T2335" s="425"/>
    </row>
    <row r="2336" spans="2:24" ht="31.5" customHeight="1" x14ac:dyDescent="0.45">
      <c r="B2336" s="388"/>
      <c r="C2336" s="369" t="s">
        <v>1051</v>
      </c>
      <c r="J2336" s="370"/>
      <c r="K2336" s="370"/>
      <c r="L2336" s="372"/>
      <c r="M2336" s="37"/>
      <c r="N2336" s="370"/>
      <c r="O2336" s="434">
        <f>SUM(O2338:O2366)</f>
        <v>0</v>
      </c>
      <c r="P2336" s="380"/>
      <c r="Q2336" s="389"/>
      <c r="R2336" s="416" t="str">
        <f t="shared" ref="R2336" si="174">IF(R$2290="DELETE","DELETE",IF(O2336=0,"DELETE"," "))</f>
        <v>DELETE</v>
      </c>
      <c r="S2336" s="421">
        <f>-O2336</f>
        <v>0</v>
      </c>
      <c r="T2336" s="425"/>
      <c r="U2336" s="421"/>
      <c r="V2336" s="421"/>
      <c r="W2336" s="421"/>
      <c r="X2336" s="421"/>
    </row>
    <row r="2337" spans="2:24" ht="9" customHeight="1" x14ac:dyDescent="0.45">
      <c r="B2337" s="388"/>
      <c r="C2337" s="369"/>
      <c r="J2337" s="370"/>
      <c r="K2337" s="370"/>
      <c r="L2337" s="372"/>
      <c r="M2337" s="37"/>
      <c r="N2337" s="370"/>
      <c r="O2337" s="434"/>
      <c r="P2337" s="380"/>
      <c r="Q2337" s="389"/>
      <c r="R2337" s="416" t="str">
        <f>R2336</f>
        <v>DELETE</v>
      </c>
      <c r="T2337" s="425"/>
    </row>
    <row r="2338" spans="2:24" ht="9" customHeight="1" x14ac:dyDescent="0.45">
      <c r="B2338" s="388"/>
      <c r="C2338" s="369"/>
      <c r="J2338" s="370"/>
      <c r="K2338" s="370"/>
      <c r="L2338" s="372"/>
      <c r="M2338" s="37"/>
      <c r="N2338" s="370"/>
      <c r="O2338" s="455"/>
      <c r="P2338" s="380"/>
      <c r="Q2338" s="389"/>
      <c r="R2338" s="416" t="str">
        <f>R2337</f>
        <v>DELETE</v>
      </c>
      <c r="T2338" s="425"/>
    </row>
    <row r="2339" spans="2:24" ht="31.5" customHeight="1" x14ac:dyDescent="0.45">
      <c r="B2339" s="388"/>
      <c r="C2339" s="369"/>
      <c r="D2339" s="368" t="s">
        <v>277</v>
      </c>
      <c r="J2339" s="370"/>
      <c r="K2339" s="370"/>
      <c r="L2339" s="372"/>
      <c r="M2339" s="37"/>
      <c r="N2339" s="370"/>
      <c r="O2339" s="456">
        <f>TrialBalanceB!I37</f>
        <v>0</v>
      </c>
      <c r="P2339" s="380"/>
      <c r="Q2339" s="389"/>
      <c r="R2339" s="416" t="str">
        <f t="shared" ref="R2339:R2365" si="175">IF(R$2290="DELETE","DELETE",IF(O2339=0,"DELETE"," "))</f>
        <v>DELETE</v>
      </c>
      <c r="T2339" s="425"/>
    </row>
    <row r="2340" spans="2:24" ht="31.5" customHeight="1" x14ac:dyDescent="0.45">
      <c r="B2340" s="388"/>
      <c r="C2340" s="369"/>
      <c r="D2340" s="368" t="s">
        <v>703</v>
      </c>
      <c r="J2340" s="370"/>
      <c r="K2340" s="370"/>
      <c r="L2340" s="372"/>
      <c r="M2340" s="37"/>
      <c r="N2340" s="370"/>
      <c r="O2340" s="456">
        <f>TrialBalanceB!I38</f>
        <v>0</v>
      </c>
      <c r="P2340" s="380"/>
      <c r="Q2340" s="389"/>
      <c r="R2340" s="416" t="str">
        <f t="shared" si="175"/>
        <v>DELETE</v>
      </c>
      <c r="T2340" s="425"/>
    </row>
    <row r="2341" spans="2:24" ht="31.5" customHeight="1" x14ac:dyDescent="0.45">
      <c r="B2341" s="388"/>
      <c r="C2341" s="369"/>
      <c r="D2341" s="368" t="s">
        <v>278</v>
      </c>
      <c r="J2341" s="370"/>
      <c r="K2341" s="370"/>
      <c r="L2341" s="372"/>
      <c r="M2341" s="37"/>
      <c r="N2341" s="370"/>
      <c r="O2341" s="456">
        <f>TrialBalanceB!I39</f>
        <v>0</v>
      </c>
      <c r="P2341" s="380"/>
      <c r="Q2341" s="389"/>
      <c r="R2341" s="416" t="str">
        <f t="shared" si="175"/>
        <v>DELETE</v>
      </c>
      <c r="T2341" s="425"/>
    </row>
    <row r="2342" spans="2:24" ht="31.5" customHeight="1" x14ac:dyDescent="0.45">
      <c r="B2342" s="388"/>
      <c r="C2342" s="369"/>
      <c r="D2342" s="368" t="s">
        <v>279</v>
      </c>
      <c r="J2342" s="370"/>
      <c r="K2342" s="370">
        <f>C$747</f>
        <v>6.2999999999999989</v>
      </c>
      <c r="L2342" s="372"/>
      <c r="M2342" s="37"/>
      <c r="N2342" s="370"/>
      <c r="O2342" s="456">
        <f>SUM(TrialBalanceB!I41:I43)</f>
        <v>0</v>
      </c>
      <c r="P2342" s="380"/>
      <c r="Q2342" s="389"/>
      <c r="R2342" s="416" t="str">
        <f t="shared" si="175"/>
        <v>DELETE</v>
      </c>
      <c r="T2342" s="425"/>
    </row>
    <row r="2343" spans="2:24" ht="31.5" customHeight="1" x14ac:dyDescent="0.45">
      <c r="B2343" s="388"/>
      <c r="C2343" s="369"/>
      <c r="D2343" s="368" t="s">
        <v>501</v>
      </c>
      <c r="J2343" s="370"/>
      <c r="K2343" s="370"/>
      <c r="L2343" s="372"/>
      <c r="M2343" s="37"/>
      <c r="N2343" s="370"/>
      <c r="O2343" s="456">
        <f>TrialBalanceB!I44</f>
        <v>0</v>
      </c>
      <c r="P2343" s="380"/>
      <c r="Q2343" s="389"/>
      <c r="R2343" s="416" t="str">
        <f t="shared" si="175"/>
        <v>DELETE</v>
      </c>
      <c r="S2343" s="422"/>
      <c r="T2343" s="425"/>
      <c r="U2343" s="422"/>
      <c r="V2343" s="422"/>
      <c r="W2343" s="422"/>
      <c r="X2343" s="422"/>
    </row>
    <row r="2344" spans="2:24" ht="31.5" customHeight="1" x14ac:dyDescent="0.45">
      <c r="B2344" s="388"/>
      <c r="C2344" s="369"/>
      <c r="D2344" s="368" t="s">
        <v>733</v>
      </c>
      <c r="J2344" s="370"/>
      <c r="K2344" s="370"/>
      <c r="L2344" s="372"/>
      <c r="M2344" s="37"/>
      <c r="N2344" s="370"/>
      <c r="O2344" s="456">
        <f>TrialBalanceB!I45</f>
        <v>0</v>
      </c>
      <c r="P2344" s="380"/>
      <c r="Q2344" s="389"/>
      <c r="R2344" s="416" t="str">
        <f t="shared" si="175"/>
        <v>DELETE</v>
      </c>
      <c r="T2344" s="425"/>
    </row>
    <row r="2345" spans="2:24" ht="31.5" customHeight="1" x14ac:dyDescent="0.45">
      <c r="B2345" s="388"/>
      <c r="C2345" s="369"/>
      <c r="D2345" s="368" t="s">
        <v>68</v>
      </c>
      <c r="J2345" s="370"/>
      <c r="K2345" s="370"/>
      <c r="L2345" s="372"/>
      <c r="M2345" s="37"/>
      <c r="N2345" s="370"/>
      <c r="O2345" s="456">
        <f>TrialBalanceB!I46</f>
        <v>0</v>
      </c>
      <c r="P2345" s="380"/>
      <c r="Q2345" s="389"/>
      <c r="R2345" s="416" t="str">
        <f t="shared" si="175"/>
        <v>DELETE</v>
      </c>
      <c r="T2345" s="425"/>
    </row>
    <row r="2346" spans="2:24" ht="31.5" customHeight="1" x14ac:dyDescent="0.45">
      <c r="B2346" s="388"/>
      <c r="C2346" s="369"/>
      <c r="D2346" s="368" t="s">
        <v>280</v>
      </c>
      <c r="J2346" s="370"/>
      <c r="K2346" s="370"/>
      <c r="L2346" s="372"/>
      <c r="M2346" s="37"/>
      <c r="N2346" s="370"/>
      <c r="O2346" s="456">
        <f>TrialBalanceB!I47</f>
        <v>0</v>
      </c>
      <c r="P2346" s="380"/>
      <c r="Q2346" s="389"/>
      <c r="R2346" s="416" t="str">
        <f t="shared" si="175"/>
        <v>DELETE</v>
      </c>
      <c r="T2346" s="425"/>
    </row>
    <row r="2347" spans="2:24" ht="31.5" customHeight="1" x14ac:dyDescent="0.45">
      <c r="B2347" s="388"/>
      <c r="C2347" s="369"/>
      <c r="D2347" s="368" t="s">
        <v>518</v>
      </c>
      <c r="J2347" s="370"/>
      <c r="K2347" s="370"/>
      <c r="L2347" s="372"/>
      <c r="M2347" s="37"/>
      <c r="N2347" s="370"/>
      <c r="O2347" s="456">
        <f>SUM(TrialBalanceB!I48:I49)</f>
        <v>0</v>
      </c>
      <c r="P2347" s="380"/>
      <c r="Q2347" s="389"/>
      <c r="R2347" s="416" t="str">
        <f t="shared" si="175"/>
        <v>DELETE</v>
      </c>
      <c r="T2347" s="425"/>
    </row>
    <row r="2348" spans="2:24" ht="31.5" customHeight="1" x14ac:dyDescent="0.45">
      <c r="B2348" s="388"/>
      <c r="C2348" s="369"/>
      <c r="D2348" s="368" t="s">
        <v>516</v>
      </c>
      <c r="J2348" s="370"/>
      <c r="K2348" s="370"/>
      <c r="L2348" s="372"/>
      <c r="M2348" s="37"/>
      <c r="N2348" s="370"/>
      <c r="O2348" s="456">
        <f>TrialBalanceB!I50</f>
        <v>0</v>
      </c>
      <c r="P2348" s="380"/>
      <c r="Q2348" s="389"/>
      <c r="R2348" s="416" t="str">
        <f t="shared" si="175"/>
        <v>DELETE</v>
      </c>
      <c r="T2348" s="425"/>
    </row>
    <row r="2349" spans="2:24" ht="31.5" customHeight="1" x14ac:dyDescent="0.45">
      <c r="B2349" s="388"/>
      <c r="C2349" s="369"/>
      <c r="D2349" s="368" t="s">
        <v>502</v>
      </c>
      <c r="J2349" s="370"/>
      <c r="K2349" s="370"/>
      <c r="L2349" s="372"/>
      <c r="M2349" s="37"/>
      <c r="N2349" s="370"/>
      <c r="O2349" s="456">
        <f>SUM(TrialBalanceB!I52:I56)</f>
        <v>0</v>
      </c>
      <c r="P2349" s="380"/>
      <c r="Q2349" s="389"/>
      <c r="R2349" s="416" t="str">
        <f t="shared" si="175"/>
        <v>DELETE</v>
      </c>
      <c r="T2349" s="425"/>
    </row>
    <row r="2350" spans="2:24" ht="31.5" customHeight="1" x14ac:dyDescent="0.45">
      <c r="B2350" s="388"/>
      <c r="C2350" s="369"/>
      <c r="D2350" s="368" t="s">
        <v>483</v>
      </c>
      <c r="J2350" s="370"/>
      <c r="K2350" s="370">
        <f>FS!C$715</f>
        <v>6.1999999999999993</v>
      </c>
      <c r="L2350" s="372"/>
      <c r="M2350" s="37"/>
      <c r="N2350" s="370"/>
      <c r="O2350" s="456">
        <f>SUM(TrialBalanceB!I58:I60)</f>
        <v>0</v>
      </c>
      <c r="P2350" s="380"/>
      <c r="Q2350" s="389"/>
      <c r="R2350" s="416" t="str">
        <f t="shared" si="175"/>
        <v>DELETE</v>
      </c>
      <c r="T2350" s="425"/>
    </row>
    <row r="2351" spans="2:24" ht="31.5" customHeight="1" x14ac:dyDescent="0.45">
      <c r="B2351" s="388"/>
      <c r="C2351" s="369"/>
      <c r="D2351" s="368" t="s">
        <v>76</v>
      </c>
      <c r="J2351" s="370"/>
      <c r="K2351" s="370"/>
      <c r="L2351" s="372"/>
      <c r="M2351" s="37"/>
      <c r="N2351" s="370"/>
      <c r="O2351" s="456">
        <f>TrialBalanceB!I61</f>
        <v>0</v>
      </c>
      <c r="P2351" s="380"/>
      <c r="Q2351" s="389"/>
      <c r="R2351" s="416" t="str">
        <f t="shared" si="175"/>
        <v>DELETE</v>
      </c>
      <c r="T2351" s="425"/>
    </row>
    <row r="2352" spans="2:24" ht="31.5" customHeight="1" x14ac:dyDescent="0.45">
      <c r="B2352" s="388"/>
      <c r="C2352" s="369"/>
      <c r="D2352" s="368" t="s">
        <v>254</v>
      </c>
      <c r="J2352" s="370"/>
      <c r="K2352" s="370"/>
      <c r="L2352" s="372"/>
      <c r="M2352" s="37"/>
      <c r="N2352" s="370"/>
      <c r="O2352" s="456">
        <f>SUM(TrialBalanceB!I62:I64)</f>
        <v>0</v>
      </c>
      <c r="P2352" s="380"/>
      <c r="Q2352" s="389"/>
      <c r="R2352" s="416" t="str">
        <f t="shared" si="175"/>
        <v>DELETE</v>
      </c>
      <c r="T2352" s="425"/>
    </row>
    <row r="2353" spans="2:20" ht="31.5" customHeight="1" x14ac:dyDescent="0.45">
      <c r="B2353" s="388"/>
      <c r="C2353" s="369"/>
      <c r="D2353" s="368" t="s">
        <v>734</v>
      </c>
      <c r="J2353" s="370"/>
      <c r="K2353" s="370"/>
      <c r="L2353" s="372"/>
      <c r="M2353" s="37"/>
      <c r="N2353" s="370"/>
      <c r="O2353" s="456">
        <f>SUM(TrialBalanceB!I65:I66)</f>
        <v>0</v>
      </c>
      <c r="P2353" s="380"/>
      <c r="Q2353" s="389"/>
      <c r="R2353" s="416" t="str">
        <f t="shared" si="175"/>
        <v>DELETE</v>
      </c>
      <c r="T2353" s="425"/>
    </row>
    <row r="2354" spans="2:20" ht="31.5" customHeight="1" x14ac:dyDescent="0.45">
      <c r="B2354" s="388"/>
      <c r="C2354" s="369"/>
      <c r="D2354" s="368" t="s">
        <v>255</v>
      </c>
      <c r="J2354" s="370"/>
      <c r="K2354" s="370"/>
      <c r="L2354" s="372"/>
      <c r="M2354" s="37"/>
      <c r="N2354" s="370"/>
      <c r="O2354" s="456">
        <f>TrialBalanceB!I67</f>
        <v>0</v>
      </c>
      <c r="P2354" s="380"/>
      <c r="Q2354" s="389"/>
      <c r="R2354" s="416" t="str">
        <f t="shared" si="175"/>
        <v>DELETE</v>
      </c>
      <c r="T2354" s="425"/>
    </row>
    <row r="2355" spans="2:20" ht="31.5" customHeight="1" x14ac:dyDescent="0.45">
      <c r="B2355" s="388"/>
      <c r="C2355" s="369"/>
      <c r="D2355" s="368" t="s">
        <v>392</v>
      </c>
      <c r="J2355" s="370"/>
      <c r="K2355" s="370"/>
      <c r="L2355" s="372"/>
      <c r="M2355" s="37"/>
      <c r="N2355" s="370"/>
      <c r="O2355" s="456">
        <f>TrialBalanceB!I68</f>
        <v>0</v>
      </c>
      <c r="P2355" s="380"/>
      <c r="Q2355" s="389"/>
      <c r="R2355" s="416" t="str">
        <f t="shared" si="175"/>
        <v>DELETE</v>
      </c>
      <c r="T2355" s="425"/>
    </row>
    <row r="2356" spans="2:20" ht="31.5" customHeight="1" x14ac:dyDescent="0.45">
      <c r="B2356" s="388"/>
      <c r="C2356" s="369"/>
      <c r="D2356" s="368">
        <f>TrialBalanceB!C69</f>
        <v>0</v>
      </c>
      <c r="J2356" s="370"/>
      <c r="K2356" s="370"/>
      <c r="L2356" s="372"/>
      <c r="M2356" s="37"/>
      <c r="N2356" s="370"/>
      <c r="O2356" s="456">
        <f>TrialBalanceB!I69</f>
        <v>0</v>
      </c>
      <c r="P2356" s="380"/>
      <c r="Q2356" s="389"/>
      <c r="R2356" s="416" t="str">
        <f t="shared" si="175"/>
        <v>DELETE</v>
      </c>
      <c r="T2356" s="425"/>
    </row>
    <row r="2357" spans="2:20" ht="31.5" customHeight="1" x14ac:dyDescent="0.45">
      <c r="B2357" s="388"/>
      <c r="C2357" s="369"/>
      <c r="D2357" s="368">
        <f>TrialBalanceB!C70</f>
        <v>0</v>
      </c>
      <c r="J2357" s="370"/>
      <c r="K2357" s="370"/>
      <c r="L2357" s="372"/>
      <c r="M2357" s="37"/>
      <c r="N2357" s="370"/>
      <c r="O2357" s="456">
        <f>TrialBalanceB!I70</f>
        <v>0</v>
      </c>
      <c r="P2357" s="380"/>
      <c r="Q2357" s="389"/>
      <c r="R2357" s="416" t="str">
        <f t="shared" si="175"/>
        <v>DELETE</v>
      </c>
      <c r="T2357" s="425"/>
    </row>
    <row r="2358" spans="2:20" ht="31.5" customHeight="1" x14ac:dyDescent="0.45">
      <c r="B2358" s="388"/>
      <c r="C2358" s="369"/>
      <c r="D2358" s="368">
        <f>TrialBalanceB!C71</f>
        <v>0</v>
      </c>
      <c r="J2358" s="370"/>
      <c r="K2358" s="370"/>
      <c r="L2358" s="372"/>
      <c r="M2358" s="37"/>
      <c r="N2358" s="370"/>
      <c r="O2358" s="456">
        <f>TrialBalanceB!I71</f>
        <v>0</v>
      </c>
      <c r="P2358" s="380"/>
      <c r="Q2358" s="389"/>
      <c r="R2358" s="416" t="str">
        <f t="shared" si="175"/>
        <v>DELETE</v>
      </c>
      <c r="T2358" s="425"/>
    </row>
    <row r="2359" spans="2:20" ht="31.5" customHeight="1" x14ac:dyDescent="0.45">
      <c r="B2359" s="388"/>
      <c r="C2359" s="369"/>
      <c r="D2359" s="368">
        <f>TrialBalanceB!C72</f>
        <v>0</v>
      </c>
      <c r="J2359" s="370"/>
      <c r="K2359" s="370"/>
      <c r="L2359" s="372"/>
      <c r="M2359" s="37"/>
      <c r="N2359" s="370"/>
      <c r="O2359" s="456">
        <f>TrialBalanceB!I72</f>
        <v>0</v>
      </c>
      <c r="P2359" s="380"/>
      <c r="Q2359" s="389"/>
      <c r="R2359" s="416" t="str">
        <f t="shared" si="175"/>
        <v>DELETE</v>
      </c>
      <c r="T2359" s="425"/>
    </row>
    <row r="2360" spans="2:20" ht="31.5" customHeight="1" x14ac:dyDescent="0.45">
      <c r="B2360" s="388"/>
      <c r="C2360" s="369"/>
      <c r="D2360" s="368">
        <f>TrialBalanceB!C73</f>
        <v>0</v>
      </c>
      <c r="J2360" s="370"/>
      <c r="K2360" s="370"/>
      <c r="L2360" s="372"/>
      <c r="M2360" s="37"/>
      <c r="N2360" s="370"/>
      <c r="O2360" s="456">
        <f>TrialBalanceB!I73</f>
        <v>0</v>
      </c>
      <c r="P2360" s="380"/>
      <c r="Q2360" s="389"/>
      <c r="R2360" s="416" t="str">
        <f t="shared" si="175"/>
        <v>DELETE</v>
      </c>
      <c r="T2360" s="425"/>
    </row>
    <row r="2361" spans="2:20" ht="31.5" customHeight="1" x14ac:dyDescent="0.45">
      <c r="B2361" s="388"/>
      <c r="C2361" s="369"/>
      <c r="D2361" s="368">
        <f>TrialBalanceB!C74</f>
        <v>0</v>
      </c>
      <c r="J2361" s="370"/>
      <c r="K2361" s="370"/>
      <c r="L2361" s="372"/>
      <c r="M2361" s="37"/>
      <c r="N2361" s="370"/>
      <c r="O2361" s="456">
        <f>TrialBalanceB!I74</f>
        <v>0</v>
      </c>
      <c r="P2361" s="380"/>
      <c r="Q2361" s="389"/>
      <c r="R2361" s="416" t="str">
        <f t="shared" si="175"/>
        <v>DELETE</v>
      </c>
      <c r="T2361" s="425"/>
    </row>
    <row r="2362" spans="2:20" ht="31.5" customHeight="1" x14ac:dyDescent="0.45">
      <c r="B2362" s="388"/>
      <c r="C2362" s="369"/>
      <c r="D2362" s="368">
        <f>TrialBalanceB!C75</f>
        <v>0</v>
      </c>
      <c r="J2362" s="370"/>
      <c r="K2362" s="370"/>
      <c r="L2362" s="372"/>
      <c r="M2362" s="37"/>
      <c r="N2362" s="370"/>
      <c r="O2362" s="456">
        <f>TrialBalanceB!I75</f>
        <v>0</v>
      </c>
      <c r="P2362" s="380"/>
      <c r="Q2362" s="389"/>
      <c r="R2362" s="416" t="str">
        <f t="shared" si="175"/>
        <v>DELETE</v>
      </c>
      <c r="T2362" s="425"/>
    </row>
    <row r="2363" spans="2:20" ht="31.5" customHeight="1" x14ac:dyDescent="0.45">
      <c r="B2363" s="388"/>
      <c r="C2363" s="369"/>
      <c r="D2363" s="368">
        <f>TrialBalanceB!C76</f>
        <v>0</v>
      </c>
      <c r="J2363" s="370"/>
      <c r="K2363" s="370"/>
      <c r="L2363" s="372"/>
      <c r="M2363" s="37"/>
      <c r="N2363" s="370"/>
      <c r="O2363" s="456">
        <f>TrialBalanceB!I76</f>
        <v>0</v>
      </c>
      <c r="P2363" s="380"/>
      <c r="Q2363" s="389"/>
      <c r="R2363" s="416" t="str">
        <f t="shared" si="175"/>
        <v>DELETE</v>
      </c>
      <c r="T2363" s="425"/>
    </row>
    <row r="2364" spans="2:20" ht="31.5" customHeight="1" x14ac:dyDescent="0.45">
      <c r="B2364" s="388"/>
      <c r="C2364" s="369"/>
      <c r="D2364" s="368">
        <f>TrialBalanceB!C77</f>
        <v>0</v>
      </c>
      <c r="J2364" s="370"/>
      <c r="K2364" s="370"/>
      <c r="L2364" s="372"/>
      <c r="M2364" s="37"/>
      <c r="N2364" s="370"/>
      <c r="O2364" s="456">
        <f>TrialBalanceB!I77</f>
        <v>0</v>
      </c>
      <c r="P2364" s="380"/>
      <c r="Q2364" s="389"/>
      <c r="R2364" s="416" t="str">
        <f t="shared" si="175"/>
        <v>DELETE</v>
      </c>
      <c r="T2364" s="425"/>
    </row>
    <row r="2365" spans="2:20" ht="31.5" customHeight="1" x14ac:dyDescent="0.45">
      <c r="B2365" s="388"/>
      <c r="C2365" s="369"/>
      <c r="D2365" s="368">
        <f>TrialBalanceB!C78</f>
        <v>0</v>
      </c>
      <c r="J2365" s="370"/>
      <c r="K2365" s="370"/>
      <c r="L2365" s="372"/>
      <c r="M2365" s="37"/>
      <c r="N2365" s="370"/>
      <c r="O2365" s="456">
        <f>TrialBalanceB!I78</f>
        <v>0</v>
      </c>
      <c r="P2365" s="380"/>
      <c r="Q2365" s="389"/>
      <c r="R2365" s="416" t="str">
        <f t="shared" si="175"/>
        <v>DELETE</v>
      </c>
      <c r="T2365" s="425"/>
    </row>
    <row r="2366" spans="2:20" ht="9" customHeight="1" x14ac:dyDescent="0.45">
      <c r="B2366" s="388"/>
      <c r="C2366" s="369"/>
      <c r="J2366" s="370"/>
      <c r="K2366" s="370"/>
      <c r="L2366" s="372"/>
      <c r="M2366" s="37"/>
      <c r="N2366" s="370"/>
      <c r="O2366" s="457"/>
      <c r="P2366" s="380"/>
      <c r="Q2366" s="389"/>
      <c r="R2366" s="416" t="str">
        <f>R2336</f>
        <v>DELETE</v>
      </c>
      <c r="T2366" s="425"/>
    </row>
    <row r="2367" spans="2:20" ht="9" customHeight="1" x14ac:dyDescent="0.45">
      <c r="B2367" s="388"/>
      <c r="C2367" s="369"/>
      <c r="J2367" s="370"/>
      <c r="K2367" s="370"/>
      <c r="L2367" s="372"/>
      <c r="M2367" s="37"/>
      <c r="N2367" s="370"/>
      <c r="O2367" s="438"/>
      <c r="P2367" s="380"/>
      <c r="Q2367" s="389"/>
      <c r="R2367" s="416" t="str">
        <f t="shared" ref="R2367:R2387" si="176">R$2290</f>
        <v>DELETE</v>
      </c>
      <c r="T2367" s="425"/>
    </row>
    <row r="2368" spans="2:20" ht="9" customHeight="1" x14ac:dyDescent="0.45">
      <c r="B2368" s="388"/>
      <c r="C2368" s="369"/>
      <c r="J2368" s="370"/>
      <c r="K2368" s="370"/>
      <c r="L2368" s="372"/>
      <c r="M2368" s="37"/>
      <c r="N2368" s="370"/>
      <c r="O2368" s="434"/>
      <c r="P2368" s="380"/>
      <c r="Q2368" s="389"/>
      <c r="R2368" s="416" t="str">
        <f t="shared" si="176"/>
        <v>DELETE</v>
      </c>
      <c r="T2368" s="425"/>
    </row>
    <row r="2369" spans="2:20" ht="31.5" customHeight="1" x14ac:dyDescent="0.45">
      <c r="B2369" s="388"/>
      <c r="C2369" s="411" t="str">
        <f>IF(O2369&lt;0,"OPERATING LOSS","OPERATING PROFIT")</f>
        <v>OPERATING PROFIT</v>
      </c>
      <c r="J2369" s="370"/>
      <c r="K2369" s="370"/>
      <c r="L2369" s="372"/>
      <c r="M2369" s="37"/>
      <c r="N2369" s="370"/>
      <c r="O2369" s="434">
        <f>SUM(S2302:S2367)</f>
        <v>0</v>
      </c>
      <c r="P2369" s="380"/>
      <c r="Q2369" s="389"/>
      <c r="R2369" s="416" t="str">
        <f t="shared" si="176"/>
        <v>DELETE</v>
      </c>
      <c r="T2369" s="425"/>
    </row>
    <row r="2370" spans="2:20" ht="31.5" customHeight="1" x14ac:dyDescent="0.45">
      <c r="B2370" s="388"/>
      <c r="C2370" s="369"/>
      <c r="D2370" s="368" t="s">
        <v>257</v>
      </c>
      <c r="J2370" s="370"/>
      <c r="K2370" s="370"/>
      <c r="L2370" s="372"/>
      <c r="M2370" s="37"/>
      <c r="N2370" s="370"/>
      <c r="O2370" s="434"/>
      <c r="P2370" s="380"/>
      <c r="Q2370" s="389"/>
      <c r="R2370" s="416" t="str">
        <f t="shared" si="176"/>
        <v>DELETE</v>
      </c>
      <c r="T2370" s="425"/>
    </row>
    <row r="2371" spans="2:20" ht="31.5" customHeight="1" x14ac:dyDescent="0.45">
      <c r="B2371" s="388"/>
      <c r="C2371" s="369"/>
      <c r="J2371" s="370"/>
      <c r="K2371" s="370"/>
      <c r="L2371" s="370"/>
      <c r="M2371" s="434"/>
      <c r="N2371" s="390"/>
      <c r="O2371" s="434"/>
      <c r="P2371" s="380"/>
      <c r="Q2371" s="389"/>
      <c r="R2371" s="416" t="str">
        <f t="shared" si="176"/>
        <v>DELETE</v>
      </c>
      <c r="T2371" s="425"/>
    </row>
    <row r="2372" spans="2:20" ht="31.5" customHeight="1" x14ac:dyDescent="0.45">
      <c r="B2372" s="388"/>
      <c r="C2372" s="369"/>
      <c r="J2372" s="370"/>
      <c r="K2372" s="370"/>
      <c r="L2372" s="370"/>
      <c r="M2372" s="434"/>
      <c r="N2372" s="390"/>
      <c r="O2372" s="434"/>
      <c r="P2372" s="380"/>
      <c r="Q2372" s="389"/>
      <c r="R2372" s="416" t="str">
        <f t="shared" si="176"/>
        <v>DELETE</v>
      </c>
      <c r="T2372" s="425"/>
    </row>
    <row r="2373" spans="2:20" ht="31.5" customHeight="1" x14ac:dyDescent="0.45">
      <c r="B2373" s="396"/>
      <c r="C2373" s="407"/>
      <c r="D2373" s="383"/>
      <c r="E2373" s="383"/>
      <c r="F2373" s="383"/>
      <c r="G2373" s="383"/>
      <c r="H2373" s="383"/>
      <c r="I2373" s="383"/>
      <c r="J2373" s="403"/>
      <c r="K2373" s="403"/>
      <c r="L2373" s="403"/>
      <c r="M2373" s="438"/>
      <c r="N2373" s="392"/>
      <c r="O2373" s="438"/>
      <c r="P2373" s="404"/>
      <c r="Q2373" s="398"/>
      <c r="R2373" s="416" t="str">
        <f t="shared" si="176"/>
        <v>DELETE</v>
      </c>
      <c r="T2373" s="425"/>
    </row>
    <row r="2374" spans="2:20" ht="31.5" customHeight="1" x14ac:dyDescent="0.45">
      <c r="C2374" s="369"/>
      <c r="J2374" s="370"/>
      <c r="K2374" s="370"/>
      <c r="L2374" s="370"/>
      <c r="M2374" s="434"/>
      <c r="N2374" s="390"/>
      <c r="O2374" s="434"/>
      <c r="P2374" s="380"/>
      <c r="R2374" s="416" t="str">
        <f t="shared" si="176"/>
        <v>DELETE</v>
      </c>
      <c r="T2374" s="425"/>
    </row>
    <row r="2375" spans="2:20" ht="31.5" customHeight="1" x14ac:dyDescent="0.45">
      <c r="C2375" s="369"/>
      <c r="J2375" s="370"/>
      <c r="K2375" s="370"/>
      <c r="L2375" s="370"/>
      <c r="M2375" s="434"/>
      <c r="N2375" s="390"/>
      <c r="O2375" s="434"/>
      <c r="P2375" s="380"/>
      <c r="R2375" s="416" t="str">
        <f t="shared" si="176"/>
        <v>DELETE</v>
      </c>
      <c r="T2375" s="425"/>
    </row>
    <row r="2376" spans="2:20" ht="31.5" customHeight="1" x14ac:dyDescent="0.45">
      <c r="C2376" s="369"/>
      <c r="D2376" s="369" t="str">
        <f>Criteria!E9</f>
        <v>ABC TRUST</v>
      </c>
      <c r="J2376" s="370"/>
      <c r="K2376" s="370"/>
      <c r="L2376" s="370"/>
      <c r="M2376" s="434"/>
      <c r="N2376" s="390"/>
      <c r="O2376" s="434" t="s">
        <v>105</v>
      </c>
      <c r="P2376" s="380"/>
      <c r="Q2376" s="370">
        <f>MAX($Q$2293:Q2375)+1</f>
        <v>2</v>
      </c>
      <c r="R2376" s="416" t="str">
        <f t="shared" si="176"/>
        <v>DELETE</v>
      </c>
      <c r="T2376" s="425"/>
    </row>
    <row r="2377" spans="2:20" ht="31.5" customHeight="1" x14ac:dyDescent="0.45">
      <c r="C2377" s="369"/>
      <c r="D2377" s="369" t="str">
        <f>CONCATENATE("T/A ",Criteria!E15)</f>
        <v>T/A SURF SHOP</v>
      </c>
      <c r="J2377" s="370"/>
      <c r="K2377" s="370"/>
      <c r="L2377" s="370"/>
      <c r="M2377" s="434"/>
      <c r="N2377" s="390"/>
      <c r="O2377" s="434"/>
      <c r="P2377" s="380"/>
      <c r="R2377" s="416" t="str">
        <f t="shared" si="176"/>
        <v>DELETE</v>
      </c>
      <c r="T2377" s="425"/>
    </row>
    <row r="2378" spans="2:20" ht="31.5" customHeight="1" x14ac:dyDescent="0.45">
      <c r="C2378" s="369"/>
      <c r="J2378" s="370"/>
      <c r="K2378" s="370"/>
      <c r="L2378" s="370"/>
      <c r="M2378" s="434"/>
      <c r="N2378" s="390"/>
      <c r="O2378" s="434"/>
      <c r="P2378" s="380"/>
      <c r="R2378" s="416" t="str">
        <f t="shared" si="176"/>
        <v>DELETE</v>
      </c>
      <c r="T2378" s="425"/>
    </row>
    <row r="2379" spans="2:20" ht="31.5" customHeight="1" x14ac:dyDescent="0.45">
      <c r="C2379" s="369"/>
      <c r="D2379" s="369" t="s">
        <v>100</v>
      </c>
      <c r="J2379" s="370"/>
      <c r="K2379" s="370"/>
      <c r="L2379" s="370"/>
      <c r="M2379" s="434"/>
      <c r="N2379" s="390"/>
      <c r="O2379" s="434"/>
      <c r="P2379" s="380"/>
      <c r="R2379" s="416" t="str">
        <f t="shared" si="176"/>
        <v>DELETE</v>
      </c>
      <c r="T2379" s="425"/>
    </row>
    <row r="2380" spans="2:20" ht="31.5" customHeight="1" x14ac:dyDescent="0.45">
      <c r="C2380" s="369"/>
      <c r="D2380" s="369" t="str">
        <f>D2297</f>
        <v>29 FEBRUARY 2024</v>
      </c>
      <c r="H2380" s="368" t="s">
        <v>111</v>
      </c>
      <c r="J2380" s="370"/>
      <c r="K2380" s="370"/>
      <c r="L2380" s="370"/>
      <c r="M2380" s="434"/>
      <c r="N2380" s="390"/>
      <c r="O2380" s="434"/>
      <c r="P2380" s="380"/>
      <c r="R2380" s="416" t="str">
        <f t="shared" si="176"/>
        <v>DELETE</v>
      </c>
      <c r="T2380" s="425"/>
    </row>
    <row r="2381" spans="2:20" ht="31.5" customHeight="1" x14ac:dyDescent="0.45">
      <c r="C2381" s="369"/>
      <c r="J2381" s="370"/>
      <c r="K2381" s="403"/>
      <c r="L2381" s="403"/>
      <c r="M2381" s="438"/>
      <c r="N2381" s="392"/>
      <c r="O2381" s="438"/>
      <c r="P2381" s="380"/>
      <c r="R2381" s="416" t="str">
        <f t="shared" si="176"/>
        <v>DELETE</v>
      </c>
      <c r="T2381" s="425"/>
    </row>
    <row r="2382" spans="2:20" ht="31.5" customHeight="1" x14ac:dyDescent="0.45">
      <c r="B2382" s="385"/>
      <c r="C2382" s="410"/>
      <c r="D2382" s="386"/>
      <c r="E2382" s="386"/>
      <c r="F2382" s="386"/>
      <c r="G2382" s="386"/>
      <c r="H2382" s="386"/>
      <c r="I2382" s="386"/>
      <c r="J2382" s="413"/>
      <c r="M2382" s="479"/>
      <c r="N2382" s="469"/>
      <c r="O2382" s="479"/>
      <c r="P2382" s="406"/>
      <c r="Q2382" s="387"/>
      <c r="R2382" s="416" t="str">
        <f t="shared" si="176"/>
        <v>DELETE</v>
      </c>
      <c r="T2382" s="425"/>
    </row>
    <row r="2383" spans="2:20" ht="31.5" customHeight="1" x14ac:dyDescent="0.45">
      <c r="B2383" s="388"/>
      <c r="C2383" s="369"/>
      <c r="J2383" s="370"/>
      <c r="K2383" s="370"/>
      <c r="L2383" s="372"/>
      <c r="M2383" s="37"/>
      <c r="N2383" s="370"/>
      <c r="O2383" s="430">
        <f>Criteria!E22</f>
        <v>2024</v>
      </c>
      <c r="P2383" s="380"/>
      <c r="Q2383" s="389"/>
      <c r="R2383" s="416" t="str">
        <f t="shared" si="176"/>
        <v>DELETE</v>
      </c>
      <c r="T2383" s="425"/>
    </row>
    <row r="2384" spans="2:20" ht="31.5" customHeight="1" x14ac:dyDescent="0.45">
      <c r="B2384" s="388"/>
      <c r="C2384" s="369"/>
      <c r="J2384" s="370"/>
      <c r="K2384" s="370"/>
      <c r="L2384" s="372"/>
      <c r="M2384" s="37"/>
      <c r="N2384" s="370"/>
      <c r="O2384" s="434"/>
      <c r="P2384" s="380"/>
      <c r="Q2384" s="389"/>
      <c r="R2384" s="416" t="str">
        <f t="shared" si="176"/>
        <v>DELETE</v>
      </c>
      <c r="T2384" s="425"/>
    </row>
    <row r="2385" spans="2:24" ht="31.5" customHeight="1" x14ac:dyDescent="0.45">
      <c r="B2385" s="388"/>
      <c r="C2385" s="411" t="str">
        <f>IF(O2385&lt;0,"OPERATING LOSS","OPERATING PROFIT")</f>
        <v>OPERATING PROFIT</v>
      </c>
      <c r="J2385" s="370"/>
      <c r="K2385" s="370"/>
      <c r="L2385" s="372"/>
      <c r="M2385" s="37"/>
      <c r="N2385" s="370"/>
      <c r="O2385" s="434">
        <f>SUM(S2302:S2366)</f>
        <v>0</v>
      </c>
      <c r="P2385" s="380"/>
      <c r="Q2385" s="389"/>
      <c r="R2385" s="416" t="str">
        <f t="shared" si="176"/>
        <v>DELETE</v>
      </c>
      <c r="T2385" s="425"/>
      <c r="V2385" s="417" t="b">
        <f>O2385=O2369</f>
        <v>1</v>
      </c>
    </row>
    <row r="2386" spans="2:24" ht="31.5" customHeight="1" x14ac:dyDescent="0.45">
      <c r="B2386" s="388"/>
      <c r="C2386" s="369"/>
      <c r="D2386" s="368" t="s">
        <v>258</v>
      </c>
      <c r="J2386" s="370"/>
      <c r="K2386" s="370"/>
      <c r="L2386" s="372"/>
      <c r="M2386" s="37"/>
      <c r="N2386" s="370"/>
      <c r="O2386" s="434"/>
      <c r="P2386" s="380"/>
      <c r="Q2386" s="389"/>
      <c r="R2386" s="416" t="str">
        <f t="shared" si="176"/>
        <v>DELETE</v>
      </c>
      <c r="T2386" s="425"/>
    </row>
    <row r="2387" spans="2:24" ht="31.5" customHeight="1" x14ac:dyDescent="0.45">
      <c r="B2387" s="388"/>
      <c r="C2387" s="369"/>
      <c r="J2387" s="370"/>
      <c r="K2387" s="370"/>
      <c r="L2387" s="372"/>
      <c r="M2387" s="37"/>
      <c r="N2387" s="370"/>
      <c r="O2387" s="434"/>
      <c r="P2387" s="380"/>
      <c r="Q2387" s="389"/>
      <c r="R2387" s="416" t="str">
        <f t="shared" si="176"/>
        <v>DELETE</v>
      </c>
      <c r="T2387" s="425"/>
    </row>
    <row r="2388" spans="2:24" ht="31.5" customHeight="1" x14ac:dyDescent="0.45">
      <c r="B2388" s="388"/>
      <c r="C2388" s="369" t="s">
        <v>1045</v>
      </c>
      <c r="J2388" s="370"/>
      <c r="K2388" s="370"/>
      <c r="L2388" s="372"/>
      <c r="M2388" s="37"/>
      <c r="N2388" s="370"/>
      <c r="O2388" s="434">
        <f>SUM(O2391:O2423)</f>
        <v>0</v>
      </c>
      <c r="P2388" s="380"/>
      <c r="Q2388" s="389"/>
      <c r="R2388" s="416" t="str">
        <f t="shared" ref="R2388" si="177">IF(R$2290="DELETE","DELETE",IF(O2388=0,"DELETE"," "))</f>
        <v>DELETE</v>
      </c>
      <c r="S2388" s="421">
        <f>-O2388</f>
        <v>0</v>
      </c>
      <c r="T2388" s="425"/>
      <c r="U2388" s="421"/>
      <c r="V2388" s="421"/>
      <c r="W2388" s="421"/>
      <c r="X2388" s="421"/>
    </row>
    <row r="2389" spans="2:24" ht="9" customHeight="1" x14ac:dyDescent="0.45">
      <c r="B2389" s="388"/>
      <c r="C2389" s="369"/>
      <c r="J2389" s="370"/>
      <c r="K2389" s="370"/>
      <c r="L2389" s="372"/>
      <c r="M2389" s="37"/>
      <c r="N2389" s="370"/>
      <c r="O2389" s="434"/>
      <c r="P2389" s="380"/>
      <c r="Q2389" s="389"/>
      <c r="R2389" s="416" t="str">
        <f>R2388</f>
        <v>DELETE</v>
      </c>
      <c r="T2389" s="425"/>
    </row>
    <row r="2390" spans="2:24" ht="9" customHeight="1" x14ac:dyDescent="0.45">
      <c r="B2390" s="388"/>
      <c r="C2390" s="369"/>
      <c r="J2390" s="370"/>
      <c r="K2390" s="370"/>
      <c r="L2390" s="372"/>
      <c r="M2390" s="37"/>
      <c r="N2390" s="370"/>
      <c r="O2390" s="455"/>
      <c r="P2390" s="380"/>
      <c r="Q2390" s="389"/>
      <c r="R2390" s="416" t="str">
        <f>R2389</f>
        <v>DELETE</v>
      </c>
      <c r="T2390" s="425"/>
    </row>
    <row r="2391" spans="2:24" ht="31.5" customHeight="1" x14ac:dyDescent="0.45">
      <c r="B2391" s="388"/>
      <c r="C2391" s="369"/>
      <c r="D2391" s="368" t="s">
        <v>218</v>
      </c>
      <c r="J2391" s="370"/>
      <c r="K2391" s="370"/>
      <c r="L2391" s="372"/>
      <c r="M2391" s="37"/>
      <c r="N2391" s="370"/>
      <c r="O2391" s="456">
        <f>SUM(TrialBalanceB!I85:I88)</f>
        <v>0</v>
      </c>
      <c r="P2391" s="380"/>
      <c r="Q2391" s="389"/>
      <c r="R2391" s="416" t="str">
        <f t="shared" ref="R2391:R2421" si="178">IF(R$2290="DELETE","DELETE",IF(O2391=0,"DELETE"," "))</f>
        <v>DELETE</v>
      </c>
      <c r="T2391" s="425"/>
    </row>
    <row r="2392" spans="2:24" ht="31.5" customHeight="1" x14ac:dyDescent="0.45">
      <c r="B2392" s="388"/>
      <c r="C2392" s="369"/>
      <c r="D2392" s="368" t="s">
        <v>222</v>
      </c>
      <c r="J2392" s="370"/>
      <c r="K2392" s="370"/>
      <c r="L2392" s="372"/>
      <c r="M2392" s="37"/>
      <c r="N2392" s="370"/>
      <c r="O2392" s="456">
        <f>TrialBalanceB!I90</f>
        <v>0</v>
      </c>
      <c r="P2392" s="380"/>
      <c r="Q2392" s="389"/>
      <c r="R2392" s="416" t="str">
        <f>IF(R$2290="DELETE","DELETE",IF(O2392=0,"DELETE"," "))</f>
        <v>DELETE</v>
      </c>
      <c r="T2392" s="425"/>
    </row>
    <row r="2393" spans="2:24" ht="31.5" customHeight="1" x14ac:dyDescent="0.45">
      <c r="B2393" s="388"/>
      <c r="C2393" s="369"/>
      <c r="D2393" s="368" t="s">
        <v>220</v>
      </c>
      <c r="J2393" s="370"/>
      <c r="K2393" s="370"/>
      <c r="L2393" s="372"/>
      <c r="M2393" s="37"/>
      <c r="N2393" s="370"/>
      <c r="O2393" s="456">
        <f>TrialBalanceB!I89</f>
        <v>0</v>
      </c>
      <c r="P2393" s="380"/>
      <c r="Q2393" s="389"/>
      <c r="R2393" s="416" t="str">
        <f>IF(R$2290="DELETE","DELETE",IF(O2393=0,"DELETE"," "))</f>
        <v>DELETE</v>
      </c>
      <c r="T2393" s="425"/>
    </row>
    <row r="2394" spans="2:24" ht="31.5" customHeight="1" x14ac:dyDescent="0.45">
      <c r="B2394" s="388"/>
      <c r="C2394" s="369"/>
      <c r="D2394" s="368" t="s">
        <v>259</v>
      </c>
      <c r="J2394" s="370"/>
      <c r="K2394" s="370"/>
      <c r="L2394" s="372"/>
      <c r="M2394" s="37"/>
      <c r="N2394" s="370"/>
      <c r="O2394" s="456">
        <f>TrialBalanceB!I91</f>
        <v>0</v>
      </c>
      <c r="P2394" s="380"/>
      <c r="Q2394" s="389"/>
      <c r="R2394" s="416" t="str">
        <f t="shared" si="178"/>
        <v>DELETE</v>
      </c>
      <c r="T2394" s="425"/>
    </row>
    <row r="2395" spans="2:24" ht="31.5" customHeight="1" x14ac:dyDescent="0.45">
      <c r="B2395" s="388"/>
      <c r="C2395" s="369"/>
      <c r="D2395" s="368" t="s">
        <v>225</v>
      </c>
      <c r="J2395" s="370"/>
      <c r="K2395" s="370"/>
      <c r="L2395" s="372"/>
      <c r="M2395" s="37"/>
      <c r="N2395" s="370"/>
      <c r="O2395" s="456">
        <f>TrialBalanceB!I92</f>
        <v>0</v>
      </c>
      <c r="P2395" s="380"/>
      <c r="Q2395" s="389"/>
      <c r="R2395" s="416" t="str">
        <f t="shared" si="178"/>
        <v>DELETE</v>
      </c>
      <c r="T2395" s="425"/>
    </row>
    <row r="2396" spans="2:24" ht="31.5" customHeight="1" x14ac:dyDescent="0.45">
      <c r="B2396" s="388"/>
      <c r="C2396" s="369"/>
      <c r="D2396" s="368" t="s">
        <v>735</v>
      </c>
      <c r="J2396" s="370"/>
      <c r="K2396" s="370"/>
      <c r="L2396" s="372"/>
      <c r="M2396" s="37"/>
      <c r="N2396" s="370"/>
      <c r="O2396" s="456">
        <f>TrialBalanceB!I93</f>
        <v>0</v>
      </c>
      <c r="P2396" s="380"/>
      <c r="Q2396" s="389"/>
      <c r="R2396" s="416" t="str">
        <f t="shared" si="178"/>
        <v>DELETE</v>
      </c>
      <c r="T2396" s="425"/>
    </row>
    <row r="2397" spans="2:24" ht="31.5" customHeight="1" x14ac:dyDescent="0.45">
      <c r="B2397" s="388"/>
      <c r="C2397" s="369"/>
      <c r="D2397" s="368" t="s">
        <v>279</v>
      </c>
      <c r="J2397" s="370"/>
      <c r="K2397" s="370">
        <f>C$747</f>
        <v>6.2999999999999989</v>
      </c>
      <c r="L2397" s="372"/>
      <c r="M2397" s="37"/>
      <c r="N2397" s="370"/>
      <c r="O2397" s="456">
        <f>SUM(TrialBalanceB!I95:I96)</f>
        <v>0</v>
      </c>
      <c r="P2397" s="380"/>
      <c r="Q2397" s="389"/>
      <c r="R2397" s="416" t="str">
        <f t="shared" si="178"/>
        <v>DELETE</v>
      </c>
      <c r="T2397" s="425"/>
    </row>
    <row r="2398" spans="2:24" ht="31.5" customHeight="1" x14ac:dyDescent="0.45">
      <c r="B2398" s="388"/>
      <c r="C2398" s="369"/>
      <c r="D2398" s="368" t="s">
        <v>260</v>
      </c>
      <c r="J2398" s="370"/>
      <c r="K2398" s="370"/>
      <c r="L2398" s="372"/>
      <c r="M2398" s="37"/>
      <c r="N2398" s="370"/>
      <c r="O2398" s="456">
        <f>TrialBalanceB!I103</f>
        <v>0</v>
      </c>
      <c r="P2398" s="380"/>
      <c r="Q2398" s="389"/>
      <c r="R2398" s="416" t="str">
        <f t="shared" si="178"/>
        <v>DELETE</v>
      </c>
      <c r="T2398" s="425"/>
    </row>
    <row r="2399" spans="2:24" ht="31.5" customHeight="1" x14ac:dyDescent="0.45">
      <c r="B2399" s="388"/>
      <c r="C2399" s="369"/>
      <c r="D2399" s="368" t="s">
        <v>375</v>
      </c>
      <c r="J2399" s="370"/>
      <c r="K2399" s="370"/>
      <c r="L2399" s="372"/>
      <c r="M2399" s="37"/>
      <c r="N2399" s="370"/>
      <c r="O2399" s="456">
        <f>TrialBalanceB!I104</f>
        <v>0</v>
      </c>
      <c r="P2399" s="380"/>
      <c r="Q2399" s="389"/>
      <c r="R2399" s="416" t="str">
        <f t="shared" si="178"/>
        <v>DELETE</v>
      </c>
      <c r="T2399" s="425"/>
    </row>
    <row r="2400" spans="2:24" ht="31.5" customHeight="1" x14ac:dyDescent="0.45">
      <c r="B2400" s="388"/>
      <c r="C2400" s="369"/>
      <c r="D2400" s="368" t="s">
        <v>326</v>
      </c>
      <c r="J2400" s="370"/>
      <c r="K2400" s="370"/>
      <c r="L2400" s="372"/>
      <c r="M2400" s="37"/>
      <c r="N2400" s="370"/>
      <c r="O2400" s="456">
        <f>TrialBalanceB!I105</f>
        <v>0</v>
      </c>
      <c r="P2400" s="380"/>
      <c r="Q2400" s="389"/>
      <c r="R2400" s="416" t="str">
        <f t="shared" si="178"/>
        <v>DELETE</v>
      </c>
      <c r="T2400" s="425"/>
    </row>
    <row r="2401" spans="2:20" ht="31.5" customHeight="1" x14ac:dyDescent="0.45">
      <c r="B2401" s="388"/>
      <c r="C2401" s="369"/>
      <c r="D2401" s="368" t="s">
        <v>377</v>
      </c>
      <c r="J2401" s="370"/>
      <c r="K2401" s="370"/>
      <c r="L2401" s="372"/>
      <c r="M2401" s="37"/>
      <c r="N2401" s="370"/>
      <c r="O2401" s="456">
        <f>TrialBalanceB!I106</f>
        <v>0</v>
      </c>
      <c r="P2401" s="380"/>
      <c r="Q2401" s="389"/>
      <c r="R2401" s="416" t="str">
        <f t="shared" si="178"/>
        <v>DELETE</v>
      </c>
      <c r="T2401" s="425"/>
    </row>
    <row r="2402" spans="2:20" ht="31.5" customHeight="1" x14ac:dyDescent="0.45">
      <c r="B2402" s="388"/>
      <c r="C2402" s="369"/>
      <c r="D2402" s="368" t="s">
        <v>1081</v>
      </c>
      <c r="J2402" s="370"/>
      <c r="K2402" s="370"/>
      <c r="L2402" s="372"/>
      <c r="M2402" s="37"/>
      <c r="N2402" s="370"/>
      <c r="O2402" s="456">
        <f>IF(TrialBalanceB!I141&gt;0,TrialBalanceB!I141,0)</f>
        <v>0</v>
      </c>
      <c r="P2402" s="380"/>
      <c r="Q2402" s="389"/>
      <c r="R2402" s="416" t="str">
        <f>IF(R$2290="DELETE","DELETE",IF(O2402=0,"DELETE"," "))</f>
        <v>DELETE</v>
      </c>
      <c r="T2402" s="425"/>
    </row>
    <row r="2403" spans="2:20" ht="31.5" customHeight="1" x14ac:dyDescent="0.45">
      <c r="B2403" s="388"/>
      <c r="C2403" s="369"/>
      <c r="D2403" s="368" t="s">
        <v>496</v>
      </c>
      <c r="J2403" s="370"/>
      <c r="K2403" s="370"/>
      <c r="L2403" s="372"/>
      <c r="M2403" s="37"/>
      <c r="N2403" s="370"/>
      <c r="O2403" s="456">
        <f>TrialBalanceB!I107+TrialBalanceB!I108</f>
        <v>0</v>
      </c>
      <c r="P2403" s="380"/>
      <c r="Q2403" s="389"/>
      <c r="R2403" s="416" t="str">
        <f t="shared" si="178"/>
        <v>DELETE</v>
      </c>
      <c r="T2403" s="425"/>
    </row>
    <row r="2404" spans="2:20" ht="31.5" customHeight="1" x14ac:dyDescent="0.45">
      <c r="B2404" s="388"/>
      <c r="C2404" s="369"/>
      <c r="D2404" s="368" t="s">
        <v>519</v>
      </c>
      <c r="J2404" s="370"/>
      <c r="K2404" s="370"/>
      <c r="L2404" s="372"/>
      <c r="M2404" s="37"/>
      <c r="N2404" s="370"/>
      <c r="O2404" s="456">
        <f>IF(TrialBalanceB!I81&gt;0,TrialBalanceB!I81,0)</f>
        <v>0</v>
      </c>
      <c r="P2404" s="380"/>
      <c r="Q2404" s="389"/>
      <c r="R2404" s="416" t="str">
        <f>IF(R$2290="DELETE","DELETE",IF(O2404=0,"DELETE"," "))</f>
        <v>DELETE</v>
      </c>
      <c r="T2404" s="425"/>
    </row>
    <row r="2405" spans="2:20" ht="31.5" customHeight="1" x14ac:dyDescent="0.45">
      <c r="B2405" s="388"/>
      <c r="C2405" s="369"/>
      <c r="D2405" s="368" t="s">
        <v>736</v>
      </c>
      <c r="J2405" s="370"/>
      <c r="K2405" s="370"/>
      <c r="L2405" s="372"/>
      <c r="M2405" s="37"/>
      <c r="N2405" s="370"/>
      <c r="O2405" s="456">
        <f>TrialBalanceB!I109</f>
        <v>0</v>
      </c>
      <c r="P2405" s="380"/>
      <c r="Q2405" s="389"/>
      <c r="R2405" s="416" t="str">
        <f>IF(R$2290="DELETE","DELETE",IF(O2405=0,"DELETE"," "))</f>
        <v>DELETE</v>
      </c>
      <c r="T2405" s="425"/>
    </row>
    <row r="2406" spans="2:20" ht="31.5" customHeight="1" x14ac:dyDescent="0.45">
      <c r="B2406" s="388"/>
      <c r="C2406" s="369"/>
      <c r="D2406" s="368" t="s">
        <v>261</v>
      </c>
      <c r="J2406" s="370"/>
      <c r="K2406" s="370"/>
      <c r="L2406" s="372"/>
      <c r="M2406" s="37"/>
      <c r="N2406" s="370"/>
      <c r="O2406" s="456">
        <f>TrialBalanceB!I110</f>
        <v>0</v>
      </c>
      <c r="P2406" s="380"/>
      <c r="Q2406" s="389"/>
      <c r="R2406" s="416" t="str">
        <f>IF(R$2290="DELETE","DELETE",IF(O2406=0,"DELETE"," "))</f>
        <v>DELETE</v>
      </c>
      <c r="T2406" s="425"/>
    </row>
    <row r="2407" spans="2:20" ht="31.5" customHeight="1" x14ac:dyDescent="0.45">
      <c r="B2407" s="388"/>
      <c r="C2407" s="369"/>
      <c r="D2407" s="368" t="s">
        <v>254</v>
      </c>
      <c r="J2407" s="370"/>
      <c r="K2407" s="370"/>
      <c r="L2407" s="372"/>
      <c r="M2407" s="37"/>
      <c r="N2407" s="370"/>
      <c r="O2407" s="456">
        <f>SUM(TrialBalanceB!I111:I112)</f>
        <v>0</v>
      </c>
      <c r="P2407" s="380"/>
      <c r="Q2407" s="389"/>
      <c r="R2407" s="416" t="str">
        <f t="shared" si="178"/>
        <v>DELETE</v>
      </c>
      <c r="T2407" s="425"/>
    </row>
    <row r="2408" spans="2:20" ht="31.5" customHeight="1" x14ac:dyDescent="0.45">
      <c r="B2408" s="388"/>
      <c r="C2408" s="369"/>
      <c r="D2408" s="368" t="s">
        <v>262</v>
      </c>
      <c r="J2408" s="370"/>
      <c r="K2408" s="370"/>
      <c r="L2408" s="372"/>
      <c r="M2408" s="37"/>
      <c r="N2408" s="370"/>
      <c r="O2408" s="456">
        <f>TrialBalanceB!I113</f>
        <v>0</v>
      </c>
      <c r="P2408" s="380"/>
      <c r="Q2408" s="389"/>
      <c r="R2408" s="416" t="str">
        <f t="shared" si="178"/>
        <v>DELETE</v>
      </c>
      <c r="T2408" s="425"/>
    </row>
    <row r="2409" spans="2:20" ht="31.5" customHeight="1" x14ac:dyDescent="0.45">
      <c r="B2409" s="388"/>
      <c r="C2409" s="369"/>
      <c r="D2409" s="368" t="s">
        <v>737</v>
      </c>
      <c r="J2409" s="370"/>
      <c r="K2409" s="370"/>
      <c r="L2409" s="372"/>
      <c r="M2409" s="37"/>
      <c r="N2409" s="370"/>
      <c r="O2409" s="456">
        <f>TrialBalanceB!I114</f>
        <v>0</v>
      </c>
      <c r="P2409" s="380"/>
      <c r="Q2409" s="389"/>
      <c r="R2409" s="416" t="str">
        <f t="shared" si="178"/>
        <v>DELETE</v>
      </c>
      <c r="T2409" s="425"/>
    </row>
    <row r="2410" spans="2:20" ht="31.5" customHeight="1" x14ac:dyDescent="0.45">
      <c r="B2410" s="388"/>
      <c r="C2410" s="369"/>
      <c r="D2410" s="368" t="s">
        <v>88</v>
      </c>
      <c r="J2410" s="370"/>
      <c r="K2410" s="370"/>
      <c r="L2410" s="372"/>
      <c r="M2410" s="37"/>
      <c r="N2410" s="370"/>
      <c r="O2410" s="456">
        <f>TrialBalanceB!I115</f>
        <v>0</v>
      </c>
      <c r="P2410" s="380"/>
      <c r="Q2410" s="389"/>
      <c r="R2410" s="416" t="str">
        <f t="shared" si="178"/>
        <v>DELETE</v>
      </c>
      <c r="T2410" s="425"/>
    </row>
    <row r="2411" spans="2:20" ht="31.5" customHeight="1" x14ac:dyDescent="0.45">
      <c r="B2411" s="388"/>
      <c r="C2411" s="369"/>
      <c r="D2411" s="368" t="str">
        <f>IF(MAX(Criteria!I38:I42)&gt;1,"Trustees' remuneration","Trustee's remuneration")</f>
        <v>Trustees' remuneration</v>
      </c>
      <c r="J2411" s="370"/>
      <c r="K2411" s="370">
        <f>C$688</f>
        <v>6.1</v>
      </c>
      <c r="L2411" s="372"/>
      <c r="M2411" s="37"/>
      <c r="N2411" s="370"/>
      <c r="O2411" s="456">
        <f>SUM(TrialBalanceB!I98:I102)</f>
        <v>0</v>
      </c>
      <c r="P2411" s="380"/>
      <c r="Q2411" s="389"/>
      <c r="R2411" s="416" t="str">
        <f t="shared" si="178"/>
        <v>DELETE</v>
      </c>
      <c r="T2411" s="425"/>
    </row>
    <row r="2412" spans="2:20" ht="31.5" customHeight="1" x14ac:dyDescent="0.45">
      <c r="B2412" s="388"/>
      <c r="C2412" s="369"/>
      <c r="D2412" s="368">
        <f>TrialBalanceB!C116</f>
        <v>0</v>
      </c>
      <c r="J2412" s="370"/>
      <c r="K2412" s="370"/>
      <c r="L2412" s="372"/>
      <c r="M2412" s="37"/>
      <c r="N2412" s="370"/>
      <c r="O2412" s="456">
        <f>TrialBalanceB!I116</f>
        <v>0</v>
      </c>
      <c r="P2412" s="380"/>
      <c r="Q2412" s="389"/>
      <c r="R2412" s="416" t="str">
        <f t="shared" si="178"/>
        <v>DELETE</v>
      </c>
      <c r="T2412" s="425"/>
    </row>
    <row r="2413" spans="2:20" ht="31.5" customHeight="1" x14ac:dyDescent="0.45">
      <c r="B2413" s="388"/>
      <c r="C2413" s="369"/>
      <c r="D2413" s="368">
        <f>TrialBalanceB!C117</f>
        <v>0</v>
      </c>
      <c r="J2413" s="370"/>
      <c r="K2413" s="370"/>
      <c r="L2413" s="372"/>
      <c r="M2413" s="37"/>
      <c r="N2413" s="370"/>
      <c r="O2413" s="456">
        <f>TrialBalanceB!I117</f>
        <v>0</v>
      </c>
      <c r="P2413" s="380"/>
      <c r="Q2413" s="389"/>
      <c r="R2413" s="416" t="str">
        <f t="shared" si="178"/>
        <v>DELETE</v>
      </c>
      <c r="T2413" s="425"/>
    </row>
    <row r="2414" spans="2:20" ht="31.5" customHeight="1" x14ac:dyDescent="0.45">
      <c r="B2414" s="388"/>
      <c r="C2414" s="369"/>
      <c r="D2414" s="368">
        <f>TrialBalanceB!C118</f>
        <v>0</v>
      </c>
      <c r="J2414" s="370"/>
      <c r="K2414" s="370"/>
      <c r="L2414" s="372"/>
      <c r="M2414" s="37"/>
      <c r="N2414" s="370"/>
      <c r="O2414" s="456">
        <f>TrialBalanceB!I118</f>
        <v>0</v>
      </c>
      <c r="P2414" s="380"/>
      <c r="Q2414" s="389"/>
      <c r="R2414" s="416" t="str">
        <f t="shared" si="178"/>
        <v>DELETE</v>
      </c>
      <c r="T2414" s="425"/>
    </row>
    <row r="2415" spans="2:20" ht="31.5" customHeight="1" x14ac:dyDescent="0.45">
      <c r="B2415" s="388"/>
      <c r="C2415" s="369"/>
      <c r="D2415" s="368">
        <f>TrialBalanceB!C119</f>
        <v>0</v>
      </c>
      <c r="J2415" s="370"/>
      <c r="K2415" s="370"/>
      <c r="L2415" s="372"/>
      <c r="M2415" s="37"/>
      <c r="N2415" s="370"/>
      <c r="O2415" s="456">
        <f>TrialBalanceB!I119</f>
        <v>0</v>
      </c>
      <c r="P2415" s="380"/>
      <c r="Q2415" s="389"/>
      <c r="R2415" s="416" t="str">
        <f t="shared" si="178"/>
        <v>DELETE</v>
      </c>
      <c r="T2415" s="425"/>
    </row>
    <row r="2416" spans="2:20" ht="31.5" customHeight="1" x14ac:dyDescent="0.45">
      <c r="B2416" s="388"/>
      <c r="C2416" s="369"/>
      <c r="D2416" s="368">
        <f>TrialBalanceB!C120</f>
        <v>0</v>
      </c>
      <c r="J2416" s="370"/>
      <c r="K2416" s="370"/>
      <c r="L2416" s="372"/>
      <c r="M2416" s="37"/>
      <c r="N2416" s="370"/>
      <c r="O2416" s="456">
        <f>TrialBalanceB!I120</f>
        <v>0</v>
      </c>
      <c r="P2416" s="380"/>
      <c r="Q2416" s="389"/>
      <c r="R2416" s="416" t="str">
        <f t="shared" si="178"/>
        <v>DELETE</v>
      </c>
      <c r="T2416" s="425"/>
    </row>
    <row r="2417" spans="2:24" ht="31.5" customHeight="1" x14ac:dyDescent="0.45">
      <c r="B2417" s="388"/>
      <c r="C2417" s="369"/>
      <c r="D2417" s="368">
        <f>TrialBalanceB!C121</f>
        <v>0</v>
      </c>
      <c r="J2417" s="370"/>
      <c r="K2417" s="370"/>
      <c r="L2417" s="372"/>
      <c r="M2417" s="37"/>
      <c r="N2417" s="370"/>
      <c r="O2417" s="456">
        <f>TrialBalanceB!I121</f>
        <v>0</v>
      </c>
      <c r="P2417" s="380"/>
      <c r="Q2417" s="389"/>
      <c r="R2417" s="416" t="str">
        <f t="shared" si="178"/>
        <v>DELETE</v>
      </c>
      <c r="T2417" s="425"/>
    </row>
    <row r="2418" spans="2:24" ht="31.5" customHeight="1" x14ac:dyDescent="0.45">
      <c r="B2418" s="388"/>
      <c r="C2418" s="369"/>
      <c r="D2418" s="368">
        <f>TrialBalanceB!C122</f>
        <v>0</v>
      </c>
      <c r="J2418" s="370"/>
      <c r="K2418" s="370"/>
      <c r="L2418" s="372"/>
      <c r="M2418" s="37"/>
      <c r="N2418" s="370"/>
      <c r="O2418" s="456">
        <f>TrialBalanceB!I122</f>
        <v>0</v>
      </c>
      <c r="P2418" s="380"/>
      <c r="Q2418" s="389"/>
      <c r="R2418" s="416" t="str">
        <f t="shared" si="178"/>
        <v>DELETE</v>
      </c>
      <c r="T2418" s="425"/>
    </row>
    <row r="2419" spans="2:24" ht="31.5" customHeight="1" x14ac:dyDescent="0.45">
      <c r="B2419" s="388"/>
      <c r="C2419" s="369"/>
      <c r="D2419" s="368">
        <f>TrialBalanceB!C123</f>
        <v>0</v>
      </c>
      <c r="J2419" s="370"/>
      <c r="K2419" s="370"/>
      <c r="L2419" s="372"/>
      <c r="M2419" s="37"/>
      <c r="N2419" s="370"/>
      <c r="O2419" s="456">
        <f>TrialBalanceB!I123</f>
        <v>0</v>
      </c>
      <c r="P2419" s="380"/>
      <c r="Q2419" s="389"/>
      <c r="R2419" s="416" t="str">
        <f t="shared" si="178"/>
        <v>DELETE</v>
      </c>
      <c r="T2419" s="425"/>
    </row>
    <row r="2420" spans="2:24" ht="31.5" customHeight="1" x14ac:dyDescent="0.45">
      <c r="B2420" s="388"/>
      <c r="C2420" s="369"/>
      <c r="D2420" s="368">
        <f>TrialBalanceB!C124</f>
        <v>0</v>
      </c>
      <c r="J2420" s="370"/>
      <c r="K2420" s="370"/>
      <c r="L2420" s="372"/>
      <c r="M2420" s="37"/>
      <c r="N2420" s="370"/>
      <c r="O2420" s="456">
        <f>TrialBalanceB!I124</f>
        <v>0</v>
      </c>
      <c r="P2420" s="380"/>
      <c r="Q2420" s="389"/>
      <c r="R2420" s="416" t="str">
        <f t="shared" si="178"/>
        <v>DELETE</v>
      </c>
      <c r="T2420" s="425"/>
    </row>
    <row r="2421" spans="2:24" ht="31.5" customHeight="1" x14ac:dyDescent="0.45">
      <c r="B2421" s="388"/>
      <c r="C2421" s="369"/>
      <c r="D2421" s="368" t="str">
        <f>TrialBalanceB!C125</f>
        <v>Amortisation of prepaid lease agreement</v>
      </c>
      <c r="J2421" s="370"/>
      <c r="K2421" s="370"/>
      <c r="L2421" s="372"/>
      <c r="M2421" s="37"/>
      <c r="N2421" s="370"/>
      <c r="O2421" s="456">
        <f>TrialBalanceB!I125</f>
        <v>0</v>
      </c>
      <c r="P2421" s="380"/>
      <c r="Q2421" s="389"/>
      <c r="R2421" s="416" t="str">
        <f t="shared" si="178"/>
        <v>DELETE</v>
      </c>
      <c r="T2421" s="425"/>
    </row>
    <row r="2422" spans="2:24" ht="31.5" customHeight="1" x14ac:dyDescent="0.45">
      <c r="B2422" s="388"/>
      <c r="C2422" s="369"/>
      <c r="D2422" s="368" t="str">
        <f>TrialBalanceB!C126</f>
        <v>Amortisation of goodwill</v>
      </c>
      <c r="J2422" s="370"/>
      <c r="K2422" s="370"/>
      <c r="L2422" s="372"/>
      <c r="M2422" s="37"/>
      <c r="N2422" s="370"/>
      <c r="O2422" s="456">
        <f>TrialBalanceB!I126</f>
        <v>0</v>
      </c>
      <c r="P2422" s="380"/>
      <c r="Q2422" s="389"/>
      <c r="R2422" s="416" t="str">
        <f t="shared" ref="R2422" si="179">IF(R$2290="DELETE","DELETE",IF(O2422=0,"DELETE"," "))</f>
        <v>DELETE</v>
      </c>
      <c r="T2422" s="425"/>
    </row>
    <row r="2423" spans="2:24" ht="9" customHeight="1" x14ac:dyDescent="0.45">
      <c r="B2423" s="388"/>
      <c r="C2423" s="369"/>
      <c r="J2423" s="370"/>
      <c r="K2423" s="370"/>
      <c r="L2423" s="372"/>
      <c r="M2423" s="37"/>
      <c r="N2423" s="370"/>
      <c r="O2423" s="457"/>
      <c r="P2423" s="380"/>
      <c r="Q2423" s="389"/>
      <c r="R2423" s="416" t="str">
        <f>R2388</f>
        <v>DELETE</v>
      </c>
      <c r="T2423" s="425"/>
    </row>
    <row r="2424" spans="2:24" ht="9" customHeight="1" x14ac:dyDescent="0.45">
      <c r="B2424" s="388"/>
      <c r="C2424" s="369"/>
      <c r="J2424" s="370"/>
      <c r="K2424" s="370"/>
      <c r="L2424" s="372"/>
      <c r="M2424" s="37"/>
      <c r="N2424" s="370"/>
      <c r="O2424" s="438"/>
      <c r="P2424" s="380"/>
      <c r="Q2424" s="389"/>
      <c r="R2424" s="416" t="str">
        <f t="shared" ref="R2424:R2427" si="180">R$2290</f>
        <v>DELETE</v>
      </c>
      <c r="T2424" s="425"/>
    </row>
    <row r="2425" spans="2:24" ht="9" customHeight="1" x14ac:dyDescent="0.45">
      <c r="B2425" s="388"/>
      <c r="C2425" s="369"/>
      <c r="J2425" s="370"/>
      <c r="K2425" s="370"/>
      <c r="L2425" s="372"/>
      <c r="M2425" s="37"/>
      <c r="N2425" s="370"/>
      <c r="O2425" s="434"/>
      <c r="P2425" s="380"/>
      <c r="Q2425" s="389"/>
      <c r="R2425" s="416" t="str">
        <f t="shared" si="180"/>
        <v>DELETE</v>
      </c>
      <c r="T2425" s="425"/>
    </row>
    <row r="2426" spans="2:24" ht="31.5" customHeight="1" x14ac:dyDescent="0.45">
      <c r="B2426" s="388"/>
      <c r="C2426" s="411" t="str">
        <f>IF(O2426&lt;0,"OPERATING LOSS FOR THE YEAR","OPERATING PROFIT FOR THE YEAR")</f>
        <v>OPERATING PROFIT FOR THE YEAR</v>
      </c>
      <c r="J2426" s="370"/>
      <c r="K2426" s="370">
        <f>FS!B685</f>
        <v>6</v>
      </c>
      <c r="L2426" s="372"/>
      <c r="M2426" s="37"/>
      <c r="N2426" s="370"/>
      <c r="O2426" s="434">
        <f>SUM(S2302:S2423)</f>
        <v>0</v>
      </c>
      <c r="P2426" s="380"/>
      <c r="Q2426" s="389"/>
      <c r="R2426" s="416" t="str">
        <f t="shared" si="180"/>
        <v>DELETE</v>
      </c>
      <c r="T2426" s="425"/>
    </row>
    <row r="2427" spans="2:24" ht="31.5" customHeight="1" x14ac:dyDescent="0.45">
      <c r="B2427" s="388"/>
      <c r="C2427" s="369"/>
      <c r="J2427" s="370"/>
      <c r="K2427" s="370"/>
      <c r="L2427" s="372"/>
      <c r="M2427" s="37"/>
      <c r="N2427" s="370"/>
      <c r="O2427" s="434"/>
      <c r="P2427" s="380"/>
      <c r="Q2427" s="389"/>
      <c r="R2427" s="416" t="str">
        <f t="shared" si="180"/>
        <v>DELETE</v>
      </c>
      <c r="T2427" s="425"/>
    </row>
    <row r="2428" spans="2:24" ht="31.5" customHeight="1" x14ac:dyDescent="0.45">
      <c r="B2428" s="388"/>
      <c r="C2428" s="369" t="s">
        <v>122</v>
      </c>
      <c r="J2428" s="370"/>
      <c r="K2428" s="370"/>
      <c r="L2428" s="372"/>
      <c r="M2428" s="37"/>
      <c r="N2428" s="370"/>
      <c r="O2428" s="434">
        <f>SUM(O2431:O2435)</f>
        <v>0</v>
      </c>
      <c r="P2428" s="380"/>
      <c r="Q2428" s="389"/>
      <c r="R2428" s="416" t="str">
        <f t="shared" ref="R2428" si="181">IF(R$2290="DELETE","DELETE",IF(O2428=0,"DELETE"," "))</f>
        <v>DELETE</v>
      </c>
      <c r="S2428" s="421">
        <f>O2428</f>
        <v>0</v>
      </c>
      <c r="T2428" s="425"/>
      <c r="U2428" s="421"/>
      <c r="V2428" s="421"/>
      <c r="W2428" s="421"/>
      <c r="X2428" s="421"/>
    </row>
    <row r="2429" spans="2:24" ht="9" customHeight="1" x14ac:dyDescent="0.45">
      <c r="B2429" s="388"/>
      <c r="C2429" s="369"/>
      <c r="J2429" s="370"/>
      <c r="K2429" s="370"/>
      <c r="L2429" s="372"/>
      <c r="M2429" s="37"/>
      <c r="N2429" s="370"/>
      <c r="O2429" s="434"/>
      <c r="P2429" s="380"/>
      <c r="Q2429" s="389"/>
      <c r="R2429" s="416" t="str">
        <f>R2428</f>
        <v>DELETE</v>
      </c>
      <c r="T2429" s="425"/>
    </row>
    <row r="2430" spans="2:24" ht="9" customHeight="1" x14ac:dyDescent="0.45">
      <c r="B2430" s="388"/>
      <c r="C2430" s="369"/>
      <c r="J2430" s="370"/>
      <c r="K2430" s="370"/>
      <c r="L2430" s="372"/>
      <c r="M2430" s="37"/>
      <c r="N2430" s="370"/>
      <c r="O2430" s="455"/>
      <c r="P2430" s="380"/>
      <c r="Q2430" s="389"/>
      <c r="R2430" s="416" t="str">
        <f>R2429</f>
        <v>DELETE</v>
      </c>
      <c r="T2430" s="425"/>
    </row>
    <row r="2431" spans="2:24" ht="31.5" customHeight="1" x14ac:dyDescent="0.45">
      <c r="B2431" s="388"/>
      <c r="C2431" s="369"/>
      <c r="D2431" s="368" t="s">
        <v>208</v>
      </c>
      <c r="J2431" s="370"/>
      <c r="K2431" s="370"/>
      <c r="L2431" s="372"/>
      <c r="M2431" s="37"/>
      <c r="N2431" s="370"/>
      <c r="O2431" s="456">
        <f>-TrialBalanceB!I82</f>
        <v>0</v>
      </c>
      <c r="P2431" s="380"/>
      <c r="Q2431" s="389"/>
      <c r="R2431" s="416" t="str">
        <f>IF(R$2290="DELETE","DELETE",IF(O2431=0,"DELETE"," "))</f>
        <v>DELETE</v>
      </c>
      <c r="T2431" s="425"/>
    </row>
    <row r="2432" spans="2:24" ht="31.5" customHeight="1" x14ac:dyDescent="0.45">
      <c r="B2432" s="388"/>
      <c r="C2432" s="369"/>
      <c r="D2432" s="368" t="s">
        <v>210</v>
      </c>
      <c r="J2432" s="370"/>
      <c r="K2432" s="370"/>
      <c r="L2432" s="372"/>
      <c r="M2432" s="37"/>
      <c r="N2432" s="370"/>
      <c r="O2432" s="458">
        <f>-SUM(TrialBalanceB!I83)</f>
        <v>0</v>
      </c>
      <c r="P2432" s="380"/>
      <c r="Q2432" s="389"/>
      <c r="R2432" s="416" t="str">
        <f>IF(R$2290="DELETE","DELETE",IF(O2432=0,"DELETE"," "))</f>
        <v>DELETE</v>
      </c>
      <c r="T2432" s="425"/>
    </row>
    <row r="2433" spans="2:24" ht="31.5" customHeight="1" x14ac:dyDescent="0.45">
      <c r="B2433" s="388"/>
      <c r="C2433" s="369"/>
      <c r="D2433" s="368" t="s">
        <v>520</v>
      </c>
      <c r="J2433" s="370"/>
      <c r="K2433" s="370"/>
      <c r="L2433" s="372"/>
      <c r="M2433" s="37"/>
      <c r="N2433" s="370"/>
      <c r="O2433" s="456">
        <f>IF(TrialBalanceB!I81&lt;0,-TrialBalanceB!I81,0)</f>
        <v>0</v>
      </c>
      <c r="P2433" s="380"/>
      <c r="Q2433" s="389"/>
      <c r="R2433" s="416" t="str">
        <f>IF(R$2290="DELETE","DELETE",IF(O2433=0,"DELETE"," "))</f>
        <v>DELETE</v>
      </c>
      <c r="T2433" s="425"/>
    </row>
    <row r="2434" spans="2:24" ht="31.5" customHeight="1" x14ac:dyDescent="0.45">
      <c r="B2434" s="388"/>
      <c r="C2434" s="369"/>
      <c r="D2434" s="368" t="s">
        <v>365</v>
      </c>
      <c r="J2434" s="370"/>
      <c r="K2434" s="370"/>
      <c r="L2434" s="372"/>
      <c r="M2434" s="37"/>
      <c r="N2434" s="370"/>
      <c r="O2434" s="456">
        <f>-TrialBalanceB!I80</f>
        <v>0</v>
      </c>
      <c r="P2434" s="380"/>
      <c r="Q2434" s="389"/>
      <c r="R2434" s="416" t="str">
        <f>IF(R$2290="DELETE","DELETE",IF(O2434=0,"DELETE"," "))</f>
        <v>DELETE</v>
      </c>
      <c r="T2434" s="425"/>
    </row>
    <row r="2435" spans="2:24" ht="9" customHeight="1" x14ac:dyDescent="0.45">
      <c r="B2435" s="388"/>
      <c r="C2435" s="369"/>
      <c r="J2435" s="370"/>
      <c r="K2435" s="370"/>
      <c r="L2435" s="372"/>
      <c r="M2435" s="37"/>
      <c r="N2435" s="370"/>
      <c r="O2435" s="457"/>
      <c r="P2435" s="380"/>
      <c r="Q2435" s="389"/>
      <c r="R2435" s="416" t="str">
        <f>R2428</f>
        <v>DELETE</v>
      </c>
      <c r="T2435" s="425"/>
    </row>
    <row r="2436" spans="2:24" ht="9" customHeight="1" x14ac:dyDescent="0.45">
      <c r="B2436" s="388"/>
      <c r="C2436" s="369"/>
      <c r="J2436" s="370"/>
      <c r="K2436" s="370"/>
      <c r="L2436" s="372"/>
      <c r="M2436" s="37"/>
      <c r="N2436" s="370"/>
      <c r="O2436" s="438"/>
      <c r="P2436" s="380"/>
      <c r="Q2436" s="389"/>
      <c r="R2436" s="416" t="str">
        <f>R2435</f>
        <v>DELETE</v>
      </c>
      <c r="T2436" s="425"/>
    </row>
    <row r="2437" spans="2:24" ht="9" customHeight="1" x14ac:dyDescent="0.45">
      <c r="B2437" s="388"/>
      <c r="C2437" s="369"/>
      <c r="J2437" s="370"/>
      <c r="K2437" s="370"/>
      <c r="L2437" s="372"/>
      <c r="M2437" s="37"/>
      <c r="N2437" s="370"/>
      <c r="O2437" s="434"/>
      <c r="P2437" s="380"/>
      <c r="Q2437" s="389"/>
      <c r="R2437" s="416" t="str">
        <f>R2436</f>
        <v>DELETE</v>
      </c>
      <c r="T2437" s="425"/>
    </row>
    <row r="2438" spans="2:24" ht="31.5" customHeight="1" x14ac:dyDescent="0.45">
      <c r="B2438" s="388"/>
      <c r="C2438" s="369"/>
      <c r="J2438" s="370"/>
      <c r="K2438" s="370"/>
      <c r="L2438" s="372"/>
      <c r="M2438" s="37"/>
      <c r="N2438" s="370"/>
      <c r="O2438" s="434">
        <f>SUM(S2302:S2435)</f>
        <v>0</v>
      </c>
      <c r="P2438" s="380"/>
      <c r="Q2438" s="389"/>
      <c r="R2438" s="416" t="str">
        <f>R2437</f>
        <v>DELETE</v>
      </c>
      <c r="T2438" s="425"/>
    </row>
    <row r="2439" spans="2:24" ht="31.5" customHeight="1" x14ac:dyDescent="0.45">
      <c r="B2439" s="388"/>
      <c r="C2439" s="369"/>
      <c r="J2439" s="370"/>
      <c r="K2439" s="370"/>
      <c r="L2439" s="372"/>
      <c r="M2439" s="37"/>
      <c r="N2439" s="370"/>
      <c r="O2439" s="434"/>
      <c r="P2439" s="380"/>
      <c r="Q2439" s="389"/>
      <c r="R2439" s="416" t="str">
        <f>R2438</f>
        <v>DELETE</v>
      </c>
      <c r="T2439" s="425"/>
    </row>
    <row r="2440" spans="2:24" ht="31.5" customHeight="1" x14ac:dyDescent="0.45">
      <c r="B2440" s="388"/>
      <c r="C2440" s="369" t="s">
        <v>263</v>
      </c>
      <c r="J2440" s="370"/>
      <c r="K2440" s="370">
        <f>FS!B602</f>
        <v>5</v>
      </c>
      <c r="L2440" s="372"/>
      <c r="M2440" s="37"/>
      <c r="N2440" s="370"/>
      <c r="O2440" s="434">
        <f>SUM(TrialBalanceB!I129:I139)</f>
        <v>0</v>
      </c>
      <c r="P2440" s="380"/>
      <c r="Q2440" s="389"/>
      <c r="R2440" s="416" t="str">
        <f t="shared" ref="R2440" si="182">IF(R$2290="DELETE","DELETE",IF(O2440=0,"DELETE"," "))</f>
        <v>DELETE</v>
      </c>
      <c r="S2440" s="421">
        <f>-O2440</f>
        <v>0</v>
      </c>
      <c r="T2440" s="425"/>
      <c r="U2440" s="421"/>
      <c r="V2440" s="421"/>
      <c r="W2440" s="421"/>
      <c r="X2440" s="421"/>
    </row>
    <row r="2441" spans="2:24" ht="9" customHeight="1" x14ac:dyDescent="0.45">
      <c r="B2441" s="388"/>
      <c r="C2441" s="369"/>
      <c r="J2441" s="370"/>
      <c r="K2441" s="370"/>
      <c r="L2441" s="372"/>
      <c r="M2441" s="37"/>
      <c r="N2441" s="370"/>
      <c r="O2441" s="438"/>
      <c r="P2441" s="380"/>
      <c r="Q2441" s="389"/>
      <c r="R2441" s="416" t="str">
        <f t="shared" ref="R2441:R2449" si="183">R$2290</f>
        <v>DELETE</v>
      </c>
      <c r="T2441" s="425"/>
    </row>
    <row r="2442" spans="2:24" ht="9" customHeight="1" x14ac:dyDescent="0.45">
      <c r="B2442" s="388"/>
      <c r="C2442" s="369"/>
      <c r="J2442" s="370"/>
      <c r="K2442" s="370"/>
      <c r="L2442" s="372"/>
      <c r="M2442" s="37"/>
      <c r="N2442" s="370"/>
      <c r="O2442" s="434"/>
      <c r="P2442" s="380"/>
      <c r="Q2442" s="389"/>
      <c r="R2442" s="416" t="str">
        <f t="shared" si="183"/>
        <v>DELETE</v>
      </c>
      <c r="T2442" s="425"/>
    </row>
    <row r="2443" spans="2:24" ht="31.5" customHeight="1" x14ac:dyDescent="0.45">
      <c r="B2443" s="388"/>
      <c r="C2443" s="411" t="str">
        <f>IF(O2443&lt;0,"LOSS BEFORE TAXATION","PROFIT BEFORE TAXATION")</f>
        <v>PROFIT BEFORE TAXATION</v>
      </c>
      <c r="J2443" s="370"/>
      <c r="K2443" s="370"/>
      <c r="L2443" s="372"/>
      <c r="M2443" s="37"/>
      <c r="N2443" s="370"/>
      <c r="O2443" s="434">
        <f>SUM(S2302:S2442)</f>
        <v>0</v>
      </c>
      <c r="P2443" s="380"/>
      <c r="Q2443" s="389"/>
      <c r="R2443" s="416" t="str">
        <f t="shared" si="183"/>
        <v>DELETE</v>
      </c>
      <c r="T2443" s="425"/>
      <c r="V2443" s="417" t="b">
        <f>O2443=M309</f>
        <v>1</v>
      </c>
    </row>
    <row r="2444" spans="2:24" ht="9" customHeight="1" thickBot="1" x14ac:dyDescent="0.5">
      <c r="B2444" s="388"/>
      <c r="C2444" s="369"/>
      <c r="J2444" s="370"/>
      <c r="K2444" s="370"/>
      <c r="L2444" s="372"/>
      <c r="M2444" s="37"/>
      <c r="N2444" s="370"/>
      <c r="O2444" s="439"/>
      <c r="P2444" s="380"/>
      <c r="Q2444" s="389"/>
      <c r="R2444" s="416" t="str">
        <f t="shared" si="183"/>
        <v>DELETE</v>
      </c>
      <c r="T2444" s="425"/>
    </row>
    <row r="2445" spans="2:24" ht="9" customHeight="1" thickTop="1" x14ac:dyDescent="0.45">
      <c r="B2445" s="388"/>
      <c r="C2445" s="369"/>
      <c r="J2445" s="370"/>
      <c r="K2445" s="370"/>
      <c r="L2445" s="372"/>
      <c r="M2445" s="37"/>
      <c r="N2445" s="370"/>
      <c r="O2445" s="434"/>
      <c r="P2445" s="380"/>
      <c r="Q2445" s="389"/>
      <c r="R2445" s="416" t="str">
        <f t="shared" si="183"/>
        <v>DELETE</v>
      </c>
      <c r="T2445" s="425"/>
    </row>
    <row r="2446" spans="2:24" ht="31.5" customHeight="1" x14ac:dyDescent="0.45">
      <c r="B2446" s="388"/>
      <c r="C2446" s="369"/>
      <c r="J2446" s="370"/>
      <c r="K2446" s="370"/>
      <c r="L2446" s="372"/>
      <c r="M2446" s="37"/>
      <c r="N2446" s="370"/>
      <c r="O2446" s="434"/>
      <c r="P2446" s="380"/>
      <c r="Q2446" s="389"/>
      <c r="R2446" s="416" t="str">
        <f t="shared" si="183"/>
        <v>DELETE</v>
      </c>
      <c r="T2446" s="425"/>
    </row>
    <row r="2447" spans="2:24" ht="31.5" customHeight="1" x14ac:dyDescent="0.45">
      <c r="B2447" s="388"/>
      <c r="C2447" s="369"/>
      <c r="J2447" s="370"/>
      <c r="K2447" s="370"/>
      <c r="L2447" s="372"/>
      <c r="M2447" s="37"/>
      <c r="N2447" s="370"/>
      <c r="O2447" s="434"/>
      <c r="P2447" s="380"/>
      <c r="Q2447" s="389"/>
      <c r="R2447" s="416" t="str">
        <f t="shared" si="183"/>
        <v>DELETE</v>
      </c>
      <c r="T2447" s="425"/>
    </row>
    <row r="2448" spans="2:24" ht="31.5" customHeight="1" x14ac:dyDescent="0.45">
      <c r="B2448" s="396"/>
      <c r="C2448" s="383"/>
      <c r="D2448" s="383"/>
      <c r="E2448" s="383"/>
      <c r="F2448" s="383"/>
      <c r="G2448" s="383"/>
      <c r="H2448" s="383"/>
      <c r="I2448" s="383"/>
      <c r="J2448" s="383"/>
      <c r="K2448" s="383"/>
      <c r="L2448" s="383"/>
      <c r="M2448" s="482"/>
      <c r="N2448" s="483"/>
      <c r="O2448" s="482"/>
      <c r="P2448" s="475"/>
      <c r="Q2448" s="398"/>
      <c r="R2448" s="416" t="str">
        <f t="shared" si="183"/>
        <v>DELETE</v>
      </c>
      <c r="T2448" s="425"/>
    </row>
    <row r="2449" spans="2:24" ht="31.5" customHeight="1" x14ac:dyDescent="0.45">
      <c r="M2449" s="479"/>
      <c r="N2449" s="469"/>
      <c r="O2449" s="479"/>
      <c r="R2449" s="416" t="str">
        <f t="shared" si="183"/>
        <v>DELETE</v>
      </c>
      <c r="T2449" s="425"/>
    </row>
    <row r="2450" spans="2:24" ht="31.5" customHeight="1" x14ac:dyDescent="0.45">
      <c r="M2450" s="479"/>
      <c r="N2450" s="469"/>
      <c r="O2450" s="479"/>
      <c r="R2450" s="416" t="str">
        <f>IF(SUM(U2462:U2464)+SUM(U2482:U2489)+SUM(U2588:U2595)+O2603=0,"DELETE",IF(SUM(S2462:S2464)+SUM(U2462:U2464)+SUM(S2482:S2489)+SUM(U2482:U2489)+SUM(S2588:S2595)+SUM(U2588:U2595)+M2603+O2603=0,"DELETE"," "))</f>
        <v>DELETE</v>
      </c>
      <c r="V2450" s="420"/>
      <c r="W2450" s="420"/>
      <c r="X2450" s="420"/>
    </row>
    <row r="2451" spans="2:24" ht="31.5" customHeight="1" x14ac:dyDescent="0.45">
      <c r="D2451" s="369" t="s">
        <v>619</v>
      </c>
      <c r="M2451" s="479"/>
      <c r="N2451" s="469"/>
      <c r="O2451" s="479"/>
      <c r="R2451" s="416" t="str">
        <f>R$2450</f>
        <v>DELETE</v>
      </c>
      <c r="V2451" s="419"/>
      <c r="X2451" s="419"/>
    </row>
    <row r="2452" spans="2:24" ht="31.5" customHeight="1" x14ac:dyDescent="0.45">
      <c r="M2452" s="479"/>
      <c r="N2452" s="469"/>
      <c r="O2452" s="479"/>
      <c r="R2452" s="416" t="str">
        <f t="shared" ref="R2452:R2461" si="184">R$2450</f>
        <v>DELETE</v>
      </c>
    </row>
    <row r="2453" spans="2:24" ht="31.5" customHeight="1" x14ac:dyDescent="0.45">
      <c r="D2453" s="369" t="str">
        <f>Criteria!E9</f>
        <v>ABC TRUST</v>
      </c>
      <c r="M2453" s="479"/>
      <c r="N2453" s="469"/>
      <c r="O2453" s="434" t="s">
        <v>105</v>
      </c>
      <c r="Q2453" s="370">
        <v>1</v>
      </c>
      <c r="R2453" s="416" t="str">
        <f t="shared" si="184"/>
        <v>DELETE</v>
      </c>
    </row>
    <row r="2454" spans="2:24" ht="31.5" customHeight="1" x14ac:dyDescent="0.45">
      <c r="D2454" s="369" t="str">
        <f>CONCATENATE("T/A ",Criteria!E16)</f>
        <v xml:space="preserve">T/A </v>
      </c>
      <c r="M2454" s="479"/>
      <c r="N2454" s="469"/>
      <c r="O2454" s="479"/>
      <c r="R2454" s="416" t="str">
        <f t="shared" si="184"/>
        <v>DELETE</v>
      </c>
    </row>
    <row r="2455" spans="2:24" ht="31.5" customHeight="1" x14ac:dyDescent="0.45">
      <c r="M2455" s="479"/>
      <c r="N2455" s="469"/>
      <c r="O2455" s="479"/>
      <c r="R2455" s="416" t="str">
        <f t="shared" si="184"/>
        <v>DELETE</v>
      </c>
    </row>
    <row r="2456" spans="2:24" ht="31.5" customHeight="1" x14ac:dyDescent="0.45">
      <c r="D2456" s="369" t="s">
        <v>100</v>
      </c>
      <c r="M2456" s="479"/>
      <c r="N2456" s="469"/>
      <c r="O2456" s="479"/>
      <c r="R2456" s="416" t="str">
        <f t="shared" si="184"/>
        <v>DELETE</v>
      </c>
    </row>
    <row r="2457" spans="2:24" ht="31.5" customHeight="1" x14ac:dyDescent="0.45">
      <c r="D2457" s="369" t="str">
        <f>Criteria!E20</f>
        <v>29 FEBRUARY 2024</v>
      </c>
      <c r="M2457" s="479"/>
      <c r="N2457" s="469"/>
      <c r="O2457" s="479"/>
      <c r="R2457" s="416" t="str">
        <f t="shared" si="184"/>
        <v>DELETE</v>
      </c>
    </row>
    <row r="2458" spans="2:24" ht="31.5" customHeight="1" x14ac:dyDescent="0.45">
      <c r="M2458" s="479"/>
      <c r="N2458" s="469"/>
      <c r="O2458" s="479"/>
      <c r="R2458" s="416" t="str">
        <f t="shared" si="184"/>
        <v>DELETE</v>
      </c>
    </row>
    <row r="2459" spans="2:24" ht="31.5" customHeight="1" x14ac:dyDescent="0.45">
      <c r="B2459" s="385"/>
      <c r="C2459" s="386"/>
      <c r="D2459" s="386"/>
      <c r="E2459" s="386"/>
      <c r="F2459" s="386"/>
      <c r="G2459" s="386"/>
      <c r="H2459" s="386"/>
      <c r="I2459" s="386"/>
      <c r="J2459" s="386"/>
      <c r="K2459" s="386"/>
      <c r="L2459" s="386"/>
      <c r="M2459" s="484"/>
      <c r="N2459" s="485"/>
      <c r="O2459" s="484"/>
      <c r="P2459" s="481"/>
      <c r="Q2459" s="387"/>
      <c r="R2459" s="416" t="str">
        <f t="shared" si="184"/>
        <v>DELETE</v>
      </c>
    </row>
    <row r="2460" spans="2:24" ht="31.5" customHeight="1" x14ac:dyDescent="0.45">
      <c r="B2460" s="388"/>
      <c r="J2460" s="370"/>
      <c r="K2460" s="370" t="s">
        <v>113</v>
      </c>
      <c r="L2460" s="370"/>
      <c r="M2460" s="430">
        <f>Criteria!E22</f>
        <v>2024</v>
      </c>
      <c r="N2460" s="379"/>
      <c r="O2460" s="430">
        <f>Criteria!E27</f>
        <v>2023</v>
      </c>
      <c r="P2460" s="380"/>
      <c r="Q2460" s="389"/>
      <c r="R2460" s="416" t="str">
        <f t="shared" si="184"/>
        <v>DELETE</v>
      </c>
    </row>
    <row r="2461" spans="2:24" ht="31.5" customHeight="1" x14ac:dyDescent="0.45">
      <c r="B2461" s="388"/>
      <c r="J2461" s="370"/>
      <c r="K2461" s="370"/>
      <c r="L2461" s="370"/>
      <c r="M2461" s="434"/>
      <c r="N2461" s="390"/>
      <c r="O2461" s="434"/>
      <c r="P2461" s="380"/>
      <c r="Q2461" s="389"/>
      <c r="R2461" s="416" t="str">
        <f t="shared" si="184"/>
        <v>DELETE</v>
      </c>
    </row>
    <row r="2462" spans="2:24" ht="31.5" customHeight="1" x14ac:dyDescent="0.45">
      <c r="B2462" s="388"/>
      <c r="C2462" s="369" t="s">
        <v>1044</v>
      </c>
      <c r="J2462" s="370"/>
      <c r="K2462" s="370"/>
      <c r="L2462" s="370"/>
      <c r="M2462" s="434">
        <f>-SUM(TrialBalanceC!I6:I7)</f>
        <v>0</v>
      </c>
      <c r="N2462" s="390"/>
      <c r="O2462" s="434">
        <f>-SUM(TrialBalanceC!K6:K7)</f>
        <v>0</v>
      </c>
      <c r="P2462" s="380"/>
      <c r="Q2462" s="389"/>
      <c r="R2462" s="416" t="str">
        <f>IF(R2450="DELETE","DELETE",IF(M2462+O2462=0,IF(M2464+O2464=0," ","DELETE")," "))</f>
        <v>DELETE</v>
      </c>
      <c r="S2462" s="421">
        <f>M2462</f>
        <v>0</v>
      </c>
      <c r="T2462" s="421"/>
      <c r="U2462" s="421">
        <f>O2462</f>
        <v>0</v>
      </c>
      <c r="V2462" s="421"/>
      <c r="W2462" s="421"/>
      <c r="X2462" s="421"/>
    </row>
    <row r="2463" spans="2:24" ht="31.5" customHeight="1" x14ac:dyDescent="0.45">
      <c r="B2463" s="388"/>
      <c r="C2463" s="369"/>
      <c r="J2463" s="370"/>
      <c r="K2463" s="370"/>
      <c r="L2463" s="370"/>
      <c r="M2463" s="434"/>
      <c r="N2463" s="390"/>
      <c r="O2463" s="434"/>
      <c r="P2463" s="380"/>
      <c r="Q2463" s="389"/>
      <c r="R2463" s="416" t="str">
        <f>R2462</f>
        <v>DELETE</v>
      </c>
      <c r="S2463" s="421"/>
      <c r="T2463" s="421"/>
      <c r="U2463" s="421"/>
      <c r="V2463" s="421"/>
      <c r="W2463" s="421"/>
      <c r="X2463" s="421"/>
    </row>
    <row r="2464" spans="2:24" ht="31.5" customHeight="1" x14ac:dyDescent="0.45">
      <c r="B2464" s="388"/>
      <c r="C2464" s="369" t="s">
        <v>497</v>
      </c>
      <c r="J2464" s="370"/>
      <c r="K2464" s="370"/>
      <c r="L2464" s="370"/>
      <c r="M2464" s="434">
        <f>-TrialBalanceC!I8</f>
        <v>0</v>
      </c>
      <c r="N2464" s="390"/>
      <c r="O2464" s="434">
        <f>-TrialBalanceC!K8</f>
        <v>0</v>
      </c>
      <c r="P2464" s="380"/>
      <c r="Q2464" s="389"/>
      <c r="R2464" s="416" t="str">
        <f>IF(R2450="DELETE","DELETE",IF(M2464+O2464=0,"DELETE"," "))</f>
        <v>DELETE</v>
      </c>
      <c r="S2464" s="421">
        <f>M2464</f>
        <v>0</v>
      </c>
      <c r="T2464" s="421"/>
      <c r="U2464" s="421">
        <f>O2464</f>
        <v>0</v>
      </c>
      <c r="V2464" s="421"/>
      <c r="W2464" s="421"/>
      <c r="X2464" s="421"/>
    </row>
    <row r="2465" spans="2:26" ht="31.5" customHeight="1" x14ac:dyDescent="0.45">
      <c r="B2465" s="388"/>
      <c r="C2465" s="369"/>
      <c r="J2465" s="370"/>
      <c r="K2465" s="370"/>
      <c r="L2465" s="370"/>
      <c r="M2465" s="434"/>
      <c r="N2465" s="390"/>
      <c r="O2465" s="434"/>
      <c r="P2465" s="380"/>
      <c r="Q2465" s="389"/>
      <c r="R2465" s="416" t="str">
        <f>R2464</f>
        <v>DELETE</v>
      </c>
    </row>
    <row r="2466" spans="2:26" ht="31.5" customHeight="1" x14ac:dyDescent="0.45">
      <c r="B2466" s="388"/>
      <c r="C2466" s="369" t="s">
        <v>275</v>
      </c>
      <c r="J2466" s="370"/>
      <c r="K2466" s="370"/>
      <c r="L2466" s="370"/>
      <c r="M2466" s="434">
        <f>SUM(M2469:M2476)</f>
        <v>0</v>
      </c>
      <c r="N2466" s="390"/>
      <c r="O2466" s="434">
        <f>SUM(O2469:O2476)</f>
        <v>0</v>
      </c>
      <c r="P2466" s="380"/>
      <c r="Q2466" s="389"/>
      <c r="R2466" s="416" t="str">
        <f>IF(R$2450="DELETE","DELETE",IF(M2466+O2466=0,"DELETE"," "))</f>
        <v>DELETE</v>
      </c>
      <c r="S2466" s="421">
        <f>-M2466</f>
        <v>0</v>
      </c>
      <c r="T2466" s="421"/>
      <c r="U2466" s="421">
        <f>-O2466</f>
        <v>0</v>
      </c>
      <c r="V2466" s="421"/>
      <c r="W2466" s="421"/>
      <c r="X2466" s="421"/>
    </row>
    <row r="2467" spans="2:26" ht="9" customHeight="1" x14ac:dyDescent="0.45">
      <c r="B2467" s="388"/>
      <c r="C2467" s="369"/>
      <c r="J2467" s="370"/>
      <c r="K2467" s="370"/>
      <c r="L2467" s="370"/>
      <c r="M2467" s="434"/>
      <c r="N2467" s="390"/>
      <c r="O2467" s="434"/>
      <c r="P2467" s="380"/>
      <c r="Q2467" s="389"/>
      <c r="R2467" s="416" t="str">
        <f>R2466</f>
        <v>DELETE</v>
      </c>
    </row>
    <row r="2468" spans="2:26" ht="9" customHeight="1" x14ac:dyDescent="0.45">
      <c r="B2468" s="388"/>
      <c r="C2468" s="369"/>
      <c r="J2468" s="370"/>
      <c r="K2468" s="370"/>
      <c r="L2468" s="370"/>
      <c r="M2468" s="435"/>
      <c r="N2468" s="391"/>
      <c r="O2468" s="450"/>
      <c r="P2468" s="380"/>
      <c r="Q2468" s="389"/>
      <c r="R2468" s="416" t="str">
        <f>R2467</f>
        <v>DELETE</v>
      </c>
    </row>
    <row r="2469" spans="2:26" ht="31.5" customHeight="1" x14ac:dyDescent="0.45">
      <c r="B2469" s="388"/>
      <c r="C2469" s="369"/>
      <c r="D2469" s="368" t="s">
        <v>499</v>
      </c>
      <c r="J2469" s="370"/>
      <c r="K2469" s="370"/>
      <c r="L2469" s="370"/>
      <c r="M2469" s="436">
        <f>SUM(TrialBalanceC!I10:I13)</f>
        <v>0</v>
      </c>
      <c r="N2469" s="390"/>
      <c r="O2469" s="451">
        <f>SUM(TrialBalanceC!K10:K13)</f>
        <v>0</v>
      </c>
      <c r="P2469" s="380"/>
      <c r="Q2469" s="389"/>
      <c r="R2469" s="416" t="str">
        <f t="shared" ref="R2469:R2476" si="185">IF(R$2450="DELETE","DELETE",IF(M2469+O2469=0,"DELETE"," "))</f>
        <v>DELETE</v>
      </c>
    </row>
    <row r="2470" spans="2:26" ht="31.5" customHeight="1" x14ac:dyDescent="0.45">
      <c r="B2470" s="388"/>
      <c r="C2470" s="369"/>
      <c r="D2470" s="368" t="s">
        <v>276</v>
      </c>
      <c r="J2470" s="370"/>
      <c r="K2470" s="370"/>
      <c r="L2470" s="370"/>
      <c r="M2470" s="436">
        <f>TrialBalanceC!I14</f>
        <v>0</v>
      </c>
      <c r="N2470" s="390"/>
      <c r="O2470" s="451">
        <f>TrialBalanceC!K14</f>
        <v>0</v>
      </c>
      <c r="P2470" s="380"/>
      <c r="Q2470" s="389"/>
      <c r="R2470" s="416" t="str">
        <f t="shared" si="185"/>
        <v>DELETE</v>
      </c>
    </row>
    <row r="2471" spans="2:26" ht="31.5" customHeight="1" x14ac:dyDescent="0.45">
      <c r="B2471" s="388"/>
      <c r="C2471" s="369"/>
      <c r="D2471" s="368">
        <f>TrialBalanceC!C15</f>
        <v>0</v>
      </c>
      <c r="J2471" s="370"/>
      <c r="K2471" s="370"/>
      <c r="L2471" s="370"/>
      <c r="M2471" s="436">
        <f>TrialBalanceC!I15</f>
        <v>0</v>
      </c>
      <c r="N2471" s="390"/>
      <c r="O2471" s="451">
        <f>TrialBalanceC!K15</f>
        <v>0</v>
      </c>
      <c r="P2471" s="380"/>
      <c r="Q2471" s="389"/>
      <c r="R2471" s="416" t="str">
        <f t="shared" si="185"/>
        <v>DELETE</v>
      </c>
    </row>
    <row r="2472" spans="2:26" ht="31.5" customHeight="1" x14ac:dyDescent="0.45">
      <c r="B2472" s="388"/>
      <c r="C2472" s="369"/>
      <c r="D2472" s="368">
        <f>TrialBalanceC!C16</f>
        <v>0</v>
      </c>
      <c r="J2472" s="370"/>
      <c r="K2472" s="370"/>
      <c r="L2472" s="370"/>
      <c r="M2472" s="436">
        <f>TrialBalanceC!I16</f>
        <v>0</v>
      </c>
      <c r="N2472" s="390"/>
      <c r="O2472" s="451">
        <f>TrialBalanceC!K16</f>
        <v>0</v>
      </c>
      <c r="P2472" s="380"/>
      <c r="Q2472" s="389"/>
      <c r="R2472" s="416" t="str">
        <f t="shared" si="185"/>
        <v>DELETE</v>
      </c>
    </row>
    <row r="2473" spans="2:26" ht="31.5" customHeight="1" x14ac:dyDescent="0.45">
      <c r="B2473" s="388"/>
      <c r="C2473" s="369"/>
      <c r="D2473" s="368">
        <f>TrialBalanceC!C17</f>
        <v>0</v>
      </c>
      <c r="J2473" s="370"/>
      <c r="K2473" s="370"/>
      <c r="L2473" s="370"/>
      <c r="M2473" s="436">
        <f>TrialBalanceC!I17</f>
        <v>0</v>
      </c>
      <c r="N2473" s="390"/>
      <c r="O2473" s="451">
        <f>TrialBalanceC!K17</f>
        <v>0</v>
      </c>
      <c r="P2473" s="380"/>
      <c r="Q2473" s="389"/>
      <c r="R2473" s="416" t="str">
        <f t="shared" si="185"/>
        <v>DELETE</v>
      </c>
    </row>
    <row r="2474" spans="2:26" ht="31.5" customHeight="1" x14ac:dyDescent="0.45">
      <c r="B2474" s="388"/>
      <c r="C2474" s="369"/>
      <c r="D2474" s="368">
        <f>TrialBalanceC!C18</f>
        <v>0</v>
      </c>
      <c r="J2474" s="370"/>
      <c r="K2474" s="370"/>
      <c r="L2474" s="370"/>
      <c r="M2474" s="436">
        <f>TrialBalanceC!I18</f>
        <v>0</v>
      </c>
      <c r="N2474" s="390"/>
      <c r="O2474" s="451">
        <f>TrialBalanceC!K18</f>
        <v>0</v>
      </c>
      <c r="P2474" s="380"/>
      <c r="Q2474" s="389"/>
      <c r="R2474" s="416" t="str">
        <f t="shared" si="185"/>
        <v>DELETE</v>
      </c>
    </row>
    <row r="2475" spans="2:26" ht="31.5" customHeight="1" x14ac:dyDescent="0.45">
      <c r="B2475" s="388"/>
      <c r="C2475" s="369"/>
      <c r="D2475" s="368">
        <f>TrialBalanceC!C19</f>
        <v>0</v>
      </c>
      <c r="J2475" s="370"/>
      <c r="K2475" s="370"/>
      <c r="L2475" s="370"/>
      <c r="M2475" s="436">
        <f>TrialBalanceC!I19</f>
        <v>0</v>
      </c>
      <c r="N2475" s="390"/>
      <c r="O2475" s="451">
        <f>TrialBalanceC!K19</f>
        <v>0</v>
      </c>
      <c r="P2475" s="380"/>
      <c r="Q2475" s="389"/>
      <c r="R2475" s="416" t="str">
        <f t="shared" si="185"/>
        <v>DELETE</v>
      </c>
    </row>
    <row r="2476" spans="2:26" ht="31.5" customHeight="1" x14ac:dyDescent="0.45">
      <c r="B2476" s="388"/>
      <c r="C2476" s="369"/>
      <c r="D2476" s="368" t="s">
        <v>500</v>
      </c>
      <c r="J2476" s="370"/>
      <c r="K2476" s="370"/>
      <c r="L2476" s="370"/>
      <c r="M2476" s="436">
        <f>SUM(TrialBalanceC!I20:I23)</f>
        <v>0</v>
      </c>
      <c r="N2476" s="390"/>
      <c r="O2476" s="451">
        <f>SUM(TrialBalanceC!K20:K23)</f>
        <v>0</v>
      </c>
      <c r="P2476" s="380"/>
      <c r="Q2476" s="389"/>
      <c r="R2476" s="416" t="str">
        <f t="shared" si="185"/>
        <v>DELETE</v>
      </c>
    </row>
    <row r="2477" spans="2:26" ht="9" customHeight="1" x14ac:dyDescent="0.45">
      <c r="B2477" s="388"/>
      <c r="C2477" s="369"/>
      <c r="J2477" s="370"/>
      <c r="K2477" s="370"/>
      <c r="L2477" s="370"/>
      <c r="M2477" s="437"/>
      <c r="N2477" s="392"/>
      <c r="O2477" s="452"/>
      <c r="P2477" s="380"/>
      <c r="Q2477" s="389"/>
      <c r="R2477" s="416" t="str">
        <f>R2466</f>
        <v>DELETE</v>
      </c>
    </row>
    <row r="2478" spans="2:26" ht="9" customHeight="1" x14ac:dyDescent="0.45">
      <c r="B2478" s="388"/>
      <c r="C2478" s="369"/>
      <c r="J2478" s="370"/>
      <c r="K2478" s="370"/>
      <c r="L2478" s="370"/>
      <c r="M2478" s="438"/>
      <c r="N2478" s="392"/>
      <c r="O2478" s="438"/>
      <c r="P2478" s="380"/>
      <c r="Q2478" s="389"/>
      <c r="R2478" s="416" t="str">
        <f>R2466</f>
        <v>DELETE</v>
      </c>
    </row>
    <row r="2479" spans="2:26" ht="9" customHeight="1" x14ac:dyDescent="0.45">
      <c r="B2479" s="388"/>
      <c r="C2479" s="369"/>
      <c r="J2479" s="370"/>
      <c r="K2479" s="370"/>
      <c r="L2479" s="370"/>
      <c r="M2479" s="434"/>
      <c r="N2479" s="390"/>
      <c r="O2479" s="434"/>
      <c r="P2479" s="380"/>
      <c r="Q2479" s="389"/>
      <c r="R2479" s="416" t="str">
        <f>R2478</f>
        <v>DELETE</v>
      </c>
    </row>
    <row r="2480" spans="2:26" ht="31.5" customHeight="1" x14ac:dyDescent="0.45">
      <c r="B2480" s="388"/>
      <c r="C2480" s="411" t="str">
        <f>IF((Y2480+Z2480)=3,"GROSS PROFIT/(LOSS)",(IF((Y2480+Z2480=4),"GROSS PROFIT","GROSS LOSS")))</f>
        <v>GROSS PROFIT</v>
      </c>
      <c r="J2480" s="370"/>
      <c r="K2480" s="370"/>
      <c r="L2480" s="370"/>
      <c r="M2480" s="434">
        <f>SUM(S2462:S2477)</f>
        <v>0</v>
      </c>
      <c r="N2480" s="390"/>
      <c r="O2480" s="434">
        <f>SUM(U2462:U2477)</f>
        <v>0</v>
      </c>
      <c r="P2480" s="380"/>
      <c r="Q2480" s="389"/>
      <c r="R2480" s="416" t="str">
        <f>R2479</f>
        <v>DELETE</v>
      </c>
      <c r="Y2480" s="417">
        <f>IF(M2480&lt;0,1,IF(M2480=0,IF(O2480&lt;0,1,2),2))</f>
        <v>2</v>
      </c>
      <c r="Z2480" s="417">
        <f>IF(O2480&lt;0,1,IF(O2480=0,IF(M2480&lt;0,1,2),2))</f>
        <v>2</v>
      </c>
    </row>
    <row r="2481" spans="2:24" ht="31.5" customHeight="1" x14ac:dyDescent="0.45">
      <c r="B2481" s="388"/>
      <c r="C2481" s="369"/>
      <c r="J2481" s="370"/>
      <c r="K2481" s="370"/>
      <c r="L2481" s="370"/>
      <c r="M2481" s="434"/>
      <c r="N2481" s="390"/>
      <c r="O2481" s="434"/>
      <c r="P2481" s="380"/>
      <c r="Q2481" s="389"/>
      <c r="R2481" s="416" t="str">
        <f>R2480</f>
        <v>DELETE</v>
      </c>
    </row>
    <row r="2482" spans="2:24" ht="31.5" customHeight="1" x14ac:dyDescent="0.45">
      <c r="B2482" s="388"/>
      <c r="C2482" s="369" t="s">
        <v>319</v>
      </c>
      <c r="J2482" s="370"/>
      <c r="K2482" s="370"/>
      <c r="L2482" s="370"/>
      <c r="M2482" s="434">
        <f>SUM(M2484:M2491)</f>
        <v>0</v>
      </c>
      <c r="N2482" s="390"/>
      <c r="O2482" s="434">
        <f>SUM(O2484:O2491)</f>
        <v>0</v>
      </c>
      <c r="P2482" s="380"/>
      <c r="Q2482" s="389"/>
      <c r="R2482" s="416" t="str">
        <f t="shared" ref="R2482" si="186">IF(R$2450="DELETE","DELETE",IF(M2482+O2482=0,"DELETE"," "))</f>
        <v>DELETE</v>
      </c>
      <c r="S2482" s="421">
        <f>M2482</f>
        <v>0</v>
      </c>
      <c r="T2482" s="421"/>
      <c r="U2482" s="421">
        <f>O2482</f>
        <v>0</v>
      </c>
    </row>
    <row r="2483" spans="2:24" ht="9" customHeight="1" x14ac:dyDescent="0.45">
      <c r="B2483" s="388"/>
      <c r="C2483" s="369"/>
      <c r="J2483" s="370"/>
      <c r="K2483" s="370"/>
      <c r="L2483" s="370"/>
      <c r="M2483" s="434"/>
      <c r="N2483" s="390"/>
      <c r="O2483" s="434"/>
      <c r="P2483" s="380"/>
      <c r="Q2483" s="389"/>
      <c r="R2483" s="416" t="str">
        <f>R2482</f>
        <v>DELETE</v>
      </c>
    </row>
    <row r="2484" spans="2:24" ht="9" customHeight="1" x14ac:dyDescent="0.45">
      <c r="B2484" s="388"/>
      <c r="C2484" s="369"/>
      <c r="J2484" s="370"/>
      <c r="K2484" s="370"/>
      <c r="L2484" s="370"/>
      <c r="M2484" s="435"/>
      <c r="N2484" s="391"/>
      <c r="O2484" s="450"/>
      <c r="P2484" s="380"/>
      <c r="Q2484" s="389"/>
      <c r="R2484" s="416" t="str">
        <f>R2482</f>
        <v>DELETE</v>
      </c>
    </row>
    <row r="2485" spans="2:24" ht="31.5" customHeight="1" x14ac:dyDescent="0.45">
      <c r="B2485" s="388"/>
      <c r="C2485" s="369"/>
      <c r="D2485" s="368" t="str">
        <f>TrialBalanceC!C25</f>
        <v xml:space="preserve">Insurance claims - </v>
      </c>
      <c r="J2485" s="370"/>
      <c r="K2485" s="370"/>
      <c r="L2485" s="370"/>
      <c r="M2485" s="436">
        <f>-TrialBalanceC!I25</f>
        <v>0</v>
      </c>
      <c r="N2485" s="390"/>
      <c r="O2485" s="451">
        <f>-TrialBalanceC!K25</f>
        <v>0</v>
      </c>
      <c r="P2485" s="380"/>
      <c r="Q2485" s="389"/>
      <c r="R2485" s="416" t="str">
        <f t="shared" ref="R2485:R2489" si="187">IF(R$2450="DELETE","DELETE",IF(M2485+O2485=0,"DELETE"," "))</f>
        <v>DELETE</v>
      </c>
    </row>
    <row r="2486" spans="2:24" ht="31.5" customHeight="1" x14ac:dyDescent="0.45">
      <c r="B2486" s="388"/>
      <c r="C2486" s="369"/>
      <c r="D2486" s="368" t="str">
        <f>TrialBalanceC!C26</f>
        <v>Government grants received</v>
      </c>
      <c r="J2486" s="370"/>
      <c r="K2486" s="370"/>
      <c r="L2486" s="370"/>
      <c r="M2486" s="436">
        <f>-TrialBalanceC!I26</f>
        <v>0</v>
      </c>
      <c r="N2486" s="390"/>
      <c r="O2486" s="451">
        <f>-TrialBalanceC!K26</f>
        <v>0</v>
      </c>
      <c r="P2486" s="380"/>
      <c r="Q2486" s="389"/>
      <c r="R2486" s="416" t="str">
        <f t="shared" si="187"/>
        <v>DELETE</v>
      </c>
    </row>
    <row r="2487" spans="2:24" ht="31.5" customHeight="1" x14ac:dyDescent="0.45">
      <c r="B2487" s="388"/>
      <c r="C2487" s="369"/>
      <c r="D2487" s="368">
        <f>TrialBalanceC!C27</f>
        <v>0</v>
      </c>
      <c r="J2487" s="370"/>
      <c r="K2487" s="370"/>
      <c r="L2487" s="370"/>
      <c r="M2487" s="436">
        <f>-TrialBalanceC!I27</f>
        <v>0</v>
      </c>
      <c r="N2487" s="390"/>
      <c r="O2487" s="451">
        <f>-TrialBalanceC!K27</f>
        <v>0</v>
      </c>
      <c r="P2487" s="380"/>
      <c r="Q2487" s="389"/>
      <c r="R2487" s="416" t="str">
        <f t="shared" si="187"/>
        <v>DELETE</v>
      </c>
    </row>
    <row r="2488" spans="2:24" ht="31.5" customHeight="1" x14ac:dyDescent="0.45">
      <c r="B2488" s="388"/>
      <c r="C2488" s="369"/>
      <c r="D2488" s="368">
        <f>TrialBalanceC!C28</f>
        <v>0</v>
      </c>
      <c r="J2488" s="370"/>
      <c r="K2488" s="370"/>
      <c r="L2488" s="370"/>
      <c r="M2488" s="436">
        <f>-TrialBalanceC!I28</f>
        <v>0</v>
      </c>
      <c r="N2488" s="390"/>
      <c r="O2488" s="451">
        <f>-TrialBalanceC!K28</f>
        <v>0</v>
      </c>
      <c r="P2488" s="380"/>
      <c r="Q2488" s="389"/>
      <c r="R2488" s="416" t="str">
        <f t="shared" si="187"/>
        <v>DELETE</v>
      </c>
    </row>
    <row r="2489" spans="2:24" ht="31.5" customHeight="1" x14ac:dyDescent="0.45">
      <c r="B2489" s="388"/>
      <c r="C2489" s="369"/>
      <c r="D2489" s="368">
        <f>TrialBalanceC!C29</f>
        <v>0</v>
      </c>
      <c r="J2489" s="370"/>
      <c r="K2489" s="370"/>
      <c r="L2489" s="370"/>
      <c r="M2489" s="436">
        <f>-TrialBalanceC!I29</f>
        <v>0</v>
      </c>
      <c r="N2489" s="390"/>
      <c r="O2489" s="451">
        <f>-TrialBalanceC!K29</f>
        <v>0</v>
      </c>
      <c r="P2489" s="380"/>
      <c r="Q2489" s="389"/>
      <c r="R2489" s="416" t="str">
        <f t="shared" si="187"/>
        <v>DELETE</v>
      </c>
    </row>
    <row r="2490" spans="2:24" ht="31.5" customHeight="1" x14ac:dyDescent="0.45">
      <c r="B2490" s="388"/>
      <c r="C2490" s="369"/>
      <c r="D2490" s="368" t="str">
        <f>TrialBalanceC!C30</f>
        <v>Recoupment of depreciation</v>
      </c>
      <c r="J2490" s="370"/>
      <c r="K2490" s="370"/>
      <c r="L2490" s="370"/>
      <c r="M2490" s="436">
        <f>-TrialBalanceC!I30</f>
        <v>0</v>
      </c>
      <c r="N2490" s="390"/>
      <c r="O2490" s="451">
        <f>-TrialBalanceC!K30</f>
        <v>0</v>
      </c>
      <c r="P2490" s="380"/>
      <c r="Q2490" s="389"/>
      <c r="R2490" s="416" t="str">
        <f t="shared" ref="R2490" si="188">IF(R$2450="DELETE","DELETE",IF(M2490+O2490=0,"DELETE"," "))</f>
        <v>DELETE</v>
      </c>
    </row>
    <row r="2491" spans="2:24" ht="9" customHeight="1" x14ac:dyDescent="0.45">
      <c r="B2491" s="388"/>
      <c r="C2491" s="369"/>
      <c r="J2491" s="370"/>
      <c r="K2491" s="370"/>
      <c r="L2491" s="370"/>
      <c r="M2491" s="437"/>
      <c r="N2491" s="392"/>
      <c r="O2491" s="452"/>
      <c r="P2491" s="380"/>
      <c r="Q2491" s="389"/>
      <c r="R2491" s="416" t="str">
        <f>R2482</f>
        <v>DELETE</v>
      </c>
    </row>
    <row r="2492" spans="2:24" ht="9" customHeight="1" x14ac:dyDescent="0.45">
      <c r="B2492" s="388"/>
      <c r="C2492" s="369"/>
      <c r="J2492" s="370"/>
      <c r="K2492" s="370"/>
      <c r="L2492" s="370"/>
      <c r="M2492" s="447"/>
      <c r="N2492" s="408"/>
      <c r="O2492" s="447"/>
      <c r="P2492" s="380"/>
      <c r="Q2492" s="389"/>
      <c r="R2492" s="416" t="str">
        <f>R2491</f>
        <v>DELETE</v>
      </c>
    </row>
    <row r="2493" spans="2:24" ht="9" customHeight="1" x14ac:dyDescent="0.45">
      <c r="B2493" s="388"/>
      <c r="C2493" s="369"/>
      <c r="J2493" s="370"/>
      <c r="K2493" s="370"/>
      <c r="L2493" s="370"/>
      <c r="M2493" s="434"/>
      <c r="N2493" s="390"/>
      <c r="O2493" s="434"/>
      <c r="P2493" s="380"/>
      <c r="Q2493" s="389"/>
      <c r="R2493" s="416" t="str">
        <f>R2492</f>
        <v>DELETE</v>
      </c>
    </row>
    <row r="2494" spans="2:24" ht="31.5" customHeight="1" x14ac:dyDescent="0.45">
      <c r="B2494" s="388"/>
      <c r="C2494" s="369"/>
      <c r="J2494" s="370"/>
      <c r="K2494" s="370"/>
      <c r="L2494" s="370"/>
      <c r="M2494" s="434">
        <f>SUM(S2462:S2482)</f>
        <v>0</v>
      </c>
      <c r="N2494" s="390"/>
      <c r="O2494" s="434">
        <f>SUM(U2462:U2482)</f>
        <v>0</v>
      </c>
      <c r="P2494" s="380"/>
      <c r="Q2494" s="389"/>
      <c r="R2494" s="416" t="str">
        <f>R2482</f>
        <v>DELETE</v>
      </c>
    </row>
    <row r="2495" spans="2:24" ht="31.5" customHeight="1" x14ac:dyDescent="0.45">
      <c r="B2495" s="388"/>
      <c r="C2495" s="369"/>
      <c r="J2495" s="370"/>
      <c r="K2495" s="370"/>
      <c r="L2495" s="370"/>
      <c r="M2495" s="434"/>
      <c r="N2495" s="390"/>
      <c r="O2495" s="434"/>
      <c r="P2495" s="380"/>
      <c r="Q2495" s="389"/>
      <c r="R2495" s="416" t="str">
        <f>R2494</f>
        <v>DELETE</v>
      </c>
    </row>
    <row r="2496" spans="2:24" ht="31.5" customHeight="1" x14ac:dyDescent="0.45">
      <c r="B2496" s="388"/>
      <c r="C2496" s="369" t="s">
        <v>1051</v>
      </c>
      <c r="J2496" s="370"/>
      <c r="K2496" s="370"/>
      <c r="L2496" s="370"/>
      <c r="M2496" s="434">
        <f>SUM(M2498:M2526)</f>
        <v>0</v>
      </c>
      <c r="N2496" s="390"/>
      <c r="O2496" s="434">
        <f>SUM(O2498:O2526)</f>
        <v>0</v>
      </c>
      <c r="P2496" s="380"/>
      <c r="Q2496" s="389"/>
      <c r="R2496" s="416" t="str">
        <f t="shared" ref="R2496" si="189">IF(R$2450="DELETE","DELETE",IF(M2496+O2496=0,"DELETE"," "))</f>
        <v>DELETE</v>
      </c>
      <c r="S2496" s="421">
        <f>-M2496</f>
        <v>0</v>
      </c>
      <c r="T2496" s="421"/>
      <c r="U2496" s="421">
        <f>-O2496</f>
        <v>0</v>
      </c>
      <c r="V2496" s="421"/>
      <c r="W2496" s="421"/>
      <c r="X2496" s="421"/>
    </row>
    <row r="2497" spans="2:24" ht="9" customHeight="1" x14ac:dyDescent="0.45">
      <c r="B2497" s="388"/>
      <c r="C2497" s="369"/>
      <c r="J2497" s="370"/>
      <c r="K2497" s="370"/>
      <c r="L2497" s="370"/>
      <c r="M2497" s="434"/>
      <c r="N2497" s="390"/>
      <c r="O2497" s="434"/>
      <c r="P2497" s="380"/>
      <c r="Q2497" s="389"/>
      <c r="R2497" s="416" t="str">
        <f>R2496</f>
        <v>DELETE</v>
      </c>
    </row>
    <row r="2498" spans="2:24" ht="9" customHeight="1" x14ac:dyDescent="0.45">
      <c r="B2498" s="388"/>
      <c r="C2498" s="369"/>
      <c r="J2498" s="370"/>
      <c r="K2498" s="370"/>
      <c r="L2498" s="370"/>
      <c r="M2498" s="435"/>
      <c r="N2498" s="391"/>
      <c r="O2498" s="450"/>
      <c r="P2498" s="380"/>
      <c r="Q2498" s="389"/>
      <c r="R2498" s="416" t="str">
        <f>R2497</f>
        <v>DELETE</v>
      </c>
    </row>
    <row r="2499" spans="2:24" ht="31.5" customHeight="1" x14ac:dyDescent="0.45">
      <c r="B2499" s="388"/>
      <c r="C2499" s="369"/>
      <c r="D2499" s="368" t="s">
        <v>277</v>
      </c>
      <c r="J2499" s="370"/>
      <c r="K2499" s="370"/>
      <c r="L2499" s="370"/>
      <c r="M2499" s="436">
        <f>TrialBalanceC!I37</f>
        <v>0</v>
      </c>
      <c r="N2499" s="390"/>
      <c r="O2499" s="451">
        <f>TrialBalanceC!K37</f>
        <v>0</v>
      </c>
      <c r="P2499" s="380"/>
      <c r="Q2499" s="389"/>
      <c r="R2499" s="416" t="str">
        <f t="shared" ref="R2499:R2525" si="190">IF(R$2450="DELETE","DELETE",IF(M2499+O2499=0,"DELETE"," "))</f>
        <v>DELETE</v>
      </c>
    </row>
    <row r="2500" spans="2:24" ht="31.5" customHeight="1" x14ac:dyDescent="0.45">
      <c r="B2500" s="388"/>
      <c r="C2500" s="369"/>
      <c r="D2500" s="368" t="s">
        <v>703</v>
      </c>
      <c r="J2500" s="370"/>
      <c r="K2500" s="370"/>
      <c r="L2500" s="370"/>
      <c r="M2500" s="436">
        <f>TrialBalanceC!I38</f>
        <v>0</v>
      </c>
      <c r="N2500" s="390"/>
      <c r="O2500" s="451">
        <f>TrialBalanceC!K38</f>
        <v>0</v>
      </c>
      <c r="P2500" s="380"/>
      <c r="Q2500" s="389"/>
      <c r="R2500" s="416" t="str">
        <f t="shared" si="190"/>
        <v>DELETE</v>
      </c>
    </row>
    <row r="2501" spans="2:24" ht="31.5" customHeight="1" x14ac:dyDescent="0.45">
      <c r="B2501" s="388"/>
      <c r="C2501" s="369"/>
      <c r="D2501" s="368" t="s">
        <v>278</v>
      </c>
      <c r="J2501" s="370"/>
      <c r="K2501" s="370"/>
      <c r="L2501" s="370"/>
      <c r="M2501" s="436">
        <f>TrialBalanceC!I39</f>
        <v>0</v>
      </c>
      <c r="N2501" s="390"/>
      <c r="O2501" s="451">
        <f>TrialBalanceC!K39</f>
        <v>0</v>
      </c>
      <c r="P2501" s="380"/>
      <c r="Q2501" s="389"/>
      <c r="R2501" s="416" t="str">
        <f t="shared" si="190"/>
        <v>DELETE</v>
      </c>
    </row>
    <row r="2502" spans="2:24" ht="31.5" customHeight="1" x14ac:dyDescent="0.45">
      <c r="B2502" s="388"/>
      <c r="C2502" s="369"/>
      <c r="D2502" s="368" t="s">
        <v>279</v>
      </c>
      <c r="J2502" s="370"/>
      <c r="K2502" s="370">
        <f>C$747</f>
        <v>6.2999999999999989</v>
      </c>
      <c r="L2502" s="370"/>
      <c r="M2502" s="436">
        <f>SUM(TrialBalanceC!I41:I43)</f>
        <v>0</v>
      </c>
      <c r="N2502" s="390"/>
      <c r="O2502" s="451">
        <f>SUM(TrialBalanceC!K41:K43)</f>
        <v>0</v>
      </c>
      <c r="P2502" s="380"/>
      <c r="Q2502" s="389"/>
      <c r="R2502" s="416" t="str">
        <f t="shared" si="190"/>
        <v>DELETE</v>
      </c>
    </row>
    <row r="2503" spans="2:24" ht="31.5" customHeight="1" x14ac:dyDescent="0.45">
      <c r="B2503" s="388"/>
      <c r="C2503" s="369"/>
      <c r="D2503" s="368" t="s">
        <v>501</v>
      </c>
      <c r="J2503" s="370"/>
      <c r="K2503" s="370"/>
      <c r="L2503" s="370"/>
      <c r="M2503" s="436">
        <f>TrialBalanceC!I44</f>
        <v>0</v>
      </c>
      <c r="N2503" s="390"/>
      <c r="O2503" s="451">
        <f>TrialBalanceC!K44</f>
        <v>0</v>
      </c>
      <c r="P2503" s="380"/>
      <c r="Q2503" s="389"/>
      <c r="R2503" s="416" t="str">
        <f t="shared" si="190"/>
        <v>DELETE</v>
      </c>
      <c r="S2503" s="422"/>
      <c r="T2503" s="422"/>
      <c r="U2503" s="422"/>
      <c r="V2503" s="422"/>
      <c r="W2503" s="422"/>
      <c r="X2503" s="422"/>
    </row>
    <row r="2504" spans="2:24" ht="31.5" customHeight="1" x14ac:dyDescent="0.45">
      <c r="B2504" s="388"/>
      <c r="C2504" s="369"/>
      <c r="D2504" s="368" t="s">
        <v>733</v>
      </c>
      <c r="J2504" s="370"/>
      <c r="K2504" s="370"/>
      <c r="L2504" s="370"/>
      <c r="M2504" s="436">
        <f>TrialBalanceC!I45</f>
        <v>0</v>
      </c>
      <c r="N2504" s="390"/>
      <c r="O2504" s="451">
        <f>TrialBalanceC!K45</f>
        <v>0</v>
      </c>
      <c r="P2504" s="380"/>
      <c r="Q2504" s="389"/>
      <c r="R2504" s="416" t="str">
        <f t="shared" si="190"/>
        <v>DELETE</v>
      </c>
    </row>
    <row r="2505" spans="2:24" ht="31.5" customHeight="1" x14ac:dyDescent="0.45">
      <c r="B2505" s="388"/>
      <c r="C2505" s="369"/>
      <c r="D2505" s="368" t="s">
        <v>68</v>
      </c>
      <c r="J2505" s="370"/>
      <c r="K2505" s="370"/>
      <c r="L2505" s="370"/>
      <c r="M2505" s="436">
        <f>TrialBalanceC!I46</f>
        <v>0</v>
      </c>
      <c r="N2505" s="390"/>
      <c r="O2505" s="451">
        <f>TrialBalanceC!K46</f>
        <v>0</v>
      </c>
      <c r="P2505" s="380"/>
      <c r="Q2505" s="389"/>
      <c r="R2505" s="416" t="str">
        <f t="shared" si="190"/>
        <v>DELETE</v>
      </c>
    </row>
    <row r="2506" spans="2:24" ht="31.5" customHeight="1" x14ac:dyDescent="0.45">
      <c r="B2506" s="388"/>
      <c r="C2506" s="369"/>
      <c r="D2506" s="368" t="s">
        <v>280</v>
      </c>
      <c r="J2506" s="370"/>
      <c r="K2506" s="370"/>
      <c r="L2506" s="370"/>
      <c r="M2506" s="436">
        <f>TrialBalanceC!I47</f>
        <v>0</v>
      </c>
      <c r="N2506" s="390"/>
      <c r="O2506" s="451">
        <f>TrialBalanceC!K47</f>
        <v>0</v>
      </c>
      <c r="P2506" s="380"/>
      <c r="Q2506" s="389"/>
      <c r="R2506" s="416" t="str">
        <f t="shared" si="190"/>
        <v>DELETE</v>
      </c>
    </row>
    <row r="2507" spans="2:24" ht="31.5" customHeight="1" x14ac:dyDescent="0.45">
      <c r="B2507" s="388"/>
      <c r="C2507" s="369"/>
      <c r="D2507" s="368" t="s">
        <v>518</v>
      </c>
      <c r="J2507" s="370"/>
      <c r="K2507" s="370"/>
      <c r="L2507" s="370"/>
      <c r="M2507" s="436">
        <f>SUM(TrialBalanceC!I48:I49)</f>
        <v>0</v>
      </c>
      <c r="N2507" s="390"/>
      <c r="O2507" s="451">
        <f>SUM(TrialBalanceC!K48:K49)</f>
        <v>0</v>
      </c>
      <c r="P2507" s="380"/>
      <c r="Q2507" s="389"/>
      <c r="R2507" s="416" t="str">
        <f t="shared" si="190"/>
        <v>DELETE</v>
      </c>
    </row>
    <row r="2508" spans="2:24" ht="31.5" customHeight="1" x14ac:dyDescent="0.45">
      <c r="B2508" s="388"/>
      <c r="C2508" s="369"/>
      <c r="D2508" s="368" t="s">
        <v>516</v>
      </c>
      <c r="J2508" s="370"/>
      <c r="K2508" s="370"/>
      <c r="L2508" s="370"/>
      <c r="M2508" s="436">
        <f>TrialBalanceC!I50</f>
        <v>0</v>
      </c>
      <c r="N2508" s="390"/>
      <c r="O2508" s="451">
        <f>TrialBalanceC!K50</f>
        <v>0</v>
      </c>
      <c r="P2508" s="380"/>
      <c r="Q2508" s="389"/>
      <c r="R2508" s="416" t="str">
        <f t="shared" si="190"/>
        <v>DELETE</v>
      </c>
    </row>
    <row r="2509" spans="2:24" ht="31.5" customHeight="1" x14ac:dyDescent="0.45">
      <c r="B2509" s="388"/>
      <c r="C2509" s="369"/>
      <c r="D2509" s="368" t="s">
        <v>502</v>
      </c>
      <c r="J2509" s="370"/>
      <c r="K2509" s="370"/>
      <c r="L2509" s="370"/>
      <c r="M2509" s="436">
        <f>SUM(TrialBalanceC!I52:I56)</f>
        <v>0</v>
      </c>
      <c r="N2509" s="390"/>
      <c r="O2509" s="451">
        <f>SUM(TrialBalanceC!K52:K56)</f>
        <v>0</v>
      </c>
      <c r="P2509" s="380"/>
      <c r="Q2509" s="389"/>
      <c r="R2509" s="416" t="str">
        <f t="shared" si="190"/>
        <v>DELETE</v>
      </c>
    </row>
    <row r="2510" spans="2:24" ht="31.5" customHeight="1" x14ac:dyDescent="0.45">
      <c r="B2510" s="388"/>
      <c r="C2510" s="369"/>
      <c r="D2510" s="368" t="s">
        <v>483</v>
      </c>
      <c r="J2510" s="370"/>
      <c r="K2510" s="370">
        <f>FS!C$715</f>
        <v>6.1999999999999993</v>
      </c>
      <c r="L2510" s="370"/>
      <c r="M2510" s="436">
        <f>SUM(TrialBalanceC!I58:I60)</f>
        <v>0</v>
      </c>
      <c r="N2510" s="390"/>
      <c r="O2510" s="451">
        <f>SUM(TrialBalanceC!K58:K60)</f>
        <v>0</v>
      </c>
      <c r="P2510" s="380"/>
      <c r="Q2510" s="389"/>
      <c r="R2510" s="416" t="str">
        <f t="shared" si="190"/>
        <v>DELETE</v>
      </c>
    </row>
    <row r="2511" spans="2:24" ht="31.5" customHeight="1" x14ac:dyDescent="0.45">
      <c r="B2511" s="388"/>
      <c r="C2511" s="369"/>
      <c r="D2511" s="368" t="s">
        <v>76</v>
      </c>
      <c r="J2511" s="370"/>
      <c r="K2511" s="370"/>
      <c r="L2511" s="370"/>
      <c r="M2511" s="436">
        <f>TrialBalanceC!I61</f>
        <v>0</v>
      </c>
      <c r="N2511" s="390"/>
      <c r="O2511" s="451">
        <f>TrialBalanceC!K61</f>
        <v>0</v>
      </c>
      <c r="P2511" s="380"/>
      <c r="Q2511" s="389"/>
      <c r="R2511" s="416" t="str">
        <f t="shared" si="190"/>
        <v>DELETE</v>
      </c>
    </row>
    <row r="2512" spans="2:24" ht="31.5" customHeight="1" x14ac:dyDescent="0.45">
      <c r="B2512" s="388"/>
      <c r="C2512" s="369"/>
      <c r="D2512" s="368" t="s">
        <v>254</v>
      </c>
      <c r="J2512" s="370"/>
      <c r="K2512" s="370"/>
      <c r="L2512" s="370"/>
      <c r="M2512" s="436">
        <f>SUM(TrialBalanceC!I62:I64)</f>
        <v>0</v>
      </c>
      <c r="N2512" s="390"/>
      <c r="O2512" s="451">
        <f>SUM(TrialBalanceC!K62:K64)</f>
        <v>0</v>
      </c>
      <c r="P2512" s="380"/>
      <c r="Q2512" s="389"/>
      <c r="R2512" s="416" t="str">
        <f t="shared" si="190"/>
        <v>DELETE</v>
      </c>
    </row>
    <row r="2513" spans="2:18" ht="31.5" customHeight="1" x14ac:dyDescent="0.45">
      <c r="B2513" s="388"/>
      <c r="C2513" s="369"/>
      <c r="D2513" s="368" t="s">
        <v>734</v>
      </c>
      <c r="J2513" s="370"/>
      <c r="K2513" s="370"/>
      <c r="L2513" s="370"/>
      <c r="M2513" s="436">
        <f>SUM(TrialBalanceC!I65:I66)</f>
        <v>0</v>
      </c>
      <c r="N2513" s="390"/>
      <c r="O2513" s="451">
        <f>SUM(TrialBalanceC!K65:K66)</f>
        <v>0</v>
      </c>
      <c r="P2513" s="380"/>
      <c r="Q2513" s="389"/>
      <c r="R2513" s="416" t="str">
        <f t="shared" si="190"/>
        <v>DELETE</v>
      </c>
    </row>
    <row r="2514" spans="2:18" ht="31.5" customHeight="1" x14ac:dyDescent="0.45">
      <c r="B2514" s="388"/>
      <c r="C2514" s="369"/>
      <c r="D2514" s="368" t="s">
        <v>255</v>
      </c>
      <c r="J2514" s="370"/>
      <c r="K2514" s="370"/>
      <c r="L2514" s="370"/>
      <c r="M2514" s="436">
        <f>TrialBalanceC!I67</f>
        <v>0</v>
      </c>
      <c r="N2514" s="390"/>
      <c r="O2514" s="451">
        <f>TrialBalanceC!K67</f>
        <v>0</v>
      </c>
      <c r="P2514" s="380"/>
      <c r="Q2514" s="389"/>
      <c r="R2514" s="416" t="str">
        <f t="shared" si="190"/>
        <v>DELETE</v>
      </c>
    </row>
    <row r="2515" spans="2:18" ht="31.5" customHeight="1" x14ac:dyDescent="0.45">
      <c r="B2515" s="388"/>
      <c r="C2515" s="369"/>
      <c r="D2515" s="368" t="s">
        <v>392</v>
      </c>
      <c r="J2515" s="370"/>
      <c r="K2515" s="370"/>
      <c r="L2515" s="370"/>
      <c r="M2515" s="436">
        <f>TrialBalanceC!I68</f>
        <v>0</v>
      </c>
      <c r="N2515" s="390"/>
      <c r="O2515" s="451">
        <f>TrialBalanceC!K68</f>
        <v>0</v>
      </c>
      <c r="P2515" s="380"/>
      <c r="Q2515" s="389"/>
      <c r="R2515" s="416" t="str">
        <f t="shared" si="190"/>
        <v>DELETE</v>
      </c>
    </row>
    <row r="2516" spans="2:18" ht="31.5" customHeight="1" x14ac:dyDescent="0.45">
      <c r="B2516" s="388"/>
      <c r="C2516" s="369"/>
      <c r="D2516" s="368">
        <f>TrialBalanceC!C69</f>
        <v>0</v>
      </c>
      <c r="J2516" s="370"/>
      <c r="K2516" s="370"/>
      <c r="L2516" s="370"/>
      <c r="M2516" s="436">
        <f>TrialBalanceC!I69</f>
        <v>0</v>
      </c>
      <c r="N2516" s="390"/>
      <c r="O2516" s="451">
        <f>TrialBalanceC!K69</f>
        <v>0</v>
      </c>
      <c r="P2516" s="380"/>
      <c r="Q2516" s="389"/>
      <c r="R2516" s="416" t="str">
        <f t="shared" si="190"/>
        <v>DELETE</v>
      </c>
    </row>
    <row r="2517" spans="2:18" ht="31.5" customHeight="1" x14ac:dyDescent="0.45">
      <c r="B2517" s="388"/>
      <c r="C2517" s="369"/>
      <c r="D2517" s="368">
        <f>TrialBalanceC!C70</f>
        <v>0</v>
      </c>
      <c r="J2517" s="370"/>
      <c r="K2517" s="370"/>
      <c r="L2517" s="370"/>
      <c r="M2517" s="436">
        <f>TrialBalanceC!I70</f>
        <v>0</v>
      </c>
      <c r="N2517" s="390"/>
      <c r="O2517" s="451">
        <f>TrialBalanceC!K70</f>
        <v>0</v>
      </c>
      <c r="P2517" s="380"/>
      <c r="Q2517" s="389"/>
      <c r="R2517" s="416" t="str">
        <f t="shared" si="190"/>
        <v>DELETE</v>
      </c>
    </row>
    <row r="2518" spans="2:18" ht="31.5" customHeight="1" x14ac:dyDescent="0.45">
      <c r="B2518" s="388"/>
      <c r="C2518" s="369"/>
      <c r="D2518" s="368">
        <f>TrialBalanceC!C71</f>
        <v>0</v>
      </c>
      <c r="J2518" s="370"/>
      <c r="K2518" s="370"/>
      <c r="L2518" s="370"/>
      <c r="M2518" s="436">
        <f>TrialBalanceC!I71</f>
        <v>0</v>
      </c>
      <c r="N2518" s="390"/>
      <c r="O2518" s="451">
        <f>TrialBalanceC!K71</f>
        <v>0</v>
      </c>
      <c r="P2518" s="380"/>
      <c r="Q2518" s="389"/>
      <c r="R2518" s="416" t="str">
        <f t="shared" si="190"/>
        <v>DELETE</v>
      </c>
    </row>
    <row r="2519" spans="2:18" ht="31.5" customHeight="1" x14ac:dyDescent="0.45">
      <c r="B2519" s="388"/>
      <c r="C2519" s="369"/>
      <c r="D2519" s="368">
        <f>TrialBalanceC!C72</f>
        <v>0</v>
      </c>
      <c r="J2519" s="370"/>
      <c r="K2519" s="370"/>
      <c r="L2519" s="370"/>
      <c r="M2519" s="436">
        <f>TrialBalanceC!I72</f>
        <v>0</v>
      </c>
      <c r="N2519" s="390"/>
      <c r="O2519" s="451">
        <f>TrialBalanceC!K72</f>
        <v>0</v>
      </c>
      <c r="P2519" s="380"/>
      <c r="Q2519" s="389"/>
      <c r="R2519" s="416" t="str">
        <f t="shared" si="190"/>
        <v>DELETE</v>
      </c>
    </row>
    <row r="2520" spans="2:18" ht="31.5" customHeight="1" x14ac:dyDescent="0.45">
      <c r="B2520" s="388"/>
      <c r="C2520" s="369"/>
      <c r="D2520" s="368">
        <f>TrialBalanceC!C73</f>
        <v>0</v>
      </c>
      <c r="J2520" s="370"/>
      <c r="K2520" s="370"/>
      <c r="L2520" s="370"/>
      <c r="M2520" s="436">
        <f>TrialBalanceC!I73</f>
        <v>0</v>
      </c>
      <c r="N2520" s="390"/>
      <c r="O2520" s="451">
        <f>TrialBalanceC!K73</f>
        <v>0</v>
      </c>
      <c r="P2520" s="380"/>
      <c r="Q2520" s="389"/>
      <c r="R2520" s="416" t="str">
        <f t="shared" si="190"/>
        <v>DELETE</v>
      </c>
    </row>
    <row r="2521" spans="2:18" ht="31.5" customHeight="1" x14ac:dyDescent="0.45">
      <c r="B2521" s="388"/>
      <c r="C2521" s="369"/>
      <c r="D2521" s="368">
        <f>TrialBalanceC!C74</f>
        <v>0</v>
      </c>
      <c r="J2521" s="370"/>
      <c r="K2521" s="370"/>
      <c r="L2521" s="370"/>
      <c r="M2521" s="436">
        <f>TrialBalanceC!I74</f>
        <v>0</v>
      </c>
      <c r="N2521" s="390"/>
      <c r="O2521" s="451">
        <f>TrialBalanceC!K74</f>
        <v>0</v>
      </c>
      <c r="P2521" s="380"/>
      <c r="Q2521" s="389"/>
      <c r="R2521" s="416" t="str">
        <f t="shared" si="190"/>
        <v>DELETE</v>
      </c>
    </row>
    <row r="2522" spans="2:18" ht="31.5" customHeight="1" x14ac:dyDescent="0.45">
      <c r="B2522" s="388"/>
      <c r="C2522" s="369"/>
      <c r="D2522" s="368">
        <f>TrialBalanceC!C75</f>
        <v>0</v>
      </c>
      <c r="J2522" s="370"/>
      <c r="K2522" s="370"/>
      <c r="L2522" s="370"/>
      <c r="M2522" s="436">
        <f>TrialBalanceC!I75</f>
        <v>0</v>
      </c>
      <c r="N2522" s="390"/>
      <c r="O2522" s="451">
        <f>TrialBalanceC!K75</f>
        <v>0</v>
      </c>
      <c r="P2522" s="380"/>
      <c r="Q2522" s="389"/>
      <c r="R2522" s="416" t="str">
        <f t="shared" si="190"/>
        <v>DELETE</v>
      </c>
    </row>
    <row r="2523" spans="2:18" ht="31.5" customHeight="1" x14ac:dyDescent="0.45">
      <c r="B2523" s="388"/>
      <c r="C2523" s="369"/>
      <c r="D2523" s="368">
        <f>TrialBalanceC!C76</f>
        <v>0</v>
      </c>
      <c r="J2523" s="370"/>
      <c r="K2523" s="370"/>
      <c r="L2523" s="370"/>
      <c r="M2523" s="436">
        <f>TrialBalanceC!I76</f>
        <v>0</v>
      </c>
      <c r="N2523" s="390"/>
      <c r="O2523" s="451">
        <f>TrialBalanceC!K76</f>
        <v>0</v>
      </c>
      <c r="P2523" s="380"/>
      <c r="Q2523" s="389"/>
      <c r="R2523" s="416" t="str">
        <f t="shared" si="190"/>
        <v>DELETE</v>
      </c>
    </row>
    <row r="2524" spans="2:18" ht="31.5" customHeight="1" x14ac:dyDescent="0.45">
      <c r="B2524" s="388"/>
      <c r="C2524" s="369"/>
      <c r="D2524" s="368">
        <f>TrialBalanceC!C77</f>
        <v>0</v>
      </c>
      <c r="J2524" s="370"/>
      <c r="K2524" s="370"/>
      <c r="L2524" s="370"/>
      <c r="M2524" s="436">
        <f>TrialBalanceC!I77</f>
        <v>0</v>
      </c>
      <c r="N2524" s="390"/>
      <c r="O2524" s="451">
        <f>TrialBalanceC!K77</f>
        <v>0</v>
      </c>
      <c r="P2524" s="380"/>
      <c r="Q2524" s="389"/>
      <c r="R2524" s="416" t="str">
        <f t="shared" si="190"/>
        <v>DELETE</v>
      </c>
    </row>
    <row r="2525" spans="2:18" ht="31.5" customHeight="1" x14ac:dyDescent="0.45">
      <c r="B2525" s="388"/>
      <c r="C2525" s="369"/>
      <c r="D2525" s="368">
        <f>TrialBalanceC!C78</f>
        <v>0</v>
      </c>
      <c r="J2525" s="370"/>
      <c r="K2525" s="370"/>
      <c r="L2525" s="370"/>
      <c r="M2525" s="436">
        <f>TrialBalanceC!I78</f>
        <v>0</v>
      </c>
      <c r="N2525" s="390"/>
      <c r="O2525" s="451">
        <f>TrialBalanceC!K78</f>
        <v>0</v>
      </c>
      <c r="P2525" s="380"/>
      <c r="Q2525" s="389"/>
      <c r="R2525" s="416" t="str">
        <f t="shared" si="190"/>
        <v>DELETE</v>
      </c>
    </row>
    <row r="2526" spans="2:18" ht="9" customHeight="1" x14ac:dyDescent="0.45">
      <c r="B2526" s="388"/>
      <c r="C2526" s="369"/>
      <c r="J2526" s="370"/>
      <c r="K2526" s="370"/>
      <c r="L2526" s="370"/>
      <c r="M2526" s="437"/>
      <c r="N2526" s="392"/>
      <c r="O2526" s="452"/>
      <c r="P2526" s="380"/>
      <c r="Q2526" s="389"/>
      <c r="R2526" s="416" t="str">
        <f>R2496</f>
        <v>DELETE</v>
      </c>
    </row>
    <row r="2527" spans="2:18" ht="9" customHeight="1" x14ac:dyDescent="0.45">
      <c r="B2527" s="388"/>
      <c r="C2527" s="369"/>
      <c r="J2527" s="370"/>
      <c r="K2527" s="370"/>
      <c r="L2527" s="370"/>
      <c r="M2527" s="438"/>
      <c r="N2527" s="392"/>
      <c r="O2527" s="438"/>
      <c r="P2527" s="380"/>
      <c r="Q2527" s="389"/>
      <c r="R2527" s="416" t="str">
        <f t="shared" ref="R2527:R2547" si="191">R$2450</f>
        <v>DELETE</v>
      </c>
    </row>
    <row r="2528" spans="2:18" ht="9" customHeight="1" x14ac:dyDescent="0.45">
      <c r="B2528" s="388"/>
      <c r="C2528" s="369"/>
      <c r="J2528" s="370"/>
      <c r="K2528" s="370"/>
      <c r="L2528" s="370"/>
      <c r="M2528" s="434"/>
      <c r="N2528" s="390"/>
      <c r="O2528" s="434"/>
      <c r="P2528" s="380"/>
      <c r="Q2528" s="389"/>
      <c r="R2528" s="416" t="str">
        <f t="shared" si="191"/>
        <v>DELETE</v>
      </c>
    </row>
    <row r="2529" spans="2:26" ht="31.5" customHeight="1" x14ac:dyDescent="0.45">
      <c r="B2529" s="388"/>
      <c r="C2529" s="411" t="str">
        <f>IF((Y2529+Z2529)=3,"OPERATING PROFIT/(LOSS)",(IF((Y2529+Z2529=4),"OPERATING PROFIT","OPERATING LOSS")))</f>
        <v>OPERATING PROFIT</v>
      </c>
      <c r="J2529" s="370"/>
      <c r="K2529" s="370"/>
      <c r="L2529" s="370"/>
      <c r="M2529" s="434">
        <f>SUM(S2462:S2527)</f>
        <v>0</v>
      </c>
      <c r="N2529" s="390"/>
      <c r="O2529" s="434">
        <f>SUM(U2462:U2527)</f>
        <v>0</v>
      </c>
      <c r="P2529" s="380"/>
      <c r="Q2529" s="389"/>
      <c r="R2529" s="416" t="str">
        <f t="shared" si="191"/>
        <v>DELETE</v>
      </c>
      <c r="Y2529" s="417">
        <f>IF(M2529&lt;0,1,IF(M2529=0,IF(O2529&lt;0,1,2),2))</f>
        <v>2</v>
      </c>
      <c r="Z2529" s="417">
        <f>IF(O2529&lt;0,1,IF(O2529=0,IF(M2529&lt;0,1,2),2))</f>
        <v>2</v>
      </c>
    </row>
    <row r="2530" spans="2:26" ht="31.5" customHeight="1" x14ac:dyDescent="0.45">
      <c r="B2530" s="388"/>
      <c r="C2530" s="369"/>
      <c r="D2530" s="368" t="s">
        <v>257</v>
      </c>
      <c r="J2530" s="370"/>
      <c r="K2530" s="370"/>
      <c r="L2530" s="370"/>
      <c r="M2530" s="434"/>
      <c r="N2530" s="390"/>
      <c r="O2530" s="434"/>
      <c r="P2530" s="380"/>
      <c r="Q2530" s="389"/>
      <c r="R2530" s="416" t="str">
        <f t="shared" si="191"/>
        <v>DELETE</v>
      </c>
    </row>
    <row r="2531" spans="2:26" ht="31.5" customHeight="1" x14ac:dyDescent="0.45">
      <c r="B2531" s="388"/>
      <c r="C2531" s="369"/>
      <c r="J2531" s="370"/>
      <c r="K2531" s="370"/>
      <c r="L2531" s="370"/>
      <c r="M2531" s="434"/>
      <c r="N2531" s="390"/>
      <c r="O2531" s="434"/>
      <c r="P2531" s="380"/>
      <c r="Q2531" s="389"/>
      <c r="R2531" s="416" t="str">
        <f t="shared" si="191"/>
        <v>DELETE</v>
      </c>
    </row>
    <row r="2532" spans="2:26" ht="31.5" customHeight="1" x14ac:dyDescent="0.45">
      <c r="B2532" s="388"/>
      <c r="C2532" s="369"/>
      <c r="J2532" s="370"/>
      <c r="K2532" s="370"/>
      <c r="L2532" s="370"/>
      <c r="M2532" s="434"/>
      <c r="N2532" s="390"/>
      <c r="O2532" s="434"/>
      <c r="P2532" s="380"/>
      <c r="Q2532" s="389"/>
      <c r="R2532" s="416" t="str">
        <f t="shared" si="191"/>
        <v>DELETE</v>
      </c>
    </row>
    <row r="2533" spans="2:26" ht="31.5" customHeight="1" x14ac:dyDescent="0.45">
      <c r="B2533" s="396"/>
      <c r="C2533" s="407"/>
      <c r="D2533" s="383"/>
      <c r="E2533" s="383"/>
      <c r="F2533" s="383"/>
      <c r="G2533" s="383"/>
      <c r="H2533" s="383"/>
      <c r="I2533" s="383"/>
      <c r="J2533" s="403"/>
      <c r="K2533" s="403"/>
      <c r="L2533" s="403"/>
      <c r="M2533" s="438"/>
      <c r="N2533" s="392"/>
      <c r="O2533" s="438"/>
      <c r="P2533" s="404"/>
      <c r="Q2533" s="398"/>
      <c r="R2533" s="416" t="str">
        <f t="shared" si="191"/>
        <v>DELETE</v>
      </c>
    </row>
    <row r="2534" spans="2:26" ht="31.5" customHeight="1" x14ac:dyDescent="0.45">
      <c r="C2534" s="369"/>
      <c r="J2534" s="370"/>
      <c r="K2534" s="370"/>
      <c r="L2534" s="370"/>
      <c r="M2534" s="434"/>
      <c r="N2534" s="390"/>
      <c r="O2534" s="434"/>
      <c r="P2534" s="380"/>
      <c r="R2534" s="416" t="str">
        <f t="shared" si="191"/>
        <v>DELETE</v>
      </c>
    </row>
    <row r="2535" spans="2:26" ht="31.5" customHeight="1" x14ac:dyDescent="0.45">
      <c r="C2535" s="369"/>
      <c r="J2535" s="370"/>
      <c r="K2535" s="370"/>
      <c r="L2535" s="370"/>
      <c r="M2535" s="434"/>
      <c r="N2535" s="390"/>
      <c r="O2535" s="434"/>
      <c r="P2535" s="380"/>
      <c r="R2535" s="416" t="str">
        <f t="shared" si="191"/>
        <v>DELETE</v>
      </c>
    </row>
    <row r="2536" spans="2:26" ht="31.5" customHeight="1" x14ac:dyDescent="0.45">
      <c r="C2536" s="369"/>
      <c r="D2536" s="369" t="str">
        <f>Criteria!E9</f>
        <v>ABC TRUST</v>
      </c>
      <c r="J2536" s="370"/>
      <c r="K2536" s="370"/>
      <c r="L2536" s="370"/>
      <c r="M2536" s="434"/>
      <c r="N2536" s="390"/>
      <c r="O2536" s="434" t="s">
        <v>105</v>
      </c>
      <c r="P2536" s="380"/>
      <c r="Q2536" s="370">
        <f>MAX($Q$2453:Q2535)+1</f>
        <v>2</v>
      </c>
      <c r="R2536" s="416" t="str">
        <f t="shared" si="191"/>
        <v>DELETE</v>
      </c>
    </row>
    <row r="2537" spans="2:26" ht="31.5" customHeight="1" x14ac:dyDescent="0.45">
      <c r="C2537" s="369"/>
      <c r="D2537" s="369" t="str">
        <f>CONCATENATE("T/A ",Criteria!E16)</f>
        <v xml:space="preserve">T/A </v>
      </c>
      <c r="J2537" s="370"/>
      <c r="K2537" s="370"/>
      <c r="L2537" s="370"/>
      <c r="M2537" s="434"/>
      <c r="N2537" s="390"/>
      <c r="O2537" s="434"/>
      <c r="P2537" s="380"/>
      <c r="R2537" s="416" t="str">
        <f t="shared" si="191"/>
        <v>DELETE</v>
      </c>
    </row>
    <row r="2538" spans="2:26" ht="31.5" customHeight="1" x14ac:dyDescent="0.45">
      <c r="C2538" s="369"/>
      <c r="J2538" s="370"/>
      <c r="K2538" s="370"/>
      <c r="L2538" s="370"/>
      <c r="M2538" s="434"/>
      <c r="N2538" s="390"/>
      <c r="O2538" s="434"/>
      <c r="P2538" s="380"/>
      <c r="R2538" s="416" t="str">
        <f t="shared" si="191"/>
        <v>DELETE</v>
      </c>
    </row>
    <row r="2539" spans="2:26" ht="31.5" customHeight="1" x14ac:dyDescent="0.45">
      <c r="C2539" s="369"/>
      <c r="D2539" s="369" t="s">
        <v>100</v>
      </c>
      <c r="J2539" s="370"/>
      <c r="K2539" s="370"/>
      <c r="L2539" s="370"/>
      <c r="M2539" s="434"/>
      <c r="N2539" s="390"/>
      <c r="O2539" s="434"/>
      <c r="P2539" s="380"/>
      <c r="R2539" s="416" t="str">
        <f t="shared" si="191"/>
        <v>DELETE</v>
      </c>
    </row>
    <row r="2540" spans="2:26" ht="31.5" customHeight="1" x14ac:dyDescent="0.45">
      <c r="C2540" s="369"/>
      <c r="D2540" s="369" t="str">
        <f>D2457</f>
        <v>29 FEBRUARY 2024</v>
      </c>
      <c r="H2540" s="368" t="s">
        <v>111</v>
      </c>
      <c r="J2540" s="370"/>
      <c r="K2540" s="370"/>
      <c r="L2540" s="370"/>
      <c r="M2540" s="434"/>
      <c r="N2540" s="390"/>
      <c r="O2540" s="434"/>
      <c r="P2540" s="380"/>
      <c r="R2540" s="416" t="str">
        <f t="shared" si="191"/>
        <v>DELETE</v>
      </c>
    </row>
    <row r="2541" spans="2:26" ht="31.5" customHeight="1" x14ac:dyDescent="0.45">
      <c r="C2541" s="369"/>
      <c r="J2541" s="370"/>
      <c r="K2541" s="403"/>
      <c r="L2541" s="403"/>
      <c r="M2541" s="438"/>
      <c r="N2541" s="392"/>
      <c r="O2541" s="438"/>
      <c r="P2541" s="380"/>
      <c r="R2541" s="416" t="str">
        <f t="shared" si="191"/>
        <v>DELETE</v>
      </c>
    </row>
    <row r="2542" spans="2:26" ht="31.5" customHeight="1" x14ac:dyDescent="0.45">
      <c r="B2542" s="385"/>
      <c r="C2542" s="410"/>
      <c r="D2542" s="386"/>
      <c r="E2542" s="386"/>
      <c r="F2542" s="386"/>
      <c r="G2542" s="386"/>
      <c r="H2542" s="386"/>
      <c r="I2542" s="386"/>
      <c r="J2542" s="413"/>
      <c r="M2542" s="479"/>
      <c r="N2542" s="469"/>
      <c r="O2542" s="479"/>
      <c r="P2542" s="406"/>
      <c r="Q2542" s="387"/>
      <c r="R2542" s="416" t="str">
        <f t="shared" si="191"/>
        <v>DELETE</v>
      </c>
    </row>
    <row r="2543" spans="2:26" ht="31.5" customHeight="1" x14ac:dyDescent="0.45">
      <c r="B2543" s="388"/>
      <c r="C2543" s="369"/>
      <c r="J2543" s="370"/>
      <c r="K2543" s="370"/>
      <c r="L2543" s="370"/>
      <c r="M2543" s="430">
        <f>Criteria!E22</f>
        <v>2024</v>
      </c>
      <c r="N2543" s="379"/>
      <c r="O2543" s="430">
        <f>Criteria!E27</f>
        <v>2023</v>
      </c>
      <c r="P2543" s="380"/>
      <c r="Q2543" s="389"/>
      <c r="R2543" s="416" t="str">
        <f t="shared" si="191"/>
        <v>DELETE</v>
      </c>
    </row>
    <row r="2544" spans="2:26" ht="31.5" customHeight="1" x14ac:dyDescent="0.45">
      <c r="B2544" s="388"/>
      <c r="C2544" s="369"/>
      <c r="J2544" s="370"/>
      <c r="K2544" s="370"/>
      <c r="L2544" s="370"/>
      <c r="M2544" s="434"/>
      <c r="N2544" s="390"/>
      <c r="O2544" s="434"/>
      <c r="P2544" s="380"/>
      <c r="Q2544" s="389"/>
      <c r="R2544" s="416" t="str">
        <f t="shared" si="191"/>
        <v>DELETE</v>
      </c>
    </row>
    <row r="2545" spans="2:26" ht="31.5" customHeight="1" x14ac:dyDescent="0.45">
      <c r="B2545" s="388"/>
      <c r="C2545" s="411" t="str">
        <f>IF((Y2545+Z2545)=3,"OPERATING PROFIT/(LOSS)",(IF((Y2545+Z2545=4),"OPERATING PROFIT","OPERATING LOSS")))</f>
        <v>OPERATING PROFIT</v>
      </c>
      <c r="J2545" s="370"/>
      <c r="K2545" s="370"/>
      <c r="L2545" s="370"/>
      <c r="M2545" s="434">
        <f>SUM(S2462:S2526)</f>
        <v>0</v>
      </c>
      <c r="N2545" s="390"/>
      <c r="O2545" s="434">
        <f>SUM(U2462:U2526)</f>
        <v>0</v>
      </c>
      <c r="P2545" s="380"/>
      <c r="Q2545" s="389"/>
      <c r="R2545" s="416" t="str">
        <f t="shared" si="191"/>
        <v>DELETE</v>
      </c>
      <c r="V2545" s="417" t="b">
        <f>M2545=M2529</f>
        <v>1</v>
      </c>
      <c r="X2545" s="417" t="b">
        <f>O2545=O2529</f>
        <v>1</v>
      </c>
      <c r="Y2545" s="417">
        <f>IF(M2545&lt;0,1,IF(M2545=0,IF(O2545&lt;0,1,2),2))</f>
        <v>2</v>
      </c>
      <c r="Z2545" s="417">
        <f>IF(O2545&lt;0,1,IF(O2545=0,IF(M2545&lt;0,1,2),2))</f>
        <v>2</v>
      </c>
    </row>
    <row r="2546" spans="2:26" ht="31.5" customHeight="1" x14ac:dyDescent="0.45">
      <c r="B2546" s="388"/>
      <c r="C2546" s="369"/>
      <c r="D2546" s="368" t="s">
        <v>258</v>
      </c>
      <c r="J2546" s="370"/>
      <c r="K2546" s="370"/>
      <c r="L2546" s="370"/>
      <c r="M2546" s="434"/>
      <c r="N2546" s="390"/>
      <c r="O2546" s="434"/>
      <c r="P2546" s="380"/>
      <c r="Q2546" s="389"/>
      <c r="R2546" s="416" t="str">
        <f t="shared" si="191"/>
        <v>DELETE</v>
      </c>
    </row>
    <row r="2547" spans="2:26" ht="31.5" customHeight="1" x14ac:dyDescent="0.45">
      <c r="B2547" s="388"/>
      <c r="C2547" s="369"/>
      <c r="J2547" s="370"/>
      <c r="K2547" s="370"/>
      <c r="L2547" s="370"/>
      <c r="M2547" s="434"/>
      <c r="N2547" s="390"/>
      <c r="O2547" s="434"/>
      <c r="P2547" s="380"/>
      <c r="Q2547" s="389"/>
      <c r="R2547" s="416" t="str">
        <f t="shared" si="191"/>
        <v>DELETE</v>
      </c>
    </row>
    <row r="2548" spans="2:26" ht="31.5" customHeight="1" x14ac:dyDescent="0.45">
      <c r="B2548" s="388"/>
      <c r="C2548" s="369" t="s">
        <v>1045</v>
      </c>
      <c r="J2548" s="370"/>
      <c r="K2548" s="370"/>
      <c r="L2548" s="370"/>
      <c r="M2548" s="434">
        <f>SUM(M2551:M2583)</f>
        <v>0</v>
      </c>
      <c r="N2548" s="390"/>
      <c r="O2548" s="434">
        <f>SUM(O2551:O2583)</f>
        <v>0</v>
      </c>
      <c r="P2548" s="380"/>
      <c r="Q2548" s="389"/>
      <c r="R2548" s="416" t="str">
        <f t="shared" ref="R2548" si="192">IF(R$2450="DELETE","DELETE",IF(M2548+O2548=0,"DELETE"," "))</f>
        <v>DELETE</v>
      </c>
      <c r="S2548" s="421">
        <f>-M2548</f>
        <v>0</v>
      </c>
      <c r="T2548" s="421"/>
      <c r="U2548" s="421">
        <f>-O2548</f>
        <v>0</v>
      </c>
      <c r="V2548" s="421"/>
      <c r="W2548" s="421"/>
      <c r="X2548" s="421"/>
    </row>
    <row r="2549" spans="2:26" ht="9" customHeight="1" x14ac:dyDescent="0.45">
      <c r="B2549" s="388"/>
      <c r="C2549" s="369"/>
      <c r="J2549" s="370"/>
      <c r="K2549" s="370"/>
      <c r="L2549" s="370"/>
      <c r="M2549" s="434"/>
      <c r="N2549" s="390"/>
      <c r="O2549" s="434"/>
      <c r="P2549" s="380"/>
      <c r="Q2549" s="389"/>
      <c r="R2549" s="416" t="str">
        <f>R2548</f>
        <v>DELETE</v>
      </c>
    </row>
    <row r="2550" spans="2:26" ht="9" customHeight="1" x14ac:dyDescent="0.45">
      <c r="B2550" s="388"/>
      <c r="C2550" s="369"/>
      <c r="J2550" s="370"/>
      <c r="K2550" s="370"/>
      <c r="L2550" s="370"/>
      <c r="M2550" s="435"/>
      <c r="N2550" s="391"/>
      <c r="O2550" s="450"/>
      <c r="P2550" s="380"/>
      <c r="Q2550" s="389"/>
      <c r="R2550" s="416" t="str">
        <f>R2549</f>
        <v>DELETE</v>
      </c>
    </row>
    <row r="2551" spans="2:26" ht="31.5" customHeight="1" x14ac:dyDescent="0.45">
      <c r="B2551" s="388"/>
      <c r="C2551" s="369"/>
      <c r="D2551" s="368" t="s">
        <v>218</v>
      </c>
      <c r="J2551" s="370"/>
      <c r="K2551" s="370"/>
      <c r="L2551" s="370"/>
      <c r="M2551" s="436">
        <f>SUM(TrialBalanceC!I85:I88)</f>
        <v>0</v>
      </c>
      <c r="N2551" s="390"/>
      <c r="O2551" s="451">
        <f>SUM(TrialBalanceC!K85:K88)</f>
        <v>0</v>
      </c>
      <c r="P2551" s="380"/>
      <c r="Q2551" s="389"/>
      <c r="R2551" s="416" t="str">
        <f t="shared" ref="R2551:R2581" si="193">IF(R$2450="DELETE","DELETE",IF(M2551+O2551=0,"DELETE"," "))</f>
        <v>DELETE</v>
      </c>
    </row>
    <row r="2552" spans="2:26" ht="31.5" customHeight="1" x14ac:dyDescent="0.45">
      <c r="B2552" s="388"/>
      <c r="C2552" s="369"/>
      <c r="D2552" s="368" t="s">
        <v>222</v>
      </c>
      <c r="J2552" s="370"/>
      <c r="K2552" s="370"/>
      <c r="L2552" s="370"/>
      <c r="M2552" s="436">
        <f>TrialBalanceC!I90</f>
        <v>0</v>
      </c>
      <c r="N2552" s="390"/>
      <c r="O2552" s="451">
        <f>TrialBalanceC!K90</f>
        <v>0</v>
      </c>
      <c r="P2552" s="380"/>
      <c r="Q2552" s="389"/>
      <c r="R2552" s="416" t="str">
        <f>IF(R$2450="DELETE","DELETE",IF(M2552+O2552=0,"DELETE"," "))</f>
        <v>DELETE</v>
      </c>
    </row>
    <row r="2553" spans="2:26" ht="31.5" customHeight="1" x14ac:dyDescent="0.45">
      <c r="B2553" s="388"/>
      <c r="C2553" s="369"/>
      <c r="D2553" s="368" t="s">
        <v>220</v>
      </c>
      <c r="J2553" s="370"/>
      <c r="K2553" s="370"/>
      <c r="L2553" s="370"/>
      <c r="M2553" s="436">
        <f>TrialBalanceC!I89</f>
        <v>0</v>
      </c>
      <c r="N2553" s="390"/>
      <c r="O2553" s="451">
        <f>TrialBalanceC!K89</f>
        <v>0</v>
      </c>
      <c r="P2553" s="380"/>
      <c r="Q2553" s="389"/>
      <c r="R2553" s="416" t="str">
        <f>IF(R$2450="DELETE","DELETE",IF(M2553+O2553=0,"DELETE"," "))</f>
        <v>DELETE</v>
      </c>
    </row>
    <row r="2554" spans="2:26" ht="31.5" customHeight="1" x14ac:dyDescent="0.45">
      <c r="B2554" s="388"/>
      <c r="C2554" s="369"/>
      <c r="D2554" s="368" t="s">
        <v>259</v>
      </c>
      <c r="J2554" s="370"/>
      <c r="K2554" s="370"/>
      <c r="L2554" s="370"/>
      <c r="M2554" s="436">
        <f>TrialBalanceC!I91</f>
        <v>0</v>
      </c>
      <c r="N2554" s="390"/>
      <c r="O2554" s="451">
        <f>TrialBalanceC!K91</f>
        <v>0</v>
      </c>
      <c r="P2554" s="380"/>
      <c r="Q2554" s="389"/>
      <c r="R2554" s="416" t="str">
        <f t="shared" si="193"/>
        <v>DELETE</v>
      </c>
    </row>
    <row r="2555" spans="2:26" ht="31.5" customHeight="1" x14ac:dyDescent="0.45">
      <c r="B2555" s="388"/>
      <c r="C2555" s="369"/>
      <c r="D2555" s="368" t="s">
        <v>225</v>
      </c>
      <c r="J2555" s="370"/>
      <c r="K2555" s="370"/>
      <c r="L2555" s="370"/>
      <c r="M2555" s="436">
        <f>TrialBalanceC!I92</f>
        <v>0</v>
      </c>
      <c r="N2555" s="390"/>
      <c r="O2555" s="451">
        <f>TrialBalanceC!K92</f>
        <v>0</v>
      </c>
      <c r="P2555" s="380"/>
      <c r="Q2555" s="389"/>
      <c r="R2555" s="416" t="str">
        <f t="shared" si="193"/>
        <v>DELETE</v>
      </c>
    </row>
    <row r="2556" spans="2:26" ht="31.5" customHeight="1" x14ac:dyDescent="0.45">
      <c r="B2556" s="388"/>
      <c r="C2556" s="369"/>
      <c r="D2556" s="368" t="s">
        <v>735</v>
      </c>
      <c r="J2556" s="370"/>
      <c r="K2556" s="370"/>
      <c r="L2556" s="370"/>
      <c r="M2556" s="436">
        <f>TrialBalanceC!I93</f>
        <v>0</v>
      </c>
      <c r="N2556" s="390"/>
      <c r="O2556" s="451">
        <f>TrialBalanceC!K93</f>
        <v>0</v>
      </c>
      <c r="P2556" s="380"/>
      <c r="Q2556" s="389"/>
      <c r="R2556" s="416" t="str">
        <f t="shared" si="193"/>
        <v>DELETE</v>
      </c>
    </row>
    <row r="2557" spans="2:26" ht="31.5" customHeight="1" x14ac:dyDescent="0.45">
      <c r="B2557" s="388"/>
      <c r="C2557" s="369"/>
      <c r="D2557" s="368" t="s">
        <v>279</v>
      </c>
      <c r="J2557" s="370"/>
      <c r="K2557" s="370">
        <f>C$747</f>
        <v>6.2999999999999989</v>
      </c>
      <c r="L2557" s="370"/>
      <c r="M2557" s="436">
        <f>SUM(TrialBalanceC!I95:I96)</f>
        <v>0</v>
      </c>
      <c r="N2557" s="390"/>
      <c r="O2557" s="451">
        <f>SUM(TrialBalanceC!K95:K96)</f>
        <v>0</v>
      </c>
      <c r="P2557" s="380"/>
      <c r="Q2557" s="389"/>
      <c r="R2557" s="416" t="str">
        <f t="shared" si="193"/>
        <v>DELETE</v>
      </c>
    </row>
    <row r="2558" spans="2:26" ht="31.5" customHeight="1" x14ac:dyDescent="0.45">
      <c r="B2558" s="388"/>
      <c r="C2558" s="369"/>
      <c r="D2558" s="368" t="s">
        <v>260</v>
      </c>
      <c r="J2558" s="370"/>
      <c r="K2558" s="370"/>
      <c r="L2558" s="370"/>
      <c r="M2558" s="436">
        <f>TrialBalanceC!I103</f>
        <v>0</v>
      </c>
      <c r="N2558" s="390"/>
      <c r="O2558" s="451">
        <f>TrialBalanceC!K103</f>
        <v>0</v>
      </c>
      <c r="P2558" s="380"/>
      <c r="Q2558" s="389"/>
      <c r="R2558" s="416" t="str">
        <f t="shared" si="193"/>
        <v>DELETE</v>
      </c>
    </row>
    <row r="2559" spans="2:26" ht="31.5" customHeight="1" x14ac:dyDescent="0.45">
      <c r="B2559" s="388"/>
      <c r="C2559" s="369"/>
      <c r="D2559" s="368" t="s">
        <v>375</v>
      </c>
      <c r="J2559" s="370"/>
      <c r="K2559" s="370"/>
      <c r="L2559" s="370"/>
      <c r="M2559" s="436">
        <f>TrialBalanceC!I104</f>
        <v>0</v>
      </c>
      <c r="N2559" s="390"/>
      <c r="O2559" s="451">
        <f>TrialBalanceC!K104</f>
        <v>0</v>
      </c>
      <c r="P2559" s="380"/>
      <c r="Q2559" s="389"/>
      <c r="R2559" s="416" t="str">
        <f t="shared" si="193"/>
        <v>DELETE</v>
      </c>
    </row>
    <row r="2560" spans="2:26" ht="31.5" customHeight="1" x14ac:dyDescent="0.45">
      <c r="B2560" s="388"/>
      <c r="C2560" s="369"/>
      <c r="D2560" s="368" t="s">
        <v>326</v>
      </c>
      <c r="J2560" s="370"/>
      <c r="K2560" s="370"/>
      <c r="L2560" s="370"/>
      <c r="M2560" s="436">
        <f>TrialBalanceC!I105</f>
        <v>0</v>
      </c>
      <c r="N2560" s="390"/>
      <c r="O2560" s="451">
        <f>TrialBalanceC!K105</f>
        <v>0</v>
      </c>
      <c r="P2560" s="380"/>
      <c r="Q2560" s="389"/>
      <c r="R2560" s="416" t="str">
        <f t="shared" si="193"/>
        <v>DELETE</v>
      </c>
    </row>
    <row r="2561" spans="2:18" ht="31.5" customHeight="1" x14ac:dyDescent="0.45">
      <c r="B2561" s="388"/>
      <c r="C2561" s="369"/>
      <c r="D2561" s="368" t="s">
        <v>377</v>
      </c>
      <c r="J2561" s="370"/>
      <c r="K2561" s="370"/>
      <c r="L2561" s="370"/>
      <c r="M2561" s="436">
        <f>TrialBalanceC!I106</f>
        <v>0</v>
      </c>
      <c r="N2561" s="390"/>
      <c r="O2561" s="451">
        <f>TrialBalanceC!K106</f>
        <v>0</v>
      </c>
      <c r="P2561" s="380"/>
      <c r="Q2561" s="389"/>
      <c r="R2561" s="416" t="str">
        <f t="shared" si="193"/>
        <v>DELETE</v>
      </c>
    </row>
    <row r="2562" spans="2:18" ht="31.5" customHeight="1" x14ac:dyDescent="0.45">
      <c r="B2562" s="388"/>
      <c r="C2562" s="369"/>
      <c r="D2562" s="368" t="s">
        <v>1081</v>
      </c>
      <c r="J2562" s="370"/>
      <c r="K2562" s="370"/>
      <c r="L2562" s="370"/>
      <c r="M2562" s="436">
        <f>IF(TrialBalanceC!I141&gt;0,TrialBalanceC!I141,0)</f>
        <v>0</v>
      </c>
      <c r="N2562" s="390"/>
      <c r="O2562" s="451">
        <f>IF(TrialBalanceC!K141&gt;0,TrialBalanceC!K141,0)</f>
        <v>0</v>
      </c>
      <c r="P2562" s="380"/>
      <c r="Q2562" s="389"/>
      <c r="R2562" s="416" t="str">
        <f>IF(R$2450="DELETE","DELETE",IF(M2562+O2562=0,"DELETE"," "))</f>
        <v>DELETE</v>
      </c>
    </row>
    <row r="2563" spans="2:18" ht="31.5" customHeight="1" x14ac:dyDescent="0.45">
      <c r="B2563" s="388"/>
      <c r="C2563" s="369"/>
      <c r="D2563" s="368" t="s">
        <v>496</v>
      </c>
      <c r="J2563" s="370"/>
      <c r="K2563" s="370"/>
      <c r="L2563" s="370"/>
      <c r="M2563" s="436">
        <f>TrialBalanceC!I107+TrialBalanceC!I108</f>
        <v>0</v>
      </c>
      <c r="N2563" s="390"/>
      <c r="O2563" s="451">
        <f>TrialBalanceC!K107+TrialBalanceC!K108</f>
        <v>0</v>
      </c>
      <c r="P2563" s="380"/>
      <c r="Q2563" s="389"/>
      <c r="R2563" s="416" t="str">
        <f t="shared" si="193"/>
        <v>DELETE</v>
      </c>
    </row>
    <row r="2564" spans="2:18" ht="31.5" customHeight="1" x14ac:dyDescent="0.45">
      <c r="B2564" s="388"/>
      <c r="C2564" s="369"/>
      <c r="D2564" s="368" t="s">
        <v>519</v>
      </c>
      <c r="J2564" s="370"/>
      <c r="K2564" s="370"/>
      <c r="L2564" s="370"/>
      <c r="M2564" s="436">
        <f>IF(TrialBalanceC!I81&gt;0,TrialBalanceC!I81,0)</f>
        <v>0</v>
      </c>
      <c r="N2564" s="390"/>
      <c r="O2564" s="451">
        <f>IF(TrialBalanceC!K81&gt;0,TrialBalanceC!K81,0)</f>
        <v>0</v>
      </c>
      <c r="P2564" s="380"/>
      <c r="Q2564" s="389"/>
      <c r="R2564" s="416" t="str">
        <f>IF(R$2450="DELETE","DELETE",IF(M2564+O2564=0,"DELETE"," "))</f>
        <v>DELETE</v>
      </c>
    </row>
    <row r="2565" spans="2:18" ht="31.5" customHeight="1" x14ac:dyDescent="0.45">
      <c r="B2565" s="388"/>
      <c r="C2565" s="369"/>
      <c r="D2565" s="368" t="s">
        <v>736</v>
      </c>
      <c r="J2565" s="370"/>
      <c r="K2565" s="370"/>
      <c r="L2565" s="370"/>
      <c r="M2565" s="436">
        <f>TrialBalanceC!I109</f>
        <v>0</v>
      </c>
      <c r="N2565" s="390"/>
      <c r="O2565" s="451">
        <f>TrialBalanceC!K109</f>
        <v>0</v>
      </c>
      <c r="P2565" s="380"/>
      <c r="Q2565" s="389"/>
      <c r="R2565" s="416" t="str">
        <f>IF(R$2450="DELETE","DELETE",IF(M2565+O2565=0,"DELETE"," "))</f>
        <v>DELETE</v>
      </c>
    </row>
    <row r="2566" spans="2:18" ht="31.5" customHeight="1" x14ac:dyDescent="0.45">
      <c r="B2566" s="388"/>
      <c r="C2566" s="369"/>
      <c r="D2566" s="368" t="s">
        <v>261</v>
      </c>
      <c r="J2566" s="370"/>
      <c r="K2566" s="370"/>
      <c r="L2566" s="370"/>
      <c r="M2566" s="436">
        <f>TrialBalanceC!I110</f>
        <v>0</v>
      </c>
      <c r="N2566" s="390"/>
      <c r="O2566" s="451">
        <f>TrialBalanceC!K110</f>
        <v>0</v>
      </c>
      <c r="P2566" s="380"/>
      <c r="Q2566" s="389"/>
      <c r="R2566" s="416" t="str">
        <f>IF(R$2450="DELETE","DELETE",IF(M2566+O2566=0,"DELETE"," "))</f>
        <v>DELETE</v>
      </c>
    </row>
    <row r="2567" spans="2:18" ht="31.5" customHeight="1" x14ac:dyDescent="0.45">
      <c r="B2567" s="388"/>
      <c r="C2567" s="369"/>
      <c r="D2567" s="368" t="s">
        <v>254</v>
      </c>
      <c r="J2567" s="370"/>
      <c r="K2567" s="370"/>
      <c r="L2567" s="370"/>
      <c r="M2567" s="436">
        <f>SUM(TrialBalanceC!I111:I112)</f>
        <v>0</v>
      </c>
      <c r="N2567" s="390"/>
      <c r="O2567" s="451">
        <f>SUM(TrialBalanceC!K111:K112)</f>
        <v>0</v>
      </c>
      <c r="P2567" s="380"/>
      <c r="Q2567" s="389"/>
      <c r="R2567" s="416" t="str">
        <f t="shared" si="193"/>
        <v>DELETE</v>
      </c>
    </row>
    <row r="2568" spans="2:18" ht="31.5" customHeight="1" x14ac:dyDescent="0.45">
      <c r="B2568" s="388"/>
      <c r="C2568" s="369"/>
      <c r="D2568" s="368" t="s">
        <v>262</v>
      </c>
      <c r="J2568" s="370"/>
      <c r="K2568" s="370"/>
      <c r="L2568" s="370"/>
      <c r="M2568" s="436">
        <f>TrialBalanceC!I113</f>
        <v>0</v>
      </c>
      <c r="N2568" s="390"/>
      <c r="O2568" s="451">
        <f>TrialBalanceC!K113</f>
        <v>0</v>
      </c>
      <c r="P2568" s="380"/>
      <c r="Q2568" s="389"/>
      <c r="R2568" s="416" t="str">
        <f t="shared" si="193"/>
        <v>DELETE</v>
      </c>
    </row>
    <row r="2569" spans="2:18" ht="31.5" customHeight="1" x14ac:dyDescent="0.45">
      <c r="B2569" s="388"/>
      <c r="C2569" s="369"/>
      <c r="D2569" s="368" t="s">
        <v>737</v>
      </c>
      <c r="J2569" s="370"/>
      <c r="K2569" s="370"/>
      <c r="L2569" s="370"/>
      <c r="M2569" s="436">
        <f>TrialBalanceC!I114</f>
        <v>0</v>
      </c>
      <c r="N2569" s="390"/>
      <c r="O2569" s="451">
        <f>TrialBalanceC!K114</f>
        <v>0</v>
      </c>
      <c r="P2569" s="380"/>
      <c r="Q2569" s="389"/>
      <c r="R2569" s="416" t="str">
        <f t="shared" si="193"/>
        <v>DELETE</v>
      </c>
    </row>
    <row r="2570" spans="2:18" ht="31.5" customHeight="1" x14ac:dyDescent="0.45">
      <c r="B2570" s="388"/>
      <c r="C2570" s="369"/>
      <c r="D2570" s="368" t="s">
        <v>88</v>
      </c>
      <c r="J2570" s="370"/>
      <c r="K2570" s="370"/>
      <c r="L2570" s="370"/>
      <c r="M2570" s="436">
        <f>TrialBalanceC!I115</f>
        <v>0</v>
      </c>
      <c r="N2570" s="390"/>
      <c r="O2570" s="451">
        <f>TrialBalanceC!K115</f>
        <v>0</v>
      </c>
      <c r="P2570" s="380"/>
      <c r="Q2570" s="389"/>
      <c r="R2570" s="416" t="str">
        <f t="shared" si="193"/>
        <v>DELETE</v>
      </c>
    </row>
    <row r="2571" spans="2:18" ht="31.5" customHeight="1" x14ac:dyDescent="0.45">
      <c r="B2571" s="388"/>
      <c r="C2571" s="369"/>
      <c r="D2571" s="368" t="str">
        <f>IF(MAX(Criteria!I38:I42)&gt;1,"Trustees' remuneration","Trustee's remuneration")</f>
        <v>Trustees' remuneration</v>
      </c>
      <c r="J2571" s="370"/>
      <c r="K2571" s="370">
        <f>C$688</f>
        <v>6.1</v>
      </c>
      <c r="L2571" s="370"/>
      <c r="M2571" s="436">
        <f>SUM(TrialBalanceC!I98:I102)</f>
        <v>0</v>
      </c>
      <c r="N2571" s="390"/>
      <c r="O2571" s="451">
        <f>SUM(TrialBalanceC!K98:K102)</f>
        <v>0</v>
      </c>
      <c r="P2571" s="380"/>
      <c r="Q2571" s="389"/>
      <c r="R2571" s="416" t="str">
        <f t="shared" si="193"/>
        <v>DELETE</v>
      </c>
    </row>
    <row r="2572" spans="2:18" ht="31.5" customHeight="1" x14ac:dyDescent="0.45">
      <c r="B2572" s="388"/>
      <c r="C2572" s="369"/>
      <c r="D2572" s="368">
        <f>TrialBalanceC!C116</f>
        <v>0</v>
      </c>
      <c r="J2572" s="370"/>
      <c r="K2572" s="370"/>
      <c r="L2572" s="370"/>
      <c r="M2572" s="436">
        <f>TrialBalanceC!I116</f>
        <v>0</v>
      </c>
      <c r="N2572" s="390"/>
      <c r="O2572" s="451">
        <f>TrialBalanceC!K116</f>
        <v>0</v>
      </c>
      <c r="P2572" s="380"/>
      <c r="Q2572" s="389"/>
      <c r="R2572" s="416" t="str">
        <f t="shared" si="193"/>
        <v>DELETE</v>
      </c>
    </row>
    <row r="2573" spans="2:18" ht="31.5" customHeight="1" x14ac:dyDescent="0.45">
      <c r="B2573" s="388"/>
      <c r="C2573" s="369"/>
      <c r="D2573" s="368">
        <f>TrialBalanceC!C117</f>
        <v>0</v>
      </c>
      <c r="J2573" s="370"/>
      <c r="K2573" s="370"/>
      <c r="L2573" s="370"/>
      <c r="M2573" s="436">
        <f>TrialBalanceC!I117</f>
        <v>0</v>
      </c>
      <c r="N2573" s="390"/>
      <c r="O2573" s="451">
        <f>TrialBalanceC!K117</f>
        <v>0</v>
      </c>
      <c r="P2573" s="380"/>
      <c r="Q2573" s="389"/>
      <c r="R2573" s="416" t="str">
        <f t="shared" si="193"/>
        <v>DELETE</v>
      </c>
    </row>
    <row r="2574" spans="2:18" ht="31.5" customHeight="1" x14ac:dyDescent="0.45">
      <c r="B2574" s="388"/>
      <c r="C2574" s="369"/>
      <c r="D2574" s="368">
        <f>TrialBalanceC!C118</f>
        <v>0</v>
      </c>
      <c r="J2574" s="370"/>
      <c r="K2574" s="370"/>
      <c r="L2574" s="370"/>
      <c r="M2574" s="436">
        <f>TrialBalanceC!I118</f>
        <v>0</v>
      </c>
      <c r="N2574" s="390"/>
      <c r="O2574" s="451">
        <f>TrialBalanceC!K118</f>
        <v>0</v>
      </c>
      <c r="P2574" s="380"/>
      <c r="Q2574" s="389"/>
      <c r="R2574" s="416" t="str">
        <f t="shared" si="193"/>
        <v>DELETE</v>
      </c>
    </row>
    <row r="2575" spans="2:18" ht="31.5" customHeight="1" x14ac:dyDescent="0.45">
      <c r="B2575" s="388"/>
      <c r="C2575" s="369"/>
      <c r="D2575" s="368">
        <f>TrialBalanceC!C119</f>
        <v>0</v>
      </c>
      <c r="J2575" s="370"/>
      <c r="K2575" s="370"/>
      <c r="L2575" s="370"/>
      <c r="M2575" s="436">
        <f>TrialBalanceC!I119</f>
        <v>0</v>
      </c>
      <c r="N2575" s="390"/>
      <c r="O2575" s="451">
        <f>TrialBalanceC!K119</f>
        <v>0</v>
      </c>
      <c r="P2575" s="380"/>
      <c r="Q2575" s="389"/>
      <c r="R2575" s="416" t="str">
        <f t="shared" si="193"/>
        <v>DELETE</v>
      </c>
    </row>
    <row r="2576" spans="2:18" ht="31.5" customHeight="1" x14ac:dyDescent="0.45">
      <c r="B2576" s="388"/>
      <c r="C2576" s="369"/>
      <c r="D2576" s="368">
        <f>TrialBalanceC!C120</f>
        <v>0</v>
      </c>
      <c r="J2576" s="370"/>
      <c r="K2576" s="370"/>
      <c r="L2576" s="370"/>
      <c r="M2576" s="436">
        <f>TrialBalanceC!I120</f>
        <v>0</v>
      </c>
      <c r="N2576" s="390"/>
      <c r="O2576" s="451">
        <f>TrialBalanceC!K120</f>
        <v>0</v>
      </c>
      <c r="P2576" s="380"/>
      <c r="Q2576" s="389"/>
      <c r="R2576" s="416" t="str">
        <f t="shared" si="193"/>
        <v>DELETE</v>
      </c>
    </row>
    <row r="2577" spans="2:26" ht="31.5" customHeight="1" x14ac:dyDescent="0.45">
      <c r="B2577" s="388"/>
      <c r="C2577" s="369"/>
      <c r="D2577" s="368">
        <f>TrialBalanceC!C121</f>
        <v>0</v>
      </c>
      <c r="J2577" s="370"/>
      <c r="K2577" s="370"/>
      <c r="L2577" s="370"/>
      <c r="M2577" s="436">
        <f>TrialBalanceC!I121</f>
        <v>0</v>
      </c>
      <c r="N2577" s="390"/>
      <c r="O2577" s="451">
        <f>TrialBalanceC!K121</f>
        <v>0</v>
      </c>
      <c r="P2577" s="380"/>
      <c r="Q2577" s="389"/>
      <c r="R2577" s="416" t="str">
        <f t="shared" si="193"/>
        <v>DELETE</v>
      </c>
    </row>
    <row r="2578" spans="2:26" ht="31.5" customHeight="1" x14ac:dyDescent="0.45">
      <c r="B2578" s="388"/>
      <c r="C2578" s="369"/>
      <c r="D2578" s="368">
        <f>TrialBalanceC!C122</f>
        <v>0</v>
      </c>
      <c r="J2578" s="370"/>
      <c r="K2578" s="370"/>
      <c r="L2578" s="370"/>
      <c r="M2578" s="436">
        <f>TrialBalanceC!I122</f>
        <v>0</v>
      </c>
      <c r="N2578" s="390"/>
      <c r="O2578" s="451">
        <f>TrialBalanceC!K122</f>
        <v>0</v>
      </c>
      <c r="P2578" s="380"/>
      <c r="Q2578" s="389"/>
      <c r="R2578" s="416" t="str">
        <f t="shared" si="193"/>
        <v>DELETE</v>
      </c>
    </row>
    <row r="2579" spans="2:26" ht="31.5" customHeight="1" x14ac:dyDescent="0.45">
      <c r="B2579" s="388"/>
      <c r="C2579" s="369"/>
      <c r="D2579" s="368">
        <f>TrialBalanceC!C123</f>
        <v>0</v>
      </c>
      <c r="J2579" s="370"/>
      <c r="K2579" s="370"/>
      <c r="L2579" s="370"/>
      <c r="M2579" s="436">
        <f>TrialBalanceC!I123</f>
        <v>0</v>
      </c>
      <c r="N2579" s="390"/>
      <c r="O2579" s="451">
        <f>TrialBalanceC!K123</f>
        <v>0</v>
      </c>
      <c r="P2579" s="380"/>
      <c r="Q2579" s="389"/>
      <c r="R2579" s="416" t="str">
        <f t="shared" si="193"/>
        <v>DELETE</v>
      </c>
    </row>
    <row r="2580" spans="2:26" ht="31.5" customHeight="1" x14ac:dyDescent="0.45">
      <c r="B2580" s="388"/>
      <c r="C2580" s="369"/>
      <c r="D2580" s="368">
        <f>TrialBalanceC!C124</f>
        <v>0</v>
      </c>
      <c r="J2580" s="370"/>
      <c r="K2580" s="370"/>
      <c r="L2580" s="370"/>
      <c r="M2580" s="436">
        <f>TrialBalanceC!I124</f>
        <v>0</v>
      </c>
      <c r="N2580" s="390"/>
      <c r="O2580" s="451">
        <f>TrialBalanceC!K124</f>
        <v>0</v>
      </c>
      <c r="P2580" s="380"/>
      <c r="Q2580" s="389"/>
      <c r="R2580" s="416" t="str">
        <f t="shared" si="193"/>
        <v>DELETE</v>
      </c>
    </row>
    <row r="2581" spans="2:26" ht="31.5" customHeight="1" x14ac:dyDescent="0.45">
      <c r="B2581" s="388"/>
      <c r="C2581" s="369"/>
      <c r="D2581" s="368" t="str">
        <f>TrialBalanceC!C125</f>
        <v>Amortisation of prepaid lease agreement</v>
      </c>
      <c r="J2581" s="370"/>
      <c r="K2581" s="370"/>
      <c r="L2581" s="370"/>
      <c r="M2581" s="436">
        <f>TrialBalanceC!I125</f>
        <v>0</v>
      </c>
      <c r="N2581" s="390"/>
      <c r="O2581" s="451">
        <f>TrialBalanceC!K125</f>
        <v>0</v>
      </c>
      <c r="P2581" s="380"/>
      <c r="Q2581" s="389"/>
      <c r="R2581" s="416" t="str">
        <f t="shared" si="193"/>
        <v>DELETE</v>
      </c>
    </row>
    <row r="2582" spans="2:26" ht="31.5" customHeight="1" x14ac:dyDescent="0.45">
      <c r="B2582" s="388"/>
      <c r="C2582" s="369"/>
      <c r="D2582" s="368" t="str">
        <f>TrialBalanceC!C126</f>
        <v>Amortisation of goodwill</v>
      </c>
      <c r="J2582" s="370"/>
      <c r="K2582" s="370"/>
      <c r="L2582" s="370"/>
      <c r="M2582" s="436">
        <f>TrialBalanceC!I126</f>
        <v>0</v>
      </c>
      <c r="N2582" s="390"/>
      <c r="O2582" s="451">
        <f>TrialBalanceC!K126</f>
        <v>0</v>
      </c>
      <c r="P2582" s="380"/>
      <c r="Q2582" s="389"/>
      <c r="R2582" s="416" t="str">
        <f t="shared" ref="R2582" si="194">IF(R$2450="DELETE","DELETE",IF(M2582+O2582=0,"DELETE"," "))</f>
        <v>DELETE</v>
      </c>
    </row>
    <row r="2583" spans="2:26" ht="9" customHeight="1" x14ac:dyDescent="0.45">
      <c r="B2583" s="388"/>
      <c r="C2583" s="369"/>
      <c r="J2583" s="370"/>
      <c r="K2583" s="370"/>
      <c r="L2583" s="370"/>
      <c r="M2583" s="437"/>
      <c r="N2583" s="392"/>
      <c r="O2583" s="452"/>
      <c r="P2583" s="380"/>
      <c r="Q2583" s="389"/>
      <c r="R2583" s="416" t="str">
        <f>R2548</f>
        <v>DELETE</v>
      </c>
    </row>
    <row r="2584" spans="2:26" ht="9" customHeight="1" x14ac:dyDescent="0.45">
      <c r="B2584" s="388"/>
      <c r="C2584" s="369"/>
      <c r="J2584" s="370"/>
      <c r="K2584" s="370"/>
      <c r="L2584" s="370"/>
      <c r="M2584" s="438"/>
      <c r="N2584" s="392"/>
      <c r="O2584" s="438"/>
      <c r="P2584" s="380"/>
      <c r="Q2584" s="389"/>
      <c r="R2584" s="416" t="str">
        <f t="shared" ref="R2584:R2587" si="195">R$2450</f>
        <v>DELETE</v>
      </c>
    </row>
    <row r="2585" spans="2:26" ht="9" customHeight="1" x14ac:dyDescent="0.45">
      <c r="B2585" s="388"/>
      <c r="C2585" s="369"/>
      <c r="J2585" s="370"/>
      <c r="K2585" s="370"/>
      <c r="L2585" s="370"/>
      <c r="M2585" s="434"/>
      <c r="N2585" s="390"/>
      <c r="O2585" s="434"/>
      <c r="P2585" s="380"/>
      <c r="Q2585" s="389"/>
      <c r="R2585" s="416" t="str">
        <f t="shared" si="195"/>
        <v>DELETE</v>
      </c>
    </row>
    <row r="2586" spans="2:26" ht="31.5" customHeight="1" x14ac:dyDescent="0.45">
      <c r="B2586" s="388"/>
      <c r="C2586" s="411" t="str">
        <f>IF((Y2586+Z2586)=3,"OPERATING PROFIT/(LOSS) FOR THE YEAR",(IF((Y2586+Z2586=4),"OPERATING PROFIT FOR THE YEAR","OPERATING LOSS FOR THE YEAR")))</f>
        <v>OPERATING PROFIT FOR THE YEAR</v>
      </c>
      <c r="J2586" s="370"/>
      <c r="K2586" s="370">
        <f>FS!B685</f>
        <v>6</v>
      </c>
      <c r="L2586" s="370"/>
      <c r="M2586" s="434">
        <f>SUM(S2462:S2583)</f>
        <v>0</v>
      </c>
      <c r="N2586" s="390"/>
      <c r="O2586" s="434">
        <f>SUM(U2462:U2583)</f>
        <v>0</v>
      </c>
      <c r="P2586" s="380"/>
      <c r="Q2586" s="389"/>
      <c r="R2586" s="416" t="str">
        <f t="shared" si="195"/>
        <v>DELETE</v>
      </c>
      <c r="Y2586" s="417">
        <f>IF(M2586&lt;0,1,IF(M2586=0,IF(O2586&lt;0,1,2),2))</f>
        <v>2</v>
      </c>
      <c r="Z2586" s="417">
        <f>IF(O2586&lt;0,1,IF(O2586=0,IF(M2586&lt;0,1,2),2))</f>
        <v>2</v>
      </c>
    </row>
    <row r="2587" spans="2:26" ht="31.5" customHeight="1" x14ac:dyDescent="0.45">
      <c r="B2587" s="388"/>
      <c r="C2587" s="369"/>
      <c r="J2587" s="370"/>
      <c r="K2587" s="370"/>
      <c r="L2587" s="370"/>
      <c r="M2587" s="434"/>
      <c r="N2587" s="390"/>
      <c r="O2587" s="434"/>
      <c r="P2587" s="380"/>
      <c r="Q2587" s="389"/>
      <c r="R2587" s="416" t="str">
        <f t="shared" si="195"/>
        <v>DELETE</v>
      </c>
    </row>
    <row r="2588" spans="2:26" ht="31.5" customHeight="1" x14ac:dyDescent="0.45">
      <c r="B2588" s="388"/>
      <c r="C2588" s="369" t="s">
        <v>122</v>
      </c>
      <c r="J2588" s="370"/>
      <c r="K2588" s="370"/>
      <c r="L2588" s="370"/>
      <c r="M2588" s="434">
        <f>SUM(M2591:M2595)</f>
        <v>0</v>
      </c>
      <c r="N2588" s="390"/>
      <c r="O2588" s="434">
        <f>SUM(O2591:O2595)</f>
        <v>0</v>
      </c>
      <c r="P2588" s="380"/>
      <c r="Q2588" s="389"/>
      <c r="R2588" s="416" t="str">
        <f t="shared" ref="R2588" si="196">IF(R$2450="DELETE","DELETE",IF(M2588+O2588=0,"DELETE"," "))</f>
        <v>DELETE</v>
      </c>
      <c r="S2588" s="421">
        <f>M2588</f>
        <v>0</v>
      </c>
      <c r="T2588" s="421"/>
      <c r="U2588" s="421">
        <f>O2588</f>
        <v>0</v>
      </c>
      <c r="V2588" s="421"/>
      <c r="W2588" s="421"/>
      <c r="X2588" s="421"/>
    </row>
    <row r="2589" spans="2:26" ht="9" customHeight="1" x14ac:dyDescent="0.45">
      <c r="B2589" s="388"/>
      <c r="C2589" s="369"/>
      <c r="J2589" s="370"/>
      <c r="K2589" s="370"/>
      <c r="L2589" s="370"/>
      <c r="M2589" s="434"/>
      <c r="N2589" s="390"/>
      <c r="O2589" s="434"/>
      <c r="P2589" s="380"/>
      <c r="Q2589" s="389"/>
      <c r="R2589" s="416" t="str">
        <f>R2588</f>
        <v>DELETE</v>
      </c>
    </row>
    <row r="2590" spans="2:26" ht="9" customHeight="1" x14ac:dyDescent="0.45">
      <c r="B2590" s="388"/>
      <c r="C2590" s="369"/>
      <c r="J2590" s="370"/>
      <c r="K2590" s="370"/>
      <c r="L2590" s="370"/>
      <c r="M2590" s="435"/>
      <c r="N2590" s="391"/>
      <c r="O2590" s="450"/>
      <c r="P2590" s="380"/>
      <c r="Q2590" s="389"/>
      <c r="R2590" s="416" t="str">
        <f>R2589</f>
        <v>DELETE</v>
      </c>
    </row>
    <row r="2591" spans="2:26" ht="31.5" customHeight="1" x14ac:dyDescent="0.45">
      <c r="B2591" s="388"/>
      <c r="C2591" s="369"/>
      <c r="D2591" s="368" t="s">
        <v>208</v>
      </c>
      <c r="J2591" s="370"/>
      <c r="K2591" s="370"/>
      <c r="L2591" s="370"/>
      <c r="M2591" s="436">
        <f>-TrialBalanceC!I82</f>
        <v>0</v>
      </c>
      <c r="N2591" s="390"/>
      <c r="O2591" s="451">
        <f>-TrialBalanceC!K82</f>
        <v>0</v>
      </c>
      <c r="P2591" s="380"/>
      <c r="Q2591" s="389"/>
      <c r="R2591" s="416" t="str">
        <f>IF(R$2450="DELETE","DELETE",IF(M2591+O2591=0,"DELETE"," "))</f>
        <v>DELETE</v>
      </c>
    </row>
    <row r="2592" spans="2:26" ht="31.5" customHeight="1" x14ac:dyDescent="0.45">
      <c r="B2592" s="388"/>
      <c r="C2592" s="369"/>
      <c r="D2592" s="368" t="s">
        <v>210</v>
      </c>
      <c r="J2592" s="370"/>
      <c r="K2592" s="370"/>
      <c r="L2592" s="370"/>
      <c r="M2592" s="442">
        <f>-SUM(TrialBalanceC!I83)</f>
        <v>0</v>
      </c>
      <c r="N2592" s="414"/>
      <c r="O2592" s="454">
        <f>-TrialBalanceC!K83</f>
        <v>0</v>
      </c>
      <c r="P2592" s="380"/>
      <c r="Q2592" s="389"/>
      <c r="R2592" s="416" t="str">
        <f>IF(R$2450="DELETE","DELETE",IF(M2592+O2592=0,"DELETE"," "))</f>
        <v>DELETE</v>
      </c>
    </row>
    <row r="2593" spans="2:26" ht="31.5" customHeight="1" x14ac:dyDescent="0.45">
      <c r="B2593" s="388"/>
      <c r="C2593" s="369"/>
      <c r="D2593" s="368" t="s">
        <v>520</v>
      </c>
      <c r="J2593" s="370"/>
      <c r="K2593" s="370"/>
      <c r="L2593" s="370"/>
      <c r="M2593" s="436">
        <f>IF(TrialBalanceC!I81&lt;0,-TrialBalanceC!I81,0)</f>
        <v>0</v>
      </c>
      <c r="N2593" s="390"/>
      <c r="O2593" s="451">
        <f>IF(TrialBalanceC!K81&lt;0,-TrialBalanceC!K81,0)</f>
        <v>0</v>
      </c>
      <c r="P2593" s="380"/>
      <c r="Q2593" s="389"/>
      <c r="R2593" s="416" t="str">
        <f>IF(R$2450="DELETE","DELETE",IF(M2593+O2593=0,"DELETE"," "))</f>
        <v>DELETE</v>
      </c>
    </row>
    <row r="2594" spans="2:26" ht="31.5" customHeight="1" x14ac:dyDescent="0.45">
      <c r="B2594" s="388"/>
      <c r="C2594" s="369"/>
      <c r="D2594" s="368" t="s">
        <v>365</v>
      </c>
      <c r="J2594" s="370"/>
      <c r="K2594" s="370"/>
      <c r="L2594" s="370"/>
      <c r="M2594" s="436">
        <f>-TrialBalanceC!I80</f>
        <v>0</v>
      </c>
      <c r="N2594" s="390"/>
      <c r="O2594" s="451">
        <f>-TrialBalanceC!K80</f>
        <v>0</v>
      </c>
      <c r="P2594" s="380"/>
      <c r="Q2594" s="389"/>
      <c r="R2594" s="416" t="str">
        <f>IF(R$2450="DELETE","DELETE",IF(M2594+O2594=0,"DELETE"," "))</f>
        <v>DELETE</v>
      </c>
    </row>
    <row r="2595" spans="2:26" ht="9" customHeight="1" x14ac:dyDescent="0.45">
      <c r="B2595" s="388"/>
      <c r="C2595" s="369"/>
      <c r="J2595" s="370"/>
      <c r="K2595" s="370"/>
      <c r="L2595" s="370"/>
      <c r="M2595" s="437"/>
      <c r="N2595" s="392"/>
      <c r="O2595" s="452"/>
      <c r="P2595" s="380"/>
      <c r="Q2595" s="389"/>
      <c r="R2595" s="416" t="str">
        <f>R2588</f>
        <v>DELETE</v>
      </c>
    </row>
    <row r="2596" spans="2:26" ht="9" customHeight="1" x14ac:dyDescent="0.45">
      <c r="B2596" s="388"/>
      <c r="C2596" s="369"/>
      <c r="J2596" s="370"/>
      <c r="K2596" s="370"/>
      <c r="L2596" s="370"/>
      <c r="M2596" s="438"/>
      <c r="N2596" s="392"/>
      <c r="O2596" s="438"/>
      <c r="P2596" s="380"/>
      <c r="Q2596" s="389"/>
      <c r="R2596" s="416" t="str">
        <f>R2595</f>
        <v>DELETE</v>
      </c>
    </row>
    <row r="2597" spans="2:26" ht="9" customHeight="1" x14ac:dyDescent="0.45">
      <c r="B2597" s="388"/>
      <c r="C2597" s="369"/>
      <c r="J2597" s="370"/>
      <c r="K2597" s="370"/>
      <c r="L2597" s="370"/>
      <c r="M2597" s="434"/>
      <c r="N2597" s="390"/>
      <c r="O2597" s="434"/>
      <c r="P2597" s="380"/>
      <c r="Q2597" s="389"/>
      <c r="R2597" s="416" t="str">
        <f>R2596</f>
        <v>DELETE</v>
      </c>
    </row>
    <row r="2598" spans="2:26" ht="31.5" customHeight="1" x14ac:dyDescent="0.45">
      <c r="B2598" s="388"/>
      <c r="C2598" s="369"/>
      <c r="J2598" s="370"/>
      <c r="K2598" s="370"/>
      <c r="L2598" s="370"/>
      <c r="M2598" s="434">
        <f>SUM(S2462:S2595)</f>
        <v>0</v>
      </c>
      <c r="N2598" s="390"/>
      <c r="O2598" s="434">
        <f>SUM(U2462:U2595)</f>
        <v>0</v>
      </c>
      <c r="P2598" s="380"/>
      <c r="Q2598" s="389"/>
      <c r="R2598" s="416" t="str">
        <f>R2597</f>
        <v>DELETE</v>
      </c>
    </row>
    <row r="2599" spans="2:26" ht="31.5" customHeight="1" x14ac:dyDescent="0.45">
      <c r="B2599" s="388"/>
      <c r="C2599" s="369"/>
      <c r="J2599" s="370"/>
      <c r="K2599" s="370"/>
      <c r="L2599" s="370"/>
      <c r="M2599" s="434"/>
      <c r="N2599" s="390"/>
      <c r="O2599" s="434"/>
      <c r="P2599" s="380"/>
      <c r="Q2599" s="389"/>
      <c r="R2599" s="416" t="str">
        <f>R2598</f>
        <v>DELETE</v>
      </c>
    </row>
    <row r="2600" spans="2:26" ht="31.5" customHeight="1" x14ac:dyDescent="0.45">
      <c r="B2600" s="388"/>
      <c r="C2600" s="369" t="s">
        <v>263</v>
      </c>
      <c r="J2600" s="370"/>
      <c r="K2600" s="370">
        <f>FS!B602</f>
        <v>5</v>
      </c>
      <c r="L2600" s="370"/>
      <c r="M2600" s="434">
        <f>SUM(TrialBalanceC!I129:I139)</f>
        <v>0</v>
      </c>
      <c r="N2600" s="390"/>
      <c r="O2600" s="434">
        <f>SUM(TrialBalanceC!K129:K139)</f>
        <v>0</v>
      </c>
      <c r="P2600" s="380"/>
      <c r="Q2600" s="389"/>
      <c r="R2600" s="416" t="str">
        <f t="shared" ref="R2600" si="197">IF(R$2450="DELETE","DELETE",IF(M2600+O2600=0,"DELETE"," "))</f>
        <v>DELETE</v>
      </c>
      <c r="S2600" s="421">
        <f>-M2600</f>
        <v>0</v>
      </c>
      <c r="T2600" s="421"/>
      <c r="U2600" s="421">
        <f>-O2600</f>
        <v>0</v>
      </c>
      <c r="V2600" s="421"/>
      <c r="W2600" s="421"/>
      <c r="X2600" s="421"/>
    </row>
    <row r="2601" spans="2:26" ht="9" customHeight="1" x14ac:dyDescent="0.45">
      <c r="B2601" s="388"/>
      <c r="C2601" s="369"/>
      <c r="J2601" s="370"/>
      <c r="K2601" s="370"/>
      <c r="L2601" s="370"/>
      <c r="M2601" s="438"/>
      <c r="N2601" s="392"/>
      <c r="O2601" s="438"/>
      <c r="P2601" s="380"/>
      <c r="Q2601" s="389"/>
      <c r="R2601" s="416" t="str">
        <f t="shared" ref="R2601:R2609" si="198">R$2450</f>
        <v>DELETE</v>
      </c>
    </row>
    <row r="2602" spans="2:26" ht="9" customHeight="1" x14ac:dyDescent="0.45">
      <c r="B2602" s="388"/>
      <c r="C2602" s="369"/>
      <c r="J2602" s="370"/>
      <c r="K2602" s="370"/>
      <c r="L2602" s="370"/>
      <c r="M2602" s="434"/>
      <c r="N2602" s="390"/>
      <c r="O2602" s="434"/>
      <c r="P2602" s="380"/>
      <c r="Q2602" s="389"/>
      <c r="R2602" s="416" t="str">
        <f t="shared" si="198"/>
        <v>DELETE</v>
      </c>
    </row>
    <row r="2603" spans="2:26" ht="31.5" customHeight="1" x14ac:dyDescent="0.45">
      <c r="B2603" s="388"/>
      <c r="C2603" s="411" t="str">
        <f>IF((Y2603+Z2603)=3,"PROFIT/(LOSS) BEFORE TAXATION",(IF((Y2603+Z2603=4),"PROFIT BEFORE TAXATION","LOSS BEFORE TAXATION")))</f>
        <v>PROFIT BEFORE TAXATION</v>
      </c>
      <c r="J2603" s="370"/>
      <c r="K2603" s="370"/>
      <c r="L2603" s="370"/>
      <c r="M2603" s="434">
        <f>SUM(S2462:S2602)</f>
        <v>0</v>
      </c>
      <c r="N2603" s="390"/>
      <c r="O2603" s="434">
        <f>SUM(U2462:U2602)</f>
        <v>0</v>
      </c>
      <c r="P2603" s="380"/>
      <c r="Q2603" s="389"/>
      <c r="R2603" s="416" t="str">
        <f t="shared" si="198"/>
        <v>DELETE</v>
      </c>
      <c r="V2603" s="417" t="b">
        <f>M2603=M311</f>
        <v>1</v>
      </c>
      <c r="X2603" s="417" t="b">
        <f>O2603=O311</f>
        <v>1</v>
      </c>
      <c r="Y2603" s="417">
        <f>IF(M2603&lt;0,1,IF(M2603=0,IF(O2603&lt;0,1,2),2))</f>
        <v>2</v>
      </c>
      <c r="Z2603" s="417">
        <f>IF(O2603&lt;0,1,IF(O2603=0,IF(M2603&lt;0,1,2),2))</f>
        <v>2</v>
      </c>
    </row>
    <row r="2604" spans="2:26" ht="9" customHeight="1" thickBot="1" x14ac:dyDescent="0.5">
      <c r="B2604" s="388"/>
      <c r="C2604" s="369"/>
      <c r="J2604" s="370"/>
      <c r="K2604" s="370"/>
      <c r="L2604" s="370"/>
      <c r="M2604" s="439"/>
      <c r="N2604" s="393"/>
      <c r="O2604" s="439"/>
      <c r="P2604" s="380"/>
      <c r="Q2604" s="389"/>
      <c r="R2604" s="416" t="str">
        <f t="shared" si="198"/>
        <v>DELETE</v>
      </c>
    </row>
    <row r="2605" spans="2:26" ht="9" customHeight="1" thickTop="1" x14ac:dyDescent="0.45">
      <c r="B2605" s="388"/>
      <c r="C2605" s="369"/>
      <c r="J2605" s="370"/>
      <c r="K2605" s="370"/>
      <c r="L2605" s="370"/>
      <c r="M2605" s="434"/>
      <c r="N2605" s="390"/>
      <c r="O2605" s="434"/>
      <c r="P2605" s="380"/>
      <c r="Q2605" s="389"/>
      <c r="R2605" s="416" t="str">
        <f t="shared" si="198"/>
        <v>DELETE</v>
      </c>
    </row>
    <row r="2606" spans="2:26" ht="31.5" customHeight="1" x14ac:dyDescent="0.45">
      <c r="B2606" s="388"/>
      <c r="C2606" s="369"/>
      <c r="J2606" s="370"/>
      <c r="K2606" s="370"/>
      <c r="L2606" s="370"/>
      <c r="M2606" s="434"/>
      <c r="N2606" s="390"/>
      <c r="O2606" s="434"/>
      <c r="P2606" s="380"/>
      <c r="Q2606" s="389"/>
      <c r="R2606" s="416" t="str">
        <f t="shared" si="198"/>
        <v>DELETE</v>
      </c>
    </row>
    <row r="2607" spans="2:26" ht="31.5" customHeight="1" x14ac:dyDescent="0.45">
      <c r="B2607" s="388"/>
      <c r="C2607" s="369"/>
      <c r="J2607" s="370"/>
      <c r="K2607" s="370"/>
      <c r="L2607" s="370"/>
      <c r="M2607" s="434"/>
      <c r="N2607" s="390"/>
      <c r="O2607" s="434"/>
      <c r="P2607" s="380"/>
      <c r="Q2607" s="389"/>
      <c r="R2607" s="416" t="str">
        <f t="shared" si="198"/>
        <v>DELETE</v>
      </c>
    </row>
    <row r="2608" spans="2:26" ht="31.5" customHeight="1" x14ac:dyDescent="0.45">
      <c r="B2608" s="396"/>
      <c r="C2608" s="383"/>
      <c r="D2608" s="383"/>
      <c r="E2608" s="383"/>
      <c r="F2608" s="383"/>
      <c r="G2608" s="383"/>
      <c r="H2608" s="383"/>
      <c r="I2608" s="383"/>
      <c r="J2608" s="383"/>
      <c r="K2608" s="383"/>
      <c r="L2608" s="383"/>
      <c r="M2608" s="482"/>
      <c r="N2608" s="483"/>
      <c r="O2608" s="482"/>
      <c r="P2608" s="475"/>
      <c r="Q2608" s="398"/>
      <c r="R2608" s="416" t="str">
        <f t="shared" si="198"/>
        <v>DELETE</v>
      </c>
    </row>
    <row r="2609" spans="2:24" ht="31.5" customHeight="1" x14ac:dyDescent="0.45">
      <c r="M2609" s="479"/>
      <c r="N2609" s="469"/>
      <c r="O2609" s="479"/>
      <c r="R2609" s="416" t="str">
        <f t="shared" si="198"/>
        <v>DELETE</v>
      </c>
    </row>
    <row r="2610" spans="2:24" ht="31.5" customHeight="1" x14ac:dyDescent="0.45">
      <c r="M2610" s="479"/>
      <c r="N2610" s="469"/>
      <c r="O2610" s="479"/>
      <c r="R2610" s="416" t="str">
        <f>IF(SUM(U2462:U2466)+SUM(U2482:U2491)+SUM(U2588:U2595)+O2603=0,IF(SUM(S2622:S2624)+SUM(S2642:S2649)+SUM(S2748:S2755)+O2763=0,"DELETE"," "),"DELETE")</f>
        <v>DELETE</v>
      </c>
      <c r="V2610" s="420"/>
      <c r="W2610" s="420"/>
      <c r="X2610" s="420"/>
    </row>
    <row r="2611" spans="2:24" ht="31.5" customHeight="1" x14ac:dyDescent="0.45">
      <c r="D2611" s="369" t="s">
        <v>619</v>
      </c>
      <c r="M2611" s="479"/>
      <c r="N2611" s="469"/>
      <c r="O2611" s="479"/>
      <c r="R2611" s="416" t="str">
        <f>R$2610</f>
        <v>DELETE</v>
      </c>
      <c r="V2611" s="419"/>
      <c r="X2611" s="419"/>
    </row>
    <row r="2612" spans="2:24" ht="31.5" customHeight="1" x14ac:dyDescent="0.45">
      <c r="M2612" s="479"/>
      <c r="N2612" s="469"/>
      <c r="O2612" s="479"/>
      <c r="R2612" s="416" t="str">
        <f t="shared" ref="R2612:R2621" si="199">R$2610</f>
        <v>DELETE</v>
      </c>
    </row>
    <row r="2613" spans="2:24" ht="31.5" customHeight="1" x14ac:dyDescent="0.45">
      <c r="D2613" s="369" t="str">
        <f>Criteria!E9</f>
        <v>ABC TRUST</v>
      </c>
      <c r="M2613" s="479"/>
      <c r="N2613" s="469"/>
      <c r="O2613" s="434" t="s">
        <v>105</v>
      </c>
      <c r="Q2613" s="370">
        <v>1</v>
      </c>
      <c r="R2613" s="416" t="str">
        <f t="shared" si="199"/>
        <v>DELETE</v>
      </c>
    </row>
    <row r="2614" spans="2:24" ht="31.5" customHeight="1" x14ac:dyDescent="0.45">
      <c r="D2614" s="369" t="str">
        <f>CONCATENATE("T/A ",Criteria!E16)</f>
        <v xml:space="preserve">T/A </v>
      </c>
      <c r="M2614" s="479"/>
      <c r="N2614" s="469"/>
      <c r="O2614" s="479"/>
      <c r="R2614" s="416" t="str">
        <f t="shared" si="199"/>
        <v>DELETE</v>
      </c>
    </row>
    <row r="2615" spans="2:24" ht="31.5" customHeight="1" x14ac:dyDescent="0.45">
      <c r="M2615" s="479"/>
      <c r="N2615" s="469"/>
      <c r="O2615" s="479"/>
      <c r="R2615" s="416" t="str">
        <f t="shared" si="199"/>
        <v>DELETE</v>
      </c>
    </row>
    <row r="2616" spans="2:24" ht="31.5" customHeight="1" x14ac:dyDescent="0.45">
      <c r="D2616" s="369" t="s">
        <v>100</v>
      </c>
      <c r="M2616" s="479"/>
      <c r="N2616" s="469"/>
      <c r="O2616" s="479"/>
      <c r="R2616" s="416" t="str">
        <f t="shared" si="199"/>
        <v>DELETE</v>
      </c>
    </row>
    <row r="2617" spans="2:24" ht="31.5" customHeight="1" x14ac:dyDescent="0.45">
      <c r="D2617" s="369" t="str">
        <f>Criteria!E20</f>
        <v>29 FEBRUARY 2024</v>
      </c>
      <c r="M2617" s="479"/>
      <c r="N2617" s="469"/>
      <c r="O2617" s="479"/>
      <c r="R2617" s="416" t="str">
        <f t="shared" si="199"/>
        <v>DELETE</v>
      </c>
    </row>
    <row r="2618" spans="2:24" ht="31.5" customHeight="1" x14ac:dyDescent="0.45">
      <c r="M2618" s="479"/>
      <c r="N2618" s="469"/>
      <c r="O2618" s="479"/>
      <c r="R2618" s="416" t="str">
        <f t="shared" si="199"/>
        <v>DELETE</v>
      </c>
    </row>
    <row r="2619" spans="2:24" ht="31.5" customHeight="1" x14ac:dyDescent="0.45">
      <c r="B2619" s="385"/>
      <c r="C2619" s="386"/>
      <c r="D2619" s="386"/>
      <c r="E2619" s="386"/>
      <c r="F2619" s="386"/>
      <c r="G2619" s="386"/>
      <c r="H2619" s="386"/>
      <c r="I2619" s="386"/>
      <c r="J2619" s="386"/>
      <c r="K2619" s="386"/>
      <c r="L2619" s="386"/>
      <c r="M2619" s="484"/>
      <c r="N2619" s="485"/>
      <c r="O2619" s="484"/>
      <c r="P2619" s="481"/>
      <c r="Q2619" s="387"/>
      <c r="R2619" s="416" t="str">
        <f t="shared" si="199"/>
        <v>DELETE</v>
      </c>
    </row>
    <row r="2620" spans="2:24" ht="31.5" customHeight="1" x14ac:dyDescent="0.45">
      <c r="B2620" s="388"/>
      <c r="J2620" s="370"/>
      <c r="K2620" s="370" t="s">
        <v>113</v>
      </c>
      <c r="L2620" s="372"/>
      <c r="M2620" s="37"/>
      <c r="N2620" s="370"/>
      <c r="O2620" s="430">
        <f>Criteria!E22</f>
        <v>2024</v>
      </c>
      <c r="P2620" s="380"/>
      <c r="Q2620" s="389"/>
      <c r="R2620" s="416" t="str">
        <f t="shared" si="199"/>
        <v>DELETE</v>
      </c>
    </row>
    <row r="2621" spans="2:24" ht="31.5" customHeight="1" x14ac:dyDescent="0.45">
      <c r="B2621" s="388"/>
      <c r="J2621" s="370"/>
      <c r="K2621" s="370"/>
      <c r="L2621" s="372"/>
      <c r="M2621" s="37"/>
      <c r="N2621" s="370"/>
      <c r="O2621" s="434"/>
      <c r="P2621" s="380"/>
      <c r="Q2621" s="389"/>
      <c r="R2621" s="416" t="str">
        <f t="shared" si="199"/>
        <v>DELETE</v>
      </c>
    </row>
    <row r="2622" spans="2:24" ht="31.5" customHeight="1" x14ac:dyDescent="0.45">
      <c r="B2622" s="388"/>
      <c r="C2622" s="369" t="s">
        <v>1044</v>
      </c>
      <c r="J2622" s="370"/>
      <c r="K2622" s="370"/>
      <c r="L2622" s="372"/>
      <c r="M2622" s="37"/>
      <c r="N2622" s="370"/>
      <c r="O2622" s="434">
        <f>-SUM(TrialBalanceC!I6:I7)</f>
        <v>0</v>
      </c>
      <c r="P2622" s="380"/>
      <c r="Q2622" s="389"/>
      <c r="R2622" s="416" t="str">
        <f>IF(R2610="DELETE","DELETE",IF(O2622=0,IF(O2624=0," ","DELETE")," "))</f>
        <v>DELETE</v>
      </c>
      <c r="S2622" s="421">
        <f>O2622</f>
        <v>0</v>
      </c>
      <c r="T2622" s="421"/>
      <c r="U2622" s="421"/>
      <c r="V2622" s="421"/>
      <c r="W2622" s="421"/>
      <c r="X2622" s="421"/>
    </row>
    <row r="2623" spans="2:24" ht="31.5" customHeight="1" x14ac:dyDescent="0.45">
      <c r="B2623" s="388"/>
      <c r="C2623" s="369"/>
      <c r="J2623" s="370"/>
      <c r="K2623" s="370"/>
      <c r="L2623" s="372"/>
      <c r="M2623" s="37"/>
      <c r="N2623" s="370"/>
      <c r="O2623" s="434"/>
      <c r="P2623" s="380"/>
      <c r="Q2623" s="389"/>
      <c r="R2623" s="416" t="str">
        <f>R2622</f>
        <v>DELETE</v>
      </c>
      <c r="S2623" s="421"/>
      <c r="T2623" s="421"/>
      <c r="U2623" s="421"/>
      <c r="V2623" s="421"/>
      <c r="W2623" s="421"/>
      <c r="X2623" s="421"/>
    </row>
    <row r="2624" spans="2:24" ht="31.5" customHeight="1" x14ac:dyDescent="0.45">
      <c r="B2624" s="388"/>
      <c r="C2624" s="369" t="s">
        <v>497</v>
      </c>
      <c r="J2624" s="370"/>
      <c r="K2624" s="370"/>
      <c r="L2624" s="372"/>
      <c r="M2624" s="37"/>
      <c r="N2624" s="370"/>
      <c r="O2624" s="434">
        <f>-TrialBalanceC!I8</f>
        <v>0</v>
      </c>
      <c r="P2624" s="380"/>
      <c r="Q2624" s="389"/>
      <c r="R2624" s="416" t="str">
        <f>IF(R2610="DELETE","DELETE",IF(O2624=0,"DELETE"," "))</f>
        <v>DELETE</v>
      </c>
      <c r="S2624" s="421">
        <f>O2624</f>
        <v>0</v>
      </c>
      <c r="T2624" s="421"/>
      <c r="U2624" s="421"/>
      <c r="V2624" s="421"/>
      <c r="W2624" s="421"/>
      <c r="X2624" s="421"/>
    </row>
    <row r="2625" spans="2:24" ht="31.5" customHeight="1" x14ac:dyDescent="0.45">
      <c r="B2625" s="388"/>
      <c r="C2625" s="369"/>
      <c r="J2625" s="370"/>
      <c r="K2625" s="370"/>
      <c r="L2625" s="372"/>
      <c r="M2625" s="37"/>
      <c r="N2625" s="370"/>
      <c r="O2625" s="434"/>
      <c r="P2625" s="380"/>
      <c r="Q2625" s="389"/>
      <c r="R2625" s="416" t="str">
        <f>R2624</f>
        <v>DELETE</v>
      </c>
    </row>
    <row r="2626" spans="2:24" ht="31.5" customHeight="1" x14ac:dyDescent="0.45">
      <c r="B2626" s="388"/>
      <c r="C2626" s="369" t="s">
        <v>275</v>
      </c>
      <c r="J2626" s="370"/>
      <c r="K2626" s="370"/>
      <c r="L2626" s="372"/>
      <c r="M2626" s="37"/>
      <c r="N2626" s="370"/>
      <c r="O2626" s="434">
        <f>SUM(O2629:O2636)</f>
        <v>0</v>
      </c>
      <c r="P2626" s="380"/>
      <c r="Q2626" s="389"/>
      <c r="R2626" s="416" t="str">
        <f>IF(R$2610="DELETE","DELETE",IF(O2626=0,"DELETE"," "))</f>
        <v>DELETE</v>
      </c>
      <c r="S2626" s="421">
        <f>-O2626</f>
        <v>0</v>
      </c>
      <c r="T2626" s="421"/>
      <c r="U2626" s="421"/>
      <c r="V2626" s="421"/>
      <c r="W2626" s="421"/>
      <c r="X2626" s="421"/>
    </row>
    <row r="2627" spans="2:24" ht="9" customHeight="1" x14ac:dyDescent="0.45">
      <c r="B2627" s="388"/>
      <c r="C2627" s="369"/>
      <c r="J2627" s="370"/>
      <c r="K2627" s="370"/>
      <c r="L2627" s="372"/>
      <c r="M2627" s="37"/>
      <c r="N2627" s="370"/>
      <c r="O2627" s="434"/>
      <c r="P2627" s="380"/>
      <c r="Q2627" s="389"/>
      <c r="R2627" s="416" t="str">
        <f>R2626</f>
        <v>DELETE</v>
      </c>
    </row>
    <row r="2628" spans="2:24" ht="9" customHeight="1" x14ac:dyDescent="0.45">
      <c r="B2628" s="388"/>
      <c r="C2628" s="369"/>
      <c r="J2628" s="370"/>
      <c r="K2628" s="370"/>
      <c r="L2628" s="372"/>
      <c r="M2628" s="37"/>
      <c r="N2628" s="370"/>
      <c r="O2628" s="455"/>
      <c r="P2628" s="380"/>
      <c r="Q2628" s="389"/>
      <c r="R2628" s="416" t="str">
        <f>R2627</f>
        <v>DELETE</v>
      </c>
    </row>
    <row r="2629" spans="2:24" ht="31.5" customHeight="1" x14ac:dyDescent="0.45">
      <c r="B2629" s="388"/>
      <c r="C2629" s="369"/>
      <c r="D2629" s="368" t="s">
        <v>499</v>
      </c>
      <c r="J2629" s="370"/>
      <c r="K2629" s="370"/>
      <c r="L2629" s="372"/>
      <c r="M2629" s="37"/>
      <c r="N2629" s="370"/>
      <c r="O2629" s="456">
        <f>SUM(TrialBalanceC!I10:I13)</f>
        <v>0</v>
      </c>
      <c r="P2629" s="380"/>
      <c r="Q2629" s="389"/>
      <c r="R2629" s="416" t="str">
        <f t="shared" ref="R2629:R2636" si="200">IF(R$2610="DELETE","DELETE",IF(O2629=0,"DELETE"," "))</f>
        <v>DELETE</v>
      </c>
    </row>
    <row r="2630" spans="2:24" ht="31.5" customHeight="1" x14ac:dyDescent="0.45">
      <c r="B2630" s="388"/>
      <c r="C2630" s="369"/>
      <c r="D2630" s="368" t="s">
        <v>276</v>
      </c>
      <c r="J2630" s="370"/>
      <c r="K2630" s="370"/>
      <c r="L2630" s="372"/>
      <c r="M2630" s="37"/>
      <c r="N2630" s="370"/>
      <c r="O2630" s="456">
        <f>TrialBalanceC!I14</f>
        <v>0</v>
      </c>
      <c r="P2630" s="380"/>
      <c r="Q2630" s="389"/>
      <c r="R2630" s="416" t="str">
        <f t="shared" si="200"/>
        <v>DELETE</v>
      </c>
    </row>
    <row r="2631" spans="2:24" ht="31.5" customHeight="1" x14ac:dyDescent="0.45">
      <c r="B2631" s="388"/>
      <c r="C2631" s="369"/>
      <c r="D2631" s="368">
        <f>TrialBalanceC!C15</f>
        <v>0</v>
      </c>
      <c r="J2631" s="370"/>
      <c r="K2631" s="370"/>
      <c r="L2631" s="372"/>
      <c r="M2631" s="37"/>
      <c r="N2631" s="370"/>
      <c r="O2631" s="456">
        <f>TrialBalanceC!I15</f>
        <v>0</v>
      </c>
      <c r="P2631" s="380"/>
      <c r="Q2631" s="389"/>
      <c r="R2631" s="416" t="str">
        <f t="shared" si="200"/>
        <v>DELETE</v>
      </c>
    </row>
    <row r="2632" spans="2:24" ht="31.5" customHeight="1" x14ac:dyDescent="0.45">
      <c r="B2632" s="388"/>
      <c r="C2632" s="369"/>
      <c r="D2632" s="368">
        <f>TrialBalanceC!C16</f>
        <v>0</v>
      </c>
      <c r="J2632" s="370"/>
      <c r="K2632" s="370"/>
      <c r="L2632" s="372"/>
      <c r="M2632" s="37"/>
      <c r="N2632" s="370"/>
      <c r="O2632" s="456">
        <f>TrialBalanceC!I16</f>
        <v>0</v>
      </c>
      <c r="P2632" s="380"/>
      <c r="Q2632" s="389"/>
      <c r="R2632" s="416" t="str">
        <f t="shared" si="200"/>
        <v>DELETE</v>
      </c>
    </row>
    <row r="2633" spans="2:24" ht="31.5" customHeight="1" x14ac:dyDescent="0.45">
      <c r="B2633" s="388"/>
      <c r="C2633" s="369"/>
      <c r="D2633" s="368">
        <f>TrialBalanceC!C17</f>
        <v>0</v>
      </c>
      <c r="J2633" s="370"/>
      <c r="K2633" s="370"/>
      <c r="L2633" s="372"/>
      <c r="M2633" s="37"/>
      <c r="N2633" s="370"/>
      <c r="O2633" s="456">
        <f>TrialBalanceC!I17</f>
        <v>0</v>
      </c>
      <c r="P2633" s="380"/>
      <c r="Q2633" s="389"/>
      <c r="R2633" s="416" t="str">
        <f t="shared" si="200"/>
        <v>DELETE</v>
      </c>
    </row>
    <row r="2634" spans="2:24" ht="31.5" customHeight="1" x14ac:dyDescent="0.45">
      <c r="B2634" s="388"/>
      <c r="C2634" s="369"/>
      <c r="D2634" s="368">
        <f>TrialBalanceC!C18</f>
        <v>0</v>
      </c>
      <c r="J2634" s="370"/>
      <c r="K2634" s="370"/>
      <c r="L2634" s="372"/>
      <c r="M2634" s="37"/>
      <c r="N2634" s="370"/>
      <c r="O2634" s="456">
        <f>TrialBalanceC!I18</f>
        <v>0</v>
      </c>
      <c r="P2634" s="380"/>
      <c r="Q2634" s="389"/>
      <c r="R2634" s="416" t="str">
        <f t="shared" si="200"/>
        <v>DELETE</v>
      </c>
    </row>
    <row r="2635" spans="2:24" ht="31.5" customHeight="1" x14ac:dyDescent="0.45">
      <c r="B2635" s="388"/>
      <c r="C2635" s="369"/>
      <c r="D2635" s="368">
        <f>TrialBalanceC!C19</f>
        <v>0</v>
      </c>
      <c r="J2635" s="370"/>
      <c r="K2635" s="370"/>
      <c r="L2635" s="372"/>
      <c r="M2635" s="37"/>
      <c r="N2635" s="370"/>
      <c r="O2635" s="456">
        <f>TrialBalanceC!I19</f>
        <v>0</v>
      </c>
      <c r="P2635" s="380"/>
      <c r="Q2635" s="389"/>
      <c r="R2635" s="416" t="str">
        <f t="shared" si="200"/>
        <v>DELETE</v>
      </c>
    </row>
    <row r="2636" spans="2:24" ht="31.5" customHeight="1" x14ac:dyDescent="0.45">
      <c r="B2636" s="388"/>
      <c r="C2636" s="369"/>
      <c r="D2636" s="368" t="s">
        <v>500</v>
      </c>
      <c r="J2636" s="370"/>
      <c r="K2636" s="370"/>
      <c r="L2636" s="372"/>
      <c r="M2636" s="37"/>
      <c r="N2636" s="370"/>
      <c r="O2636" s="456">
        <f>SUM(TrialBalanceC!I20:I23)</f>
        <v>0</v>
      </c>
      <c r="P2636" s="380"/>
      <c r="Q2636" s="389"/>
      <c r="R2636" s="416" t="str">
        <f t="shared" si="200"/>
        <v>DELETE</v>
      </c>
    </row>
    <row r="2637" spans="2:24" ht="9" customHeight="1" x14ac:dyDescent="0.45">
      <c r="B2637" s="388"/>
      <c r="C2637" s="369"/>
      <c r="J2637" s="370"/>
      <c r="K2637" s="370"/>
      <c r="L2637" s="372"/>
      <c r="M2637" s="37"/>
      <c r="N2637" s="370"/>
      <c r="O2637" s="457"/>
      <c r="P2637" s="380"/>
      <c r="Q2637" s="389"/>
      <c r="R2637" s="416" t="str">
        <f>R2626</f>
        <v>DELETE</v>
      </c>
    </row>
    <row r="2638" spans="2:24" ht="9" customHeight="1" x14ac:dyDescent="0.45">
      <c r="B2638" s="388"/>
      <c r="C2638" s="369"/>
      <c r="J2638" s="370"/>
      <c r="K2638" s="370"/>
      <c r="L2638" s="372"/>
      <c r="M2638" s="37"/>
      <c r="N2638" s="370"/>
      <c r="O2638" s="438"/>
      <c r="P2638" s="380"/>
      <c r="Q2638" s="389"/>
      <c r="R2638" s="416" t="str">
        <f>R2626</f>
        <v>DELETE</v>
      </c>
    </row>
    <row r="2639" spans="2:24" ht="9" customHeight="1" x14ac:dyDescent="0.45">
      <c r="B2639" s="388"/>
      <c r="C2639" s="369"/>
      <c r="J2639" s="370"/>
      <c r="K2639" s="370"/>
      <c r="L2639" s="372"/>
      <c r="M2639" s="37"/>
      <c r="N2639" s="370"/>
      <c r="O2639" s="434"/>
      <c r="P2639" s="380"/>
      <c r="Q2639" s="389"/>
      <c r="R2639" s="416" t="str">
        <f>R2638</f>
        <v>DELETE</v>
      </c>
    </row>
    <row r="2640" spans="2:24" ht="31.5" customHeight="1" x14ac:dyDescent="0.45">
      <c r="B2640" s="388"/>
      <c r="C2640" s="411" t="str">
        <f>IF(O2640&lt;0,"GROSS LOSS","GROSS PROFIT")</f>
        <v>GROSS PROFIT</v>
      </c>
      <c r="J2640" s="370"/>
      <c r="K2640" s="370"/>
      <c r="L2640" s="372"/>
      <c r="M2640" s="37"/>
      <c r="N2640" s="370"/>
      <c r="O2640" s="434">
        <f>SUM(S2622:S2637)</f>
        <v>0</v>
      </c>
      <c r="P2640" s="380"/>
      <c r="Q2640" s="389"/>
      <c r="R2640" s="416" t="str">
        <f>R2639</f>
        <v>DELETE</v>
      </c>
    </row>
    <row r="2641" spans="2:24" ht="31.5" customHeight="1" x14ac:dyDescent="0.45">
      <c r="B2641" s="388"/>
      <c r="C2641" s="369"/>
      <c r="J2641" s="370"/>
      <c r="K2641" s="370"/>
      <c r="L2641" s="372"/>
      <c r="M2641" s="37"/>
      <c r="N2641" s="370"/>
      <c r="O2641" s="434"/>
      <c r="P2641" s="380"/>
      <c r="Q2641" s="389"/>
      <c r="R2641" s="416" t="str">
        <f>R2640</f>
        <v>DELETE</v>
      </c>
    </row>
    <row r="2642" spans="2:24" ht="31.5" customHeight="1" x14ac:dyDescent="0.45">
      <c r="B2642" s="388"/>
      <c r="C2642" s="369" t="s">
        <v>319</v>
      </c>
      <c r="J2642" s="370"/>
      <c r="K2642" s="370"/>
      <c r="L2642" s="372"/>
      <c r="M2642" s="37"/>
      <c r="N2642" s="370"/>
      <c r="O2642" s="434">
        <f>SUM(O2644:O2651)</f>
        <v>0</v>
      </c>
      <c r="P2642" s="380"/>
      <c r="Q2642" s="389"/>
      <c r="R2642" s="416" t="str">
        <f t="shared" ref="R2642" si="201">IF(R$2610="DELETE","DELETE",IF(O2642=0,"DELETE"," "))</f>
        <v>DELETE</v>
      </c>
      <c r="S2642" s="421">
        <f>O2642</f>
        <v>0</v>
      </c>
      <c r="T2642" s="421"/>
      <c r="U2642" s="421"/>
    </row>
    <row r="2643" spans="2:24" ht="9" customHeight="1" x14ac:dyDescent="0.45">
      <c r="B2643" s="388"/>
      <c r="C2643" s="369"/>
      <c r="J2643" s="370"/>
      <c r="K2643" s="370"/>
      <c r="L2643" s="372"/>
      <c r="M2643" s="37"/>
      <c r="N2643" s="370"/>
      <c r="O2643" s="434"/>
      <c r="P2643" s="380"/>
      <c r="Q2643" s="389"/>
      <c r="R2643" s="416" t="str">
        <f>R2642</f>
        <v>DELETE</v>
      </c>
    </row>
    <row r="2644" spans="2:24" ht="9" customHeight="1" x14ac:dyDescent="0.45">
      <c r="B2644" s="388"/>
      <c r="C2644" s="369"/>
      <c r="J2644" s="370"/>
      <c r="K2644" s="370"/>
      <c r="L2644" s="372"/>
      <c r="M2644" s="37"/>
      <c r="N2644" s="370"/>
      <c r="O2644" s="455"/>
      <c r="P2644" s="380"/>
      <c r="Q2644" s="389"/>
      <c r="R2644" s="416" t="str">
        <f>R2642</f>
        <v>DELETE</v>
      </c>
    </row>
    <row r="2645" spans="2:24" ht="31.5" customHeight="1" x14ac:dyDescent="0.45">
      <c r="B2645" s="388"/>
      <c r="C2645" s="369"/>
      <c r="D2645" s="368" t="str">
        <f>TrialBalanceC!C25</f>
        <v xml:space="preserve">Insurance claims - </v>
      </c>
      <c r="J2645" s="370"/>
      <c r="K2645" s="370"/>
      <c r="L2645" s="372"/>
      <c r="M2645" s="37"/>
      <c r="N2645" s="370"/>
      <c r="O2645" s="456">
        <f>-TrialBalanceC!I25</f>
        <v>0</v>
      </c>
      <c r="P2645" s="380"/>
      <c r="Q2645" s="389"/>
      <c r="R2645" s="416" t="str">
        <f t="shared" ref="R2645:R2649" si="202">IF(R$2610="DELETE","DELETE",IF(O2645=0,"DELETE"," "))</f>
        <v>DELETE</v>
      </c>
    </row>
    <row r="2646" spans="2:24" ht="31.5" customHeight="1" x14ac:dyDescent="0.45">
      <c r="B2646" s="388"/>
      <c r="C2646" s="369"/>
      <c r="D2646" s="368" t="str">
        <f>TrialBalanceC!C26</f>
        <v>Government grants received</v>
      </c>
      <c r="J2646" s="370"/>
      <c r="K2646" s="370"/>
      <c r="L2646" s="372"/>
      <c r="M2646" s="37"/>
      <c r="N2646" s="370"/>
      <c r="O2646" s="456">
        <f>-TrialBalanceC!I26</f>
        <v>0</v>
      </c>
      <c r="P2646" s="380"/>
      <c r="Q2646" s="389"/>
      <c r="R2646" s="416" t="str">
        <f t="shared" si="202"/>
        <v>DELETE</v>
      </c>
    </row>
    <row r="2647" spans="2:24" ht="31.5" customHeight="1" x14ac:dyDescent="0.45">
      <c r="B2647" s="388"/>
      <c r="C2647" s="369"/>
      <c r="D2647" s="368">
        <f>TrialBalanceC!C27</f>
        <v>0</v>
      </c>
      <c r="J2647" s="370"/>
      <c r="K2647" s="370"/>
      <c r="L2647" s="372"/>
      <c r="M2647" s="37"/>
      <c r="N2647" s="370"/>
      <c r="O2647" s="456">
        <f>-TrialBalanceC!I27</f>
        <v>0</v>
      </c>
      <c r="P2647" s="380"/>
      <c r="Q2647" s="389"/>
      <c r="R2647" s="416" t="str">
        <f t="shared" si="202"/>
        <v>DELETE</v>
      </c>
    </row>
    <row r="2648" spans="2:24" ht="31.5" customHeight="1" x14ac:dyDescent="0.45">
      <c r="B2648" s="388"/>
      <c r="C2648" s="369"/>
      <c r="D2648" s="368">
        <f>TrialBalanceC!C28</f>
        <v>0</v>
      </c>
      <c r="J2648" s="370"/>
      <c r="K2648" s="370"/>
      <c r="L2648" s="372"/>
      <c r="M2648" s="37"/>
      <c r="N2648" s="370"/>
      <c r="O2648" s="456">
        <f>-TrialBalanceC!I28</f>
        <v>0</v>
      </c>
      <c r="P2648" s="380"/>
      <c r="Q2648" s="389"/>
      <c r="R2648" s="416" t="str">
        <f t="shared" si="202"/>
        <v>DELETE</v>
      </c>
    </row>
    <row r="2649" spans="2:24" ht="31.5" customHeight="1" x14ac:dyDescent="0.45">
      <c r="B2649" s="388"/>
      <c r="C2649" s="369"/>
      <c r="D2649" s="368">
        <f>TrialBalanceC!C29</f>
        <v>0</v>
      </c>
      <c r="J2649" s="370"/>
      <c r="K2649" s="370"/>
      <c r="L2649" s="372"/>
      <c r="M2649" s="37"/>
      <c r="N2649" s="370"/>
      <c r="O2649" s="456">
        <f>-TrialBalanceC!I29</f>
        <v>0</v>
      </c>
      <c r="P2649" s="380"/>
      <c r="Q2649" s="389"/>
      <c r="R2649" s="416" t="str">
        <f t="shared" si="202"/>
        <v>DELETE</v>
      </c>
    </row>
    <row r="2650" spans="2:24" ht="31.5" customHeight="1" x14ac:dyDescent="0.45">
      <c r="B2650" s="388"/>
      <c r="C2650" s="369"/>
      <c r="D2650" s="368" t="str">
        <f>TrialBalanceC!C30</f>
        <v>Recoupment of depreciation</v>
      </c>
      <c r="J2650" s="370"/>
      <c r="K2650" s="370"/>
      <c r="L2650" s="372"/>
      <c r="M2650" s="37"/>
      <c r="N2650" s="370"/>
      <c r="O2650" s="456">
        <f>-TrialBalanceC!I30</f>
        <v>0</v>
      </c>
      <c r="P2650" s="380"/>
      <c r="Q2650" s="389"/>
      <c r="R2650" s="416" t="str">
        <f t="shared" ref="R2650" si="203">IF(R$2610="DELETE","DELETE",IF(O2650=0,"DELETE"," "))</f>
        <v>DELETE</v>
      </c>
    </row>
    <row r="2651" spans="2:24" ht="9" customHeight="1" x14ac:dyDescent="0.45">
      <c r="B2651" s="388"/>
      <c r="C2651" s="369"/>
      <c r="J2651" s="370"/>
      <c r="K2651" s="370"/>
      <c r="L2651" s="372"/>
      <c r="M2651" s="37"/>
      <c r="N2651" s="370"/>
      <c r="O2651" s="457"/>
      <c r="P2651" s="380"/>
      <c r="Q2651" s="389"/>
      <c r="R2651" s="416" t="str">
        <f>R2642</f>
        <v>DELETE</v>
      </c>
    </row>
    <row r="2652" spans="2:24" ht="9" customHeight="1" x14ac:dyDescent="0.45">
      <c r="B2652" s="388"/>
      <c r="C2652" s="369"/>
      <c r="J2652" s="370"/>
      <c r="K2652" s="370"/>
      <c r="L2652" s="372"/>
      <c r="M2652" s="37"/>
      <c r="N2652" s="370"/>
      <c r="O2652" s="447"/>
      <c r="P2652" s="380"/>
      <c r="Q2652" s="389"/>
      <c r="R2652" s="416" t="str">
        <f>R2651</f>
        <v>DELETE</v>
      </c>
    </row>
    <row r="2653" spans="2:24" ht="9" customHeight="1" x14ac:dyDescent="0.45">
      <c r="B2653" s="388"/>
      <c r="C2653" s="369"/>
      <c r="J2653" s="370"/>
      <c r="K2653" s="370"/>
      <c r="L2653" s="372"/>
      <c r="M2653" s="37"/>
      <c r="N2653" s="370"/>
      <c r="O2653" s="434"/>
      <c r="P2653" s="380"/>
      <c r="Q2653" s="389"/>
      <c r="R2653" s="416" t="str">
        <f>R2652</f>
        <v>DELETE</v>
      </c>
    </row>
    <row r="2654" spans="2:24" ht="31.5" customHeight="1" x14ac:dyDescent="0.45">
      <c r="B2654" s="388"/>
      <c r="C2654" s="369"/>
      <c r="J2654" s="370"/>
      <c r="K2654" s="370"/>
      <c r="L2654" s="372"/>
      <c r="M2654" s="37"/>
      <c r="N2654" s="370"/>
      <c r="O2654" s="434">
        <f>SUM(S2622:S2642)</f>
        <v>0</v>
      </c>
      <c r="P2654" s="380"/>
      <c r="Q2654" s="389"/>
      <c r="R2654" s="416" t="str">
        <f>R2642</f>
        <v>DELETE</v>
      </c>
    </row>
    <row r="2655" spans="2:24" ht="31.5" customHeight="1" x14ac:dyDescent="0.45">
      <c r="B2655" s="388"/>
      <c r="C2655" s="369"/>
      <c r="J2655" s="370"/>
      <c r="K2655" s="370"/>
      <c r="L2655" s="372"/>
      <c r="M2655" s="37"/>
      <c r="N2655" s="370"/>
      <c r="O2655" s="434"/>
      <c r="P2655" s="380"/>
      <c r="Q2655" s="389"/>
      <c r="R2655" s="416" t="str">
        <f>R2654</f>
        <v>DELETE</v>
      </c>
    </row>
    <row r="2656" spans="2:24" ht="31.5" customHeight="1" x14ac:dyDescent="0.45">
      <c r="B2656" s="388"/>
      <c r="C2656" s="369" t="s">
        <v>1051</v>
      </c>
      <c r="J2656" s="370"/>
      <c r="K2656" s="370"/>
      <c r="L2656" s="372"/>
      <c r="M2656" s="37"/>
      <c r="N2656" s="370"/>
      <c r="O2656" s="434">
        <f>SUM(O2658:O2686)</f>
        <v>0</v>
      </c>
      <c r="P2656" s="380"/>
      <c r="Q2656" s="389"/>
      <c r="R2656" s="416" t="str">
        <f t="shared" ref="R2656" si="204">IF(R$2610="DELETE","DELETE",IF(O2656=0,"DELETE"," "))</f>
        <v>DELETE</v>
      </c>
      <c r="S2656" s="421">
        <f>-O2656</f>
        <v>0</v>
      </c>
      <c r="T2656" s="421"/>
      <c r="U2656" s="421"/>
      <c r="V2656" s="421"/>
      <c r="W2656" s="421"/>
      <c r="X2656" s="421"/>
    </row>
    <row r="2657" spans="2:24" ht="9" customHeight="1" x14ac:dyDescent="0.45">
      <c r="B2657" s="388"/>
      <c r="C2657" s="369"/>
      <c r="J2657" s="370"/>
      <c r="K2657" s="370"/>
      <c r="L2657" s="372"/>
      <c r="M2657" s="37"/>
      <c r="N2657" s="370"/>
      <c r="O2657" s="434"/>
      <c r="P2657" s="380"/>
      <c r="Q2657" s="389"/>
      <c r="R2657" s="416" t="str">
        <f>R2656</f>
        <v>DELETE</v>
      </c>
    </row>
    <row r="2658" spans="2:24" ht="9" customHeight="1" x14ac:dyDescent="0.45">
      <c r="B2658" s="388"/>
      <c r="C2658" s="369"/>
      <c r="J2658" s="370"/>
      <c r="K2658" s="370"/>
      <c r="L2658" s="372"/>
      <c r="M2658" s="37"/>
      <c r="N2658" s="370"/>
      <c r="O2658" s="455"/>
      <c r="P2658" s="380"/>
      <c r="Q2658" s="389"/>
      <c r="R2658" s="416" t="str">
        <f>R2657</f>
        <v>DELETE</v>
      </c>
    </row>
    <row r="2659" spans="2:24" ht="31.5" customHeight="1" x14ac:dyDescent="0.45">
      <c r="B2659" s="388"/>
      <c r="C2659" s="369"/>
      <c r="D2659" s="368" t="s">
        <v>277</v>
      </c>
      <c r="J2659" s="370"/>
      <c r="K2659" s="370"/>
      <c r="L2659" s="372"/>
      <c r="M2659" s="37"/>
      <c r="N2659" s="370"/>
      <c r="O2659" s="456">
        <f>TrialBalanceC!I37</f>
        <v>0</v>
      </c>
      <c r="P2659" s="380"/>
      <c r="Q2659" s="389"/>
      <c r="R2659" s="416" t="str">
        <f t="shared" ref="R2659:R2685" si="205">IF(R$2610="DELETE","DELETE",IF(O2659=0,"DELETE"," "))</f>
        <v>DELETE</v>
      </c>
    </row>
    <row r="2660" spans="2:24" ht="31.5" customHeight="1" x14ac:dyDescent="0.45">
      <c r="B2660" s="388"/>
      <c r="C2660" s="369"/>
      <c r="D2660" s="368" t="s">
        <v>703</v>
      </c>
      <c r="J2660" s="370"/>
      <c r="K2660" s="370"/>
      <c r="L2660" s="372"/>
      <c r="M2660" s="37"/>
      <c r="N2660" s="370"/>
      <c r="O2660" s="456">
        <f>TrialBalanceC!I38</f>
        <v>0</v>
      </c>
      <c r="P2660" s="380"/>
      <c r="Q2660" s="389"/>
      <c r="R2660" s="416" t="str">
        <f t="shared" si="205"/>
        <v>DELETE</v>
      </c>
    </row>
    <row r="2661" spans="2:24" ht="31.5" customHeight="1" x14ac:dyDescent="0.45">
      <c r="B2661" s="388"/>
      <c r="C2661" s="369"/>
      <c r="D2661" s="368" t="s">
        <v>278</v>
      </c>
      <c r="J2661" s="370"/>
      <c r="K2661" s="370"/>
      <c r="L2661" s="372"/>
      <c r="M2661" s="37"/>
      <c r="N2661" s="370"/>
      <c r="O2661" s="456">
        <f>TrialBalanceC!I39</f>
        <v>0</v>
      </c>
      <c r="P2661" s="380"/>
      <c r="Q2661" s="389"/>
      <c r="R2661" s="416" t="str">
        <f t="shared" si="205"/>
        <v>DELETE</v>
      </c>
    </row>
    <row r="2662" spans="2:24" ht="31.5" customHeight="1" x14ac:dyDescent="0.45">
      <c r="B2662" s="388"/>
      <c r="C2662" s="369"/>
      <c r="D2662" s="368" t="s">
        <v>279</v>
      </c>
      <c r="J2662" s="370"/>
      <c r="K2662" s="370">
        <f>C$747</f>
        <v>6.2999999999999989</v>
      </c>
      <c r="L2662" s="372"/>
      <c r="M2662" s="37"/>
      <c r="N2662" s="370"/>
      <c r="O2662" s="456">
        <f>SUM(TrialBalanceC!I41:I43)</f>
        <v>0</v>
      </c>
      <c r="P2662" s="380"/>
      <c r="Q2662" s="389"/>
      <c r="R2662" s="416" t="str">
        <f t="shared" si="205"/>
        <v>DELETE</v>
      </c>
    </row>
    <row r="2663" spans="2:24" ht="31.5" customHeight="1" x14ac:dyDescent="0.45">
      <c r="B2663" s="388"/>
      <c r="C2663" s="369"/>
      <c r="D2663" s="368" t="s">
        <v>501</v>
      </c>
      <c r="J2663" s="370"/>
      <c r="K2663" s="370"/>
      <c r="L2663" s="372"/>
      <c r="M2663" s="37"/>
      <c r="N2663" s="370"/>
      <c r="O2663" s="456">
        <f>TrialBalanceC!I44</f>
        <v>0</v>
      </c>
      <c r="P2663" s="380"/>
      <c r="Q2663" s="389"/>
      <c r="R2663" s="416" t="str">
        <f t="shared" si="205"/>
        <v>DELETE</v>
      </c>
      <c r="S2663" s="422"/>
      <c r="T2663" s="422"/>
      <c r="U2663" s="422"/>
      <c r="V2663" s="422"/>
      <c r="W2663" s="422"/>
      <c r="X2663" s="422"/>
    </row>
    <row r="2664" spans="2:24" ht="31.5" customHeight="1" x14ac:dyDescent="0.45">
      <c r="B2664" s="388"/>
      <c r="C2664" s="369"/>
      <c r="D2664" s="368" t="s">
        <v>733</v>
      </c>
      <c r="J2664" s="370"/>
      <c r="K2664" s="370"/>
      <c r="L2664" s="372"/>
      <c r="M2664" s="37"/>
      <c r="N2664" s="370"/>
      <c r="O2664" s="456">
        <f>TrialBalanceC!I45</f>
        <v>0</v>
      </c>
      <c r="P2664" s="380"/>
      <c r="Q2664" s="389"/>
      <c r="R2664" s="416" t="str">
        <f t="shared" si="205"/>
        <v>DELETE</v>
      </c>
    </row>
    <row r="2665" spans="2:24" ht="31.5" customHeight="1" x14ac:dyDescent="0.45">
      <c r="B2665" s="388"/>
      <c r="C2665" s="369"/>
      <c r="D2665" s="368" t="s">
        <v>68</v>
      </c>
      <c r="J2665" s="370"/>
      <c r="K2665" s="370"/>
      <c r="L2665" s="372"/>
      <c r="M2665" s="37"/>
      <c r="N2665" s="370"/>
      <c r="O2665" s="456">
        <f>TrialBalanceC!I46</f>
        <v>0</v>
      </c>
      <c r="P2665" s="380"/>
      <c r="Q2665" s="389"/>
      <c r="R2665" s="416" t="str">
        <f t="shared" si="205"/>
        <v>DELETE</v>
      </c>
    </row>
    <row r="2666" spans="2:24" ht="31.5" customHeight="1" x14ac:dyDescent="0.45">
      <c r="B2666" s="388"/>
      <c r="C2666" s="369"/>
      <c r="D2666" s="368" t="s">
        <v>280</v>
      </c>
      <c r="J2666" s="370"/>
      <c r="K2666" s="370"/>
      <c r="L2666" s="372"/>
      <c r="M2666" s="37"/>
      <c r="N2666" s="370"/>
      <c r="O2666" s="456">
        <f>TrialBalanceC!I47</f>
        <v>0</v>
      </c>
      <c r="P2666" s="380"/>
      <c r="Q2666" s="389"/>
      <c r="R2666" s="416" t="str">
        <f t="shared" si="205"/>
        <v>DELETE</v>
      </c>
    </row>
    <row r="2667" spans="2:24" ht="31.5" customHeight="1" x14ac:dyDescent="0.45">
      <c r="B2667" s="388"/>
      <c r="C2667" s="369"/>
      <c r="D2667" s="368" t="s">
        <v>518</v>
      </c>
      <c r="J2667" s="370"/>
      <c r="K2667" s="370"/>
      <c r="L2667" s="372"/>
      <c r="M2667" s="37"/>
      <c r="N2667" s="370"/>
      <c r="O2667" s="456">
        <f>SUM(TrialBalanceC!I48:I49)</f>
        <v>0</v>
      </c>
      <c r="P2667" s="380"/>
      <c r="Q2667" s="389"/>
      <c r="R2667" s="416" t="str">
        <f t="shared" si="205"/>
        <v>DELETE</v>
      </c>
    </row>
    <row r="2668" spans="2:24" ht="31.5" customHeight="1" x14ac:dyDescent="0.45">
      <c r="B2668" s="388"/>
      <c r="C2668" s="369"/>
      <c r="D2668" s="368" t="s">
        <v>516</v>
      </c>
      <c r="J2668" s="370"/>
      <c r="K2668" s="370"/>
      <c r="L2668" s="372"/>
      <c r="M2668" s="37"/>
      <c r="N2668" s="370"/>
      <c r="O2668" s="456">
        <f>TrialBalanceC!I50</f>
        <v>0</v>
      </c>
      <c r="P2668" s="380"/>
      <c r="Q2668" s="389"/>
      <c r="R2668" s="416" t="str">
        <f t="shared" si="205"/>
        <v>DELETE</v>
      </c>
    </row>
    <row r="2669" spans="2:24" ht="31.5" customHeight="1" x14ac:dyDescent="0.45">
      <c r="B2669" s="388"/>
      <c r="C2669" s="369"/>
      <c r="D2669" s="368" t="s">
        <v>502</v>
      </c>
      <c r="J2669" s="370"/>
      <c r="K2669" s="370"/>
      <c r="L2669" s="372"/>
      <c r="M2669" s="37"/>
      <c r="N2669" s="370"/>
      <c r="O2669" s="456">
        <f>SUM(TrialBalanceC!I52:I56)</f>
        <v>0</v>
      </c>
      <c r="P2669" s="380"/>
      <c r="Q2669" s="389"/>
      <c r="R2669" s="416" t="str">
        <f t="shared" si="205"/>
        <v>DELETE</v>
      </c>
    </row>
    <row r="2670" spans="2:24" ht="31.5" customHeight="1" x14ac:dyDescent="0.45">
      <c r="B2670" s="388"/>
      <c r="C2670" s="369"/>
      <c r="D2670" s="368" t="s">
        <v>483</v>
      </c>
      <c r="J2670" s="370"/>
      <c r="K2670" s="370">
        <f>FS!C$715</f>
        <v>6.1999999999999993</v>
      </c>
      <c r="L2670" s="372"/>
      <c r="M2670" s="37"/>
      <c r="N2670" s="370"/>
      <c r="O2670" s="456">
        <f>SUM(TrialBalanceC!I58:I60)</f>
        <v>0</v>
      </c>
      <c r="P2670" s="380"/>
      <c r="Q2670" s="389"/>
      <c r="R2670" s="416" t="str">
        <f t="shared" si="205"/>
        <v>DELETE</v>
      </c>
    </row>
    <row r="2671" spans="2:24" ht="31.5" customHeight="1" x14ac:dyDescent="0.45">
      <c r="B2671" s="388"/>
      <c r="C2671" s="369"/>
      <c r="D2671" s="368" t="s">
        <v>76</v>
      </c>
      <c r="J2671" s="370"/>
      <c r="K2671" s="370"/>
      <c r="L2671" s="372"/>
      <c r="M2671" s="37"/>
      <c r="N2671" s="370"/>
      <c r="O2671" s="456">
        <f>TrialBalanceC!I61</f>
        <v>0</v>
      </c>
      <c r="P2671" s="380"/>
      <c r="Q2671" s="389"/>
      <c r="R2671" s="416" t="str">
        <f t="shared" si="205"/>
        <v>DELETE</v>
      </c>
    </row>
    <row r="2672" spans="2:24" ht="31.5" customHeight="1" x14ac:dyDescent="0.45">
      <c r="B2672" s="388"/>
      <c r="C2672" s="369"/>
      <c r="D2672" s="368" t="s">
        <v>254</v>
      </c>
      <c r="J2672" s="370"/>
      <c r="K2672" s="370"/>
      <c r="L2672" s="372"/>
      <c r="M2672" s="37"/>
      <c r="N2672" s="370"/>
      <c r="O2672" s="456">
        <f>SUM(TrialBalanceC!I62:I64)</f>
        <v>0</v>
      </c>
      <c r="P2672" s="380"/>
      <c r="Q2672" s="389"/>
      <c r="R2672" s="416" t="str">
        <f t="shared" si="205"/>
        <v>DELETE</v>
      </c>
    </row>
    <row r="2673" spans="2:18" ht="31.5" customHeight="1" x14ac:dyDescent="0.45">
      <c r="B2673" s="388"/>
      <c r="C2673" s="369"/>
      <c r="D2673" s="368" t="s">
        <v>734</v>
      </c>
      <c r="J2673" s="370"/>
      <c r="K2673" s="370"/>
      <c r="L2673" s="372"/>
      <c r="M2673" s="37"/>
      <c r="N2673" s="370"/>
      <c r="O2673" s="456">
        <f>SUM(TrialBalanceC!I65:I66)</f>
        <v>0</v>
      </c>
      <c r="P2673" s="380"/>
      <c r="Q2673" s="389"/>
      <c r="R2673" s="416" t="str">
        <f t="shared" si="205"/>
        <v>DELETE</v>
      </c>
    </row>
    <row r="2674" spans="2:18" ht="31.5" customHeight="1" x14ac:dyDescent="0.45">
      <c r="B2674" s="388"/>
      <c r="C2674" s="369"/>
      <c r="D2674" s="368" t="s">
        <v>255</v>
      </c>
      <c r="J2674" s="370"/>
      <c r="K2674" s="370"/>
      <c r="L2674" s="372"/>
      <c r="M2674" s="37"/>
      <c r="N2674" s="370"/>
      <c r="O2674" s="456">
        <f>TrialBalanceC!I67</f>
        <v>0</v>
      </c>
      <c r="P2674" s="380"/>
      <c r="Q2674" s="389"/>
      <c r="R2674" s="416" t="str">
        <f t="shared" si="205"/>
        <v>DELETE</v>
      </c>
    </row>
    <row r="2675" spans="2:18" ht="31.5" customHeight="1" x14ac:dyDescent="0.45">
      <c r="B2675" s="388"/>
      <c r="C2675" s="369"/>
      <c r="D2675" s="368" t="s">
        <v>392</v>
      </c>
      <c r="J2675" s="370"/>
      <c r="K2675" s="370"/>
      <c r="L2675" s="372"/>
      <c r="M2675" s="37"/>
      <c r="N2675" s="370"/>
      <c r="O2675" s="456">
        <f>TrialBalanceC!I68</f>
        <v>0</v>
      </c>
      <c r="P2675" s="380"/>
      <c r="Q2675" s="389"/>
      <c r="R2675" s="416" t="str">
        <f t="shared" si="205"/>
        <v>DELETE</v>
      </c>
    </row>
    <row r="2676" spans="2:18" ht="31.5" customHeight="1" x14ac:dyDescent="0.45">
      <c r="B2676" s="388"/>
      <c r="C2676" s="369"/>
      <c r="D2676" s="368">
        <f>TrialBalanceC!C69</f>
        <v>0</v>
      </c>
      <c r="J2676" s="370"/>
      <c r="K2676" s="370"/>
      <c r="L2676" s="372"/>
      <c r="M2676" s="37"/>
      <c r="N2676" s="370"/>
      <c r="O2676" s="456">
        <f>TrialBalanceC!I69</f>
        <v>0</v>
      </c>
      <c r="P2676" s="380"/>
      <c r="Q2676" s="389"/>
      <c r="R2676" s="416" t="str">
        <f t="shared" si="205"/>
        <v>DELETE</v>
      </c>
    </row>
    <row r="2677" spans="2:18" ht="31.5" customHeight="1" x14ac:dyDescent="0.45">
      <c r="B2677" s="388"/>
      <c r="C2677" s="369"/>
      <c r="D2677" s="368">
        <f>TrialBalanceC!C70</f>
        <v>0</v>
      </c>
      <c r="J2677" s="370"/>
      <c r="K2677" s="370"/>
      <c r="L2677" s="372"/>
      <c r="M2677" s="37"/>
      <c r="N2677" s="370"/>
      <c r="O2677" s="456">
        <f>TrialBalanceC!I70</f>
        <v>0</v>
      </c>
      <c r="P2677" s="380"/>
      <c r="Q2677" s="389"/>
      <c r="R2677" s="416" t="str">
        <f t="shared" si="205"/>
        <v>DELETE</v>
      </c>
    </row>
    <row r="2678" spans="2:18" ht="31.5" customHeight="1" x14ac:dyDescent="0.45">
      <c r="B2678" s="388"/>
      <c r="C2678" s="369"/>
      <c r="D2678" s="368">
        <f>TrialBalanceC!C71</f>
        <v>0</v>
      </c>
      <c r="J2678" s="370"/>
      <c r="K2678" s="370"/>
      <c r="L2678" s="372"/>
      <c r="M2678" s="37"/>
      <c r="N2678" s="370"/>
      <c r="O2678" s="456">
        <f>TrialBalanceC!I71</f>
        <v>0</v>
      </c>
      <c r="P2678" s="380"/>
      <c r="Q2678" s="389"/>
      <c r="R2678" s="416" t="str">
        <f t="shared" si="205"/>
        <v>DELETE</v>
      </c>
    </row>
    <row r="2679" spans="2:18" ht="31.5" customHeight="1" x14ac:dyDescent="0.45">
      <c r="B2679" s="388"/>
      <c r="C2679" s="369"/>
      <c r="D2679" s="368">
        <f>TrialBalanceC!C72</f>
        <v>0</v>
      </c>
      <c r="J2679" s="370"/>
      <c r="K2679" s="370"/>
      <c r="L2679" s="372"/>
      <c r="M2679" s="37"/>
      <c r="N2679" s="370"/>
      <c r="O2679" s="456">
        <f>TrialBalanceC!I72</f>
        <v>0</v>
      </c>
      <c r="P2679" s="380"/>
      <c r="Q2679" s="389"/>
      <c r="R2679" s="416" t="str">
        <f t="shared" si="205"/>
        <v>DELETE</v>
      </c>
    </row>
    <row r="2680" spans="2:18" ht="31.5" customHeight="1" x14ac:dyDescent="0.45">
      <c r="B2680" s="388"/>
      <c r="C2680" s="369"/>
      <c r="D2680" s="368">
        <f>TrialBalanceC!C73</f>
        <v>0</v>
      </c>
      <c r="J2680" s="370"/>
      <c r="K2680" s="370"/>
      <c r="L2680" s="372"/>
      <c r="M2680" s="37"/>
      <c r="N2680" s="370"/>
      <c r="O2680" s="456">
        <f>TrialBalanceC!I73</f>
        <v>0</v>
      </c>
      <c r="P2680" s="380"/>
      <c r="Q2680" s="389"/>
      <c r="R2680" s="416" t="str">
        <f t="shared" si="205"/>
        <v>DELETE</v>
      </c>
    </row>
    <row r="2681" spans="2:18" ht="31.5" customHeight="1" x14ac:dyDescent="0.45">
      <c r="B2681" s="388"/>
      <c r="C2681" s="369"/>
      <c r="D2681" s="368">
        <f>TrialBalanceC!C74</f>
        <v>0</v>
      </c>
      <c r="J2681" s="370"/>
      <c r="K2681" s="370"/>
      <c r="L2681" s="372"/>
      <c r="M2681" s="37"/>
      <c r="N2681" s="370"/>
      <c r="O2681" s="456">
        <f>TrialBalanceC!I74</f>
        <v>0</v>
      </c>
      <c r="P2681" s="380"/>
      <c r="Q2681" s="389"/>
      <c r="R2681" s="416" t="str">
        <f t="shared" si="205"/>
        <v>DELETE</v>
      </c>
    </row>
    <row r="2682" spans="2:18" ht="31.5" customHeight="1" x14ac:dyDescent="0.45">
      <c r="B2682" s="388"/>
      <c r="C2682" s="369"/>
      <c r="D2682" s="368">
        <f>TrialBalanceC!C75</f>
        <v>0</v>
      </c>
      <c r="J2682" s="370"/>
      <c r="K2682" s="370"/>
      <c r="L2682" s="372"/>
      <c r="M2682" s="37"/>
      <c r="N2682" s="370"/>
      <c r="O2682" s="456">
        <f>TrialBalanceC!I75</f>
        <v>0</v>
      </c>
      <c r="P2682" s="380"/>
      <c r="Q2682" s="389"/>
      <c r="R2682" s="416" t="str">
        <f t="shared" si="205"/>
        <v>DELETE</v>
      </c>
    </row>
    <row r="2683" spans="2:18" ht="31.5" customHeight="1" x14ac:dyDescent="0.45">
      <c r="B2683" s="388"/>
      <c r="C2683" s="369"/>
      <c r="D2683" s="368">
        <f>TrialBalanceC!C76</f>
        <v>0</v>
      </c>
      <c r="J2683" s="370"/>
      <c r="K2683" s="370"/>
      <c r="L2683" s="372"/>
      <c r="M2683" s="37"/>
      <c r="N2683" s="370"/>
      <c r="O2683" s="456">
        <f>TrialBalanceC!I76</f>
        <v>0</v>
      </c>
      <c r="P2683" s="380"/>
      <c r="Q2683" s="389"/>
      <c r="R2683" s="416" t="str">
        <f t="shared" si="205"/>
        <v>DELETE</v>
      </c>
    </row>
    <row r="2684" spans="2:18" ht="31.5" customHeight="1" x14ac:dyDescent="0.45">
      <c r="B2684" s="388"/>
      <c r="C2684" s="369"/>
      <c r="D2684" s="368">
        <f>TrialBalanceC!C77</f>
        <v>0</v>
      </c>
      <c r="J2684" s="370"/>
      <c r="K2684" s="370"/>
      <c r="L2684" s="372"/>
      <c r="M2684" s="37"/>
      <c r="N2684" s="370"/>
      <c r="O2684" s="456">
        <f>TrialBalanceC!I77</f>
        <v>0</v>
      </c>
      <c r="P2684" s="380"/>
      <c r="Q2684" s="389"/>
      <c r="R2684" s="416" t="str">
        <f t="shared" si="205"/>
        <v>DELETE</v>
      </c>
    </row>
    <row r="2685" spans="2:18" ht="31.5" customHeight="1" x14ac:dyDescent="0.45">
      <c r="B2685" s="388"/>
      <c r="C2685" s="369"/>
      <c r="D2685" s="368">
        <f>TrialBalanceC!C78</f>
        <v>0</v>
      </c>
      <c r="J2685" s="370"/>
      <c r="K2685" s="370"/>
      <c r="L2685" s="372"/>
      <c r="M2685" s="37"/>
      <c r="N2685" s="370"/>
      <c r="O2685" s="456">
        <f>TrialBalanceC!I78</f>
        <v>0</v>
      </c>
      <c r="P2685" s="380"/>
      <c r="Q2685" s="389"/>
      <c r="R2685" s="416" t="str">
        <f t="shared" si="205"/>
        <v>DELETE</v>
      </c>
    </row>
    <row r="2686" spans="2:18" ht="9" customHeight="1" x14ac:dyDescent="0.45">
      <c r="B2686" s="388"/>
      <c r="C2686" s="369"/>
      <c r="J2686" s="370"/>
      <c r="K2686" s="370"/>
      <c r="L2686" s="372"/>
      <c r="M2686" s="37"/>
      <c r="N2686" s="370"/>
      <c r="O2686" s="457"/>
      <c r="P2686" s="380"/>
      <c r="Q2686" s="389"/>
      <c r="R2686" s="416" t="str">
        <f>R2656</f>
        <v>DELETE</v>
      </c>
    </row>
    <row r="2687" spans="2:18" ht="9" customHeight="1" x14ac:dyDescent="0.45">
      <c r="B2687" s="388"/>
      <c r="C2687" s="369"/>
      <c r="J2687" s="370"/>
      <c r="K2687" s="370"/>
      <c r="L2687" s="372"/>
      <c r="M2687" s="37"/>
      <c r="N2687" s="370"/>
      <c r="O2687" s="438"/>
      <c r="P2687" s="380"/>
      <c r="Q2687" s="389"/>
      <c r="R2687" s="416" t="str">
        <f t="shared" ref="R2687:R2707" si="206">R$2610</f>
        <v>DELETE</v>
      </c>
    </row>
    <row r="2688" spans="2:18" ht="9" customHeight="1" x14ac:dyDescent="0.45">
      <c r="B2688" s="388"/>
      <c r="C2688" s="369"/>
      <c r="J2688" s="370"/>
      <c r="K2688" s="370"/>
      <c r="L2688" s="372"/>
      <c r="M2688" s="37"/>
      <c r="N2688" s="370"/>
      <c r="O2688" s="434"/>
      <c r="P2688" s="380"/>
      <c r="Q2688" s="389"/>
      <c r="R2688" s="416" t="str">
        <f t="shared" si="206"/>
        <v>DELETE</v>
      </c>
    </row>
    <row r="2689" spans="2:18" ht="31.5" customHeight="1" x14ac:dyDescent="0.45">
      <c r="B2689" s="388"/>
      <c r="C2689" s="411" t="str">
        <f>IF(O2689&lt;0,"OPERATING LOSS","OPERATING PROFIT")</f>
        <v>OPERATING PROFIT</v>
      </c>
      <c r="J2689" s="370"/>
      <c r="K2689" s="370"/>
      <c r="L2689" s="372"/>
      <c r="M2689" s="37"/>
      <c r="N2689" s="370"/>
      <c r="O2689" s="434">
        <f>SUM(S2622:S2687)</f>
        <v>0</v>
      </c>
      <c r="P2689" s="380"/>
      <c r="Q2689" s="389"/>
      <c r="R2689" s="416" t="str">
        <f t="shared" si="206"/>
        <v>DELETE</v>
      </c>
    </row>
    <row r="2690" spans="2:18" ht="31.5" customHeight="1" x14ac:dyDescent="0.45">
      <c r="B2690" s="388"/>
      <c r="C2690" s="369"/>
      <c r="D2690" s="368" t="s">
        <v>257</v>
      </c>
      <c r="J2690" s="370"/>
      <c r="K2690" s="370"/>
      <c r="L2690" s="372"/>
      <c r="M2690" s="37"/>
      <c r="N2690" s="370"/>
      <c r="O2690" s="434"/>
      <c r="P2690" s="380"/>
      <c r="Q2690" s="389"/>
      <c r="R2690" s="416" t="str">
        <f t="shared" si="206"/>
        <v>DELETE</v>
      </c>
    </row>
    <row r="2691" spans="2:18" ht="31.5" customHeight="1" x14ac:dyDescent="0.45">
      <c r="B2691" s="388"/>
      <c r="C2691" s="369"/>
      <c r="J2691" s="370"/>
      <c r="K2691" s="370"/>
      <c r="L2691" s="370"/>
      <c r="M2691" s="434"/>
      <c r="N2691" s="390"/>
      <c r="O2691" s="434"/>
      <c r="P2691" s="380"/>
      <c r="Q2691" s="389"/>
      <c r="R2691" s="416" t="str">
        <f t="shared" si="206"/>
        <v>DELETE</v>
      </c>
    </row>
    <row r="2692" spans="2:18" ht="31.5" customHeight="1" x14ac:dyDescent="0.45">
      <c r="B2692" s="388"/>
      <c r="C2692" s="369"/>
      <c r="J2692" s="370"/>
      <c r="K2692" s="370"/>
      <c r="L2692" s="370"/>
      <c r="M2692" s="434"/>
      <c r="N2692" s="390"/>
      <c r="O2692" s="434"/>
      <c r="P2692" s="380"/>
      <c r="Q2692" s="389"/>
      <c r="R2692" s="416" t="str">
        <f t="shared" si="206"/>
        <v>DELETE</v>
      </c>
    </row>
    <row r="2693" spans="2:18" ht="31.5" customHeight="1" x14ac:dyDescent="0.45">
      <c r="B2693" s="396"/>
      <c r="C2693" s="407"/>
      <c r="D2693" s="383"/>
      <c r="E2693" s="383"/>
      <c r="F2693" s="383"/>
      <c r="G2693" s="383"/>
      <c r="H2693" s="383"/>
      <c r="I2693" s="383"/>
      <c r="J2693" s="403"/>
      <c r="K2693" s="403"/>
      <c r="L2693" s="403"/>
      <c r="M2693" s="438"/>
      <c r="N2693" s="392"/>
      <c r="O2693" s="438"/>
      <c r="P2693" s="404"/>
      <c r="Q2693" s="398"/>
      <c r="R2693" s="416" t="str">
        <f t="shared" si="206"/>
        <v>DELETE</v>
      </c>
    </row>
    <row r="2694" spans="2:18" ht="31.5" customHeight="1" x14ac:dyDescent="0.45">
      <c r="C2694" s="369"/>
      <c r="J2694" s="370"/>
      <c r="K2694" s="370"/>
      <c r="L2694" s="370"/>
      <c r="M2694" s="434"/>
      <c r="N2694" s="390"/>
      <c r="O2694" s="434"/>
      <c r="P2694" s="380"/>
      <c r="R2694" s="416" t="str">
        <f t="shared" si="206"/>
        <v>DELETE</v>
      </c>
    </row>
    <row r="2695" spans="2:18" ht="31.5" customHeight="1" x14ac:dyDescent="0.45">
      <c r="C2695" s="369"/>
      <c r="J2695" s="370"/>
      <c r="K2695" s="370"/>
      <c r="L2695" s="370"/>
      <c r="M2695" s="434"/>
      <c r="N2695" s="390"/>
      <c r="O2695" s="434"/>
      <c r="P2695" s="380"/>
      <c r="R2695" s="416" t="str">
        <f t="shared" si="206"/>
        <v>DELETE</v>
      </c>
    </row>
    <row r="2696" spans="2:18" ht="31.5" customHeight="1" x14ac:dyDescent="0.45">
      <c r="C2696" s="369"/>
      <c r="D2696" s="369" t="str">
        <f>Criteria!E9</f>
        <v>ABC TRUST</v>
      </c>
      <c r="J2696" s="370"/>
      <c r="K2696" s="370"/>
      <c r="L2696" s="370"/>
      <c r="M2696" s="434"/>
      <c r="N2696" s="390"/>
      <c r="O2696" s="434" t="s">
        <v>105</v>
      </c>
      <c r="P2696" s="380"/>
      <c r="Q2696" s="370">
        <f>MAX($Q$2613:Q2695)+1</f>
        <v>2</v>
      </c>
      <c r="R2696" s="416" t="str">
        <f t="shared" si="206"/>
        <v>DELETE</v>
      </c>
    </row>
    <row r="2697" spans="2:18" ht="31.5" customHeight="1" x14ac:dyDescent="0.45">
      <c r="C2697" s="369"/>
      <c r="D2697" s="369" t="str">
        <f>CONCATENATE("T/A ",Criteria!E16)</f>
        <v xml:space="preserve">T/A </v>
      </c>
      <c r="J2697" s="370"/>
      <c r="K2697" s="370"/>
      <c r="L2697" s="370"/>
      <c r="M2697" s="434"/>
      <c r="N2697" s="390"/>
      <c r="O2697" s="434"/>
      <c r="P2697" s="380"/>
      <c r="R2697" s="416" t="str">
        <f t="shared" si="206"/>
        <v>DELETE</v>
      </c>
    </row>
    <row r="2698" spans="2:18" ht="31.5" customHeight="1" x14ac:dyDescent="0.45">
      <c r="C2698" s="369"/>
      <c r="J2698" s="370"/>
      <c r="K2698" s="370"/>
      <c r="L2698" s="370"/>
      <c r="M2698" s="434"/>
      <c r="N2698" s="390"/>
      <c r="O2698" s="434"/>
      <c r="P2698" s="380"/>
      <c r="R2698" s="416" t="str">
        <f t="shared" si="206"/>
        <v>DELETE</v>
      </c>
    </row>
    <row r="2699" spans="2:18" ht="31.5" customHeight="1" x14ac:dyDescent="0.45">
      <c r="C2699" s="369"/>
      <c r="D2699" s="369" t="s">
        <v>100</v>
      </c>
      <c r="J2699" s="370"/>
      <c r="K2699" s="370"/>
      <c r="L2699" s="370"/>
      <c r="M2699" s="434"/>
      <c r="N2699" s="390"/>
      <c r="O2699" s="434"/>
      <c r="P2699" s="380"/>
      <c r="R2699" s="416" t="str">
        <f t="shared" si="206"/>
        <v>DELETE</v>
      </c>
    </row>
    <row r="2700" spans="2:18" ht="31.5" customHeight="1" x14ac:dyDescent="0.45">
      <c r="C2700" s="369"/>
      <c r="D2700" s="369" t="str">
        <f>D2617</f>
        <v>29 FEBRUARY 2024</v>
      </c>
      <c r="H2700" s="368" t="s">
        <v>111</v>
      </c>
      <c r="J2700" s="370"/>
      <c r="K2700" s="370"/>
      <c r="L2700" s="370"/>
      <c r="M2700" s="434"/>
      <c r="N2700" s="390"/>
      <c r="O2700" s="434"/>
      <c r="P2700" s="380"/>
      <c r="R2700" s="416" t="str">
        <f t="shared" si="206"/>
        <v>DELETE</v>
      </c>
    </row>
    <row r="2701" spans="2:18" ht="31.5" customHeight="1" x14ac:dyDescent="0.45">
      <c r="C2701" s="369"/>
      <c r="J2701" s="370"/>
      <c r="K2701" s="403"/>
      <c r="L2701" s="403"/>
      <c r="M2701" s="438"/>
      <c r="N2701" s="392"/>
      <c r="O2701" s="438"/>
      <c r="P2701" s="380"/>
      <c r="R2701" s="416" t="str">
        <f t="shared" si="206"/>
        <v>DELETE</v>
      </c>
    </row>
    <row r="2702" spans="2:18" ht="31.5" customHeight="1" x14ac:dyDescent="0.45">
      <c r="B2702" s="385"/>
      <c r="C2702" s="410"/>
      <c r="D2702" s="386"/>
      <c r="E2702" s="386"/>
      <c r="F2702" s="386"/>
      <c r="G2702" s="386"/>
      <c r="H2702" s="386"/>
      <c r="I2702" s="386"/>
      <c r="J2702" s="413"/>
      <c r="M2702" s="479"/>
      <c r="N2702" s="469"/>
      <c r="O2702" s="479"/>
      <c r="P2702" s="406"/>
      <c r="Q2702" s="387"/>
      <c r="R2702" s="416" t="str">
        <f t="shared" si="206"/>
        <v>DELETE</v>
      </c>
    </row>
    <row r="2703" spans="2:18" ht="31.5" customHeight="1" x14ac:dyDescent="0.45">
      <c r="B2703" s="388"/>
      <c r="C2703" s="369"/>
      <c r="J2703" s="370"/>
      <c r="K2703" s="370"/>
      <c r="L2703" s="372"/>
      <c r="M2703" s="37"/>
      <c r="N2703" s="370"/>
      <c r="O2703" s="430">
        <f>Criteria!E22</f>
        <v>2024</v>
      </c>
      <c r="P2703" s="380"/>
      <c r="Q2703" s="389"/>
      <c r="R2703" s="416" t="str">
        <f t="shared" si="206"/>
        <v>DELETE</v>
      </c>
    </row>
    <row r="2704" spans="2:18" ht="31.5" customHeight="1" x14ac:dyDescent="0.45">
      <c r="B2704" s="388"/>
      <c r="C2704" s="369"/>
      <c r="J2704" s="370"/>
      <c r="K2704" s="370"/>
      <c r="L2704" s="372"/>
      <c r="M2704" s="37"/>
      <c r="N2704" s="370"/>
      <c r="O2704" s="434"/>
      <c r="P2704" s="380"/>
      <c r="Q2704" s="389"/>
      <c r="R2704" s="416" t="str">
        <f t="shared" si="206"/>
        <v>DELETE</v>
      </c>
    </row>
    <row r="2705" spans="2:24" ht="31.5" customHeight="1" x14ac:dyDescent="0.45">
      <c r="B2705" s="388"/>
      <c r="C2705" s="411" t="str">
        <f>IF(O2705&lt;0,"OPERATING LOSS","OPERATING PROFIT")</f>
        <v>OPERATING PROFIT</v>
      </c>
      <c r="J2705" s="370"/>
      <c r="K2705" s="370"/>
      <c r="L2705" s="372"/>
      <c r="M2705" s="37"/>
      <c r="N2705" s="370"/>
      <c r="O2705" s="434">
        <f>SUM(S2622:S2686)</f>
        <v>0</v>
      </c>
      <c r="P2705" s="380"/>
      <c r="Q2705" s="389"/>
      <c r="R2705" s="416" t="str">
        <f t="shared" si="206"/>
        <v>DELETE</v>
      </c>
      <c r="V2705" s="417" t="b">
        <f>O2705=O2689</f>
        <v>1</v>
      </c>
    </row>
    <row r="2706" spans="2:24" ht="31.5" customHeight="1" x14ac:dyDescent="0.45">
      <c r="B2706" s="388"/>
      <c r="C2706" s="369"/>
      <c r="D2706" s="368" t="s">
        <v>258</v>
      </c>
      <c r="J2706" s="370"/>
      <c r="K2706" s="370"/>
      <c r="L2706" s="372"/>
      <c r="M2706" s="37"/>
      <c r="N2706" s="370"/>
      <c r="O2706" s="434"/>
      <c r="P2706" s="380"/>
      <c r="Q2706" s="389"/>
      <c r="R2706" s="416" t="str">
        <f t="shared" si="206"/>
        <v>DELETE</v>
      </c>
    </row>
    <row r="2707" spans="2:24" ht="31.5" customHeight="1" x14ac:dyDescent="0.45">
      <c r="B2707" s="388"/>
      <c r="C2707" s="369"/>
      <c r="J2707" s="370"/>
      <c r="K2707" s="370"/>
      <c r="L2707" s="372"/>
      <c r="M2707" s="37"/>
      <c r="N2707" s="370"/>
      <c r="O2707" s="434"/>
      <c r="P2707" s="380"/>
      <c r="Q2707" s="389"/>
      <c r="R2707" s="416" t="str">
        <f t="shared" si="206"/>
        <v>DELETE</v>
      </c>
    </row>
    <row r="2708" spans="2:24" ht="31.5" customHeight="1" x14ac:dyDescent="0.45">
      <c r="B2708" s="388"/>
      <c r="C2708" s="369" t="s">
        <v>1045</v>
      </c>
      <c r="J2708" s="370"/>
      <c r="K2708" s="370"/>
      <c r="L2708" s="372"/>
      <c r="M2708" s="37"/>
      <c r="N2708" s="370"/>
      <c r="O2708" s="434">
        <f>SUM(O2711:O2743)</f>
        <v>0</v>
      </c>
      <c r="P2708" s="380"/>
      <c r="Q2708" s="389"/>
      <c r="R2708" s="416" t="str">
        <f t="shared" ref="R2708" si="207">IF(R$2610="DELETE","DELETE",IF(O2708=0,"DELETE"," "))</f>
        <v>DELETE</v>
      </c>
      <c r="S2708" s="421">
        <f>-O2708</f>
        <v>0</v>
      </c>
      <c r="T2708" s="421"/>
      <c r="U2708" s="421"/>
      <c r="V2708" s="421"/>
      <c r="W2708" s="421"/>
      <c r="X2708" s="421"/>
    </row>
    <row r="2709" spans="2:24" ht="9" customHeight="1" x14ac:dyDescent="0.45">
      <c r="B2709" s="388"/>
      <c r="C2709" s="369"/>
      <c r="J2709" s="370"/>
      <c r="K2709" s="370"/>
      <c r="L2709" s="372"/>
      <c r="M2709" s="37"/>
      <c r="N2709" s="370"/>
      <c r="O2709" s="434"/>
      <c r="P2709" s="380"/>
      <c r="Q2709" s="389"/>
      <c r="R2709" s="416" t="str">
        <f>R2708</f>
        <v>DELETE</v>
      </c>
    </row>
    <row r="2710" spans="2:24" ht="9" customHeight="1" x14ac:dyDescent="0.45">
      <c r="B2710" s="388"/>
      <c r="C2710" s="369"/>
      <c r="J2710" s="370"/>
      <c r="K2710" s="370"/>
      <c r="L2710" s="372"/>
      <c r="M2710" s="37"/>
      <c r="N2710" s="370"/>
      <c r="O2710" s="455"/>
      <c r="P2710" s="380"/>
      <c r="Q2710" s="389"/>
      <c r="R2710" s="416" t="str">
        <f>R2709</f>
        <v>DELETE</v>
      </c>
    </row>
    <row r="2711" spans="2:24" ht="31.5" customHeight="1" x14ac:dyDescent="0.45">
      <c r="B2711" s="388"/>
      <c r="C2711" s="369"/>
      <c r="D2711" s="368" t="s">
        <v>218</v>
      </c>
      <c r="J2711" s="370"/>
      <c r="K2711" s="370"/>
      <c r="L2711" s="372"/>
      <c r="M2711" s="37"/>
      <c r="N2711" s="370"/>
      <c r="O2711" s="456">
        <f>SUM(TrialBalanceC!I85:I88)</f>
        <v>0</v>
      </c>
      <c r="P2711" s="380"/>
      <c r="Q2711" s="389"/>
      <c r="R2711" s="416" t="str">
        <f t="shared" ref="R2711:R2741" si="208">IF(R$2610="DELETE","DELETE",IF(O2711=0,"DELETE"," "))</f>
        <v>DELETE</v>
      </c>
    </row>
    <row r="2712" spans="2:24" ht="31.5" customHeight="1" x14ac:dyDescent="0.45">
      <c r="B2712" s="388"/>
      <c r="C2712" s="369"/>
      <c r="D2712" s="368" t="s">
        <v>222</v>
      </c>
      <c r="J2712" s="370"/>
      <c r="K2712" s="370"/>
      <c r="L2712" s="372"/>
      <c r="M2712" s="37"/>
      <c r="N2712" s="370"/>
      <c r="O2712" s="456">
        <f>TrialBalanceC!I90</f>
        <v>0</v>
      </c>
      <c r="P2712" s="380"/>
      <c r="Q2712" s="389"/>
      <c r="R2712" s="416" t="str">
        <f>IF(R$2610="DELETE","DELETE",IF(O2712=0,"DELETE"," "))</f>
        <v>DELETE</v>
      </c>
    </row>
    <row r="2713" spans="2:24" ht="31.5" customHeight="1" x14ac:dyDescent="0.45">
      <c r="B2713" s="388"/>
      <c r="C2713" s="369"/>
      <c r="D2713" s="368" t="s">
        <v>220</v>
      </c>
      <c r="J2713" s="370"/>
      <c r="K2713" s="370"/>
      <c r="L2713" s="372"/>
      <c r="M2713" s="37"/>
      <c r="N2713" s="370"/>
      <c r="O2713" s="456">
        <f>TrialBalanceC!I89</f>
        <v>0</v>
      </c>
      <c r="P2713" s="380"/>
      <c r="Q2713" s="389"/>
      <c r="R2713" s="416" t="str">
        <f>IF(R$2610="DELETE","DELETE",IF(O2713=0,"DELETE"," "))</f>
        <v>DELETE</v>
      </c>
    </row>
    <row r="2714" spans="2:24" ht="31.5" customHeight="1" x14ac:dyDescent="0.45">
      <c r="B2714" s="388"/>
      <c r="C2714" s="369"/>
      <c r="D2714" s="368" t="s">
        <v>259</v>
      </c>
      <c r="J2714" s="370"/>
      <c r="K2714" s="370"/>
      <c r="L2714" s="372"/>
      <c r="M2714" s="37"/>
      <c r="N2714" s="370"/>
      <c r="O2714" s="456">
        <f>TrialBalanceC!I91</f>
        <v>0</v>
      </c>
      <c r="P2714" s="380"/>
      <c r="Q2714" s="389"/>
      <c r="R2714" s="416" t="str">
        <f t="shared" si="208"/>
        <v>DELETE</v>
      </c>
    </row>
    <row r="2715" spans="2:24" ht="31.5" customHeight="1" x14ac:dyDescent="0.45">
      <c r="B2715" s="388"/>
      <c r="C2715" s="369"/>
      <c r="D2715" s="368" t="s">
        <v>225</v>
      </c>
      <c r="J2715" s="370"/>
      <c r="K2715" s="370"/>
      <c r="L2715" s="372"/>
      <c r="M2715" s="37"/>
      <c r="N2715" s="370"/>
      <c r="O2715" s="456">
        <f>TrialBalanceC!I92</f>
        <v>0</v>
      </c>
      <c r="P2715" s="380"/>
      <c r="Q2715" s="389"/>
      <c r="R2715" s="416" t="str">
        <f t="shared" si="208"/>
        <v>DELETE</v>
      </c>
    </row>
    <row r="2716" spans="2:24" ht="31.5" customHeight="1" x14ac:dyDescent="0.45">
      <c r="B2716" s="388"/>
      <c r="C2716" s="369"/>
      <c r="D2716" s="368" t="s">
        <v>735</v>
      </c>
      <c r="J2716" s="370"/>
      <c r="K2716" s="370"/>
      <c r="L2716" s="372"/>
      <c r="M2716" s="37"/>
      <c r="N2716" s="370"/>
      <c r="O2716" s="456">
        <f>TrialBalanceC!I93</f>
        <v>0</v>
      </c>
      <c r="P2716" s="380"/>
      <c r="Q2716" s="389"/>
      <c r="R2716" s="416" t="str">
        <f t="shared" si="208"/>
        <v>DELETE</v>
      </c>
    </row>
    <row r="2717" spans="2:24" ht="31.5" customHeight="1" x14ac:dyDescent="0.45">
      <c r="B2717" s="388"/>
      <c r="C2717" s="369"/>
      <c r="D2717" s="368" t="s">
        <v>279</v>
      </c>
      <c r="J2717" s="370"/>
      <c r="K2717" s="370">
        <f>C$747</f>
        <v>6.2999999999999989</v>
      </c>
      <c r="L2717" s="372"/>
      <c r="M2717" s="37"/>
      <c r="N2717" s="370"/>
      <c r="O2717" s="456">
        <f>SUM(TrialBalanceC!I95:I96)</f>
        <v>0</v>
      </c>
      <c r="P2717" s="380"/>
      <c r="Q2717" s="389"/>
      <c r="R2717" s="416" t="str">
        <f t="shared" si="208"/>
        <v>DELETE</v>
      </c>
    </row>
    <row r="2718" spans="2:24" ht="31.5" customHeight="1" x14ac:dyDescent="0.45">
      <c r="B2718" s="388"/>
      <c r="C2718" s="369"/>
      <c r="D2718" s="368" t="s">
        <v>260</v>
      </c>
      <c r="J2718" s="370"/>
      <c r="K2718" s="370"/>
      <c r="L2718" s="372"/>
      <c r="M2718" s="37"/>
      <c r="N2718" s="370"/>
      <c r="O2718" s="456">
        <f>TrialBalanceC!I103</f>
        <v>0</v>
      </c>
      <c r="P2718" s="380"/>
      <c r="Q2718" s="389"/>
      <c r="R2718" s="416" t="str">
        <f t="shared" si="208"/>
        <v>DELETE</v>
      </c>
    </row>
    <row r="2719" spans="2:24" ht="31.5" customHeight="1" x14ac:dyDescent="0.45">
      <c r="B2719" s="388"/>
      <c r="C2719" s="369"/>
      <c r="D2719" s="368" t="s">
        <v>375</v>
      </c>
      <c r="J2719" s="370"/>
      <c r="K2719" s="370"/>
      <c r="L2719" s="372"/>
      <c r="M2719" s="37"/>
      <c r="N2719" s="370"/>
      <c r="O2719" s="456">
        <f>TrialBalanceC!I104</f>
        <v>0</v>
      </c>
      <c r="P2719" s="380"/>
      <c r="Q2719" s="389"/>
      <c r="R2719" s="416" t="str">
        <f t="shared" si="208"/>
        <v>DELETE</v>
      </c>
    </row>
    <row r="2720" spans="2:24" ht="31.5" customHeight="1" x14ac:dyDescent="0.45">
      <c r="B2720" s="388"/>
      <c r="C2720" s="369"/>
      <c r="D2720" s="368" t="s">
        <v>326</v>
      </c>
      <c r="J2720" s="370"/>
      <c r="K2720" s="370"/>
      <c r="L2720" s="372"/>
      <c r="M2720" s="37"/>
      <c r="N2720" s="370"/>
      <c r="O2720" s="456">
        <f>TrialBalanceC!I105</f>
        <v>0</v>
      </c>
      <c r="P2720" s="380"/>
      <c r="Q2720" s="389"/>
      <c r="R2720" s="416" t="str">
        <f t="shared" si="208"/>
        <v>DELETE</v>
      </c>
    </row>
    <row r="2721" spans="2:18" ht="31.5" customHeight="1" x14ac:dyDescent="0.45">
      <c r="B2721" s="388"/>
      <c r="C2721" s="369"/>
      <c r="D2721" s="368" t="s">
        <v>377</v>
      </c>
      <c r="J2721" s="370"/>
      <c r="K2721" s="370"/>
      <c r="L2721" s="372"/>
      <c r="M2721" s="37"/>
      <c r="N2721" s="370"/>
      <c r="O2721" s="456">
        <f>TrialBalanceC!I106</f>
        <v>0</v>
      </c>
      <c r="P2721" s="380"/>
      <c r="Q2721" s="389"/>
      <c r="R2721" s="416" t="str">
        <f t="shared" si="208"/>
        <v>DELETE</v>
      </c>
    </row>
    <row r="2722" spans="2:18" ht="31.5" customHeight="1" x14ac:dyDescent="0.45">
      <c r="B2722" s="388"/>
      <c r="C2722" s="369"/>
      <c r="D2722" s="368" t="s">
        <v>1081</v>
      </c>
      <c r="J2722" s="370"/>
      <c r="K2722" s="370"/>
      <c r="L2722" s="372"/>
      <c r="M2722" s="37"/>
      <c r="N2722" s="370"/>
      <c r="O2722" s="456">
        <f>IF(TrialBalanceC!I141&gt;0,TrialBalanceC!I141,0)</f>
        <v>0</v>
      </c>
      <c r="P2722" s="380"/>
      <c r="Q2722" s="389"/>
      <c r="R2722" s="416" t="str">
        <f>IF(R$2610="DELETE","DELETE",IF(O2722=0,"DELETE"," "))</f>
        <v>DELETE</v>
      </c>
    </row>
    <row r="2723" spans="2:18" ht="31.5" customHeight="1" x14ac:dyDescent="0.45">
      <c r="B2723" s="388"/>
      <c r="C2723" s="369"/>
      <c r="D2723" s="368" t="s">
        <v>496</v>
      </c>
      <c r="J2723" s="370"/>
      <c r="K2723" s="370"/>
      <c r="L2723" s="372"/>
      <c r="M2723" s="37"/>
      <c r="N2723" s="370"/>
      <c r="O2723" s="456">
        <f>TrialBalanceC!I107+TrialBalanceC!I108</f>
        <v>0</v>
      </c>
      <c r="P2723" s="380"/>
      <c r="Q2723" s="389"/>
      <c r="R2723" s="416" t="str">
        <f t="shared" si="208"/>
        <v>DELETE</v>
      </c>
    </row>
    <row r="2724" spans="2:18" ht="31.5" customHeight="1" x14ac:dyDescent="0.45">
      <c r="B2724" s="388"/>
      <c r="C2724" s="369"/>
      <c r="D2724" s="368" t="s">
        <v>519</v>
      </c>
      <c r="J2724" s="370"/>
      <c r="K2724" s="370"/>
      <c r="L2724" s="372"/>
      <c r="M2724" s="37"/>
      <c r="N2724" s="370"/>
      <c r="O2724" s="456">
        <f>IF(TrialBalanceC!I81&gt;0,TrialBalanceC!I81,0)</f>
        <v>0</v>
      </c>
      <c r="P2724" s="380"/>
      <c r="Q2724" s="389"/>
      <c r="R2724" s="416" t="str">
        <f>IF(R$2610="DELETE","DELETE",IF(O2724=0,"DELETE"," "))</f>
        <v>DELETE</v>
      </c>
    </row>
    <row r="2725" spans="2:18" ht="31.5" customHeight="1" x14ac:dyDescent="0.45">
      <c r="B2725" s="388"/>
      <c r="C2725" s="369"/>
      <c r="D2725" s="368" t="s">
        <v>736</v>
      </c>
      <c r="J2725" s="370"/>
      <c r="K2725" s="370"/>
      <c r="L2725" s="372"/>
      <c r="M2725" s="37"/>
      <c r="N2725" s="370"/>
      <c r="O2725" s="456">
        <f>TrialBalanceC!I109</f>
        <v>0</v>
      </c>
      <c r="P2725" s="380"/>
      <c r="Q2725" s="389"/>
      <c r="R2725" s="416" t="str">
        <f>IF(R$2610="DELETE","DELETE",IF(O2725=0,"DELETE"," "))</f>
        <v>DELETE</v>
      </c>
    </row>
    <row r="2726" spans="2:18" ht="31.5" customHeight="1" x14ac:dyDescent="0.45">
      <c r="B2726" s="388"/>
      <c r="C2726" s="369"/>
      <c r="D2726" s="368" t="s">
        <v>261</v>
      </c>
      <c r="J2726" s="370"/>
      <c r="K2726" s="370"/>
      <c r="L2726" s="372"/>
      <c r="M2726" s="37"/>
      <c r="N2726" s="370"/>
      <c r="O2726" s="456">
        <f>TrialBalanceC!I110</f>
        <v>0</v>
      </c>
      <c r="P2726" s="380"/>
      <c r="Q2726" s="389"/>
      <c r="R2726" s="416" t="str">
        <f>IF(R$2610="DELETE","DELETE",IF(O2726=0,"DELETE"," "))</f>
        <v>DELETE</v>
      </c>
    </row>
    <row r="2727" spans="2:18" ht="31.5" customHeight="1" x14ac:dyDescent="0.45">
      <c r="B2727" s="388"/>
      <c r="C2727" s="369"/>
      <c r="D2727" s="368" t="s">
        <v>254</v>
      </c>
      <c r="J2727" s="370"/>
      <c r="K2727" s="370"/>
      <c r="L2727" s="372"/>
      <c r="M2727" s="37"/>
      <c r="N2727" s="370"/>
      <c r="O2727" s="456">
        <f>SUM(TrialBalanceC!I111:I112)</f>
        <v>0</v>
      </c>
      <c r="P2727" s="380"/>
      <c r="Q2727" s="389"/>
      <c r="R2727" s="416" t="str">
        <f t="shared" si="208"/>
        <v>DELETE</v>
      </c>
    </row>
    <row r="2728" spans="2:18" ht="31.5" customHeight="1" x14ac:dyDescent="0.45">
      <c r="B2728" s="388"/>
      <c r="C2728" s="369"/>
      <c r="D2728" s="368" t="s">
        <v>262</v>
      </c>
      <c r="J2728" s="370"/>
      <c r="K2728" s="370"/>
      <c r="L2728" s="372"/>
      <c r="M2728" s="37"/>
      <c r="N2728" s="370"/>
      <c r="O2728" s="456">
        <f>TrialBalanceC!I113</f>
        <v>0</v>
      </c>
      <c r="P2728" s="380"/>
      <c r="Q2728" s="389"/>
      <c r="R2728" s="416" t="str">
        <f t="shared" si="208"/>
        <v>DELETE</v>
      </c>
    </row>
    <row r="2729" spans="2:18" ht="31.5" customHeight="1" x14ac:dyDescent="0.45">
      <c r="B2729" s="388"/>
      <c r="C2729" s="369"/>
      <c r="D2729" s="368" t="s">
        <v>737</v>
      </c>
      <c r="J2729" s="370"/>
      <c r="K2729" s="370"/>
      <c r="L2729" s="372"/>
      <c r="M2729" s="37"/>
      <c r="N2729" s="370"/>
      <c r="O2729" s="456">
        <f>TrialBalanceC!I114</f>
        <v>0</v>
      </c>
      <c r="P2729" s="380"/>
      <c r="Q2729" s="389"/>
      <c r="R2729" s="416" t="str">
        <f t="shared" si="208"/>
        <v>DELETE</v>
      </c>
    </row>
    <row r="2730" spans="2:18" ht="31.5" customHeight="1" x14ac:dyDescent="0.45">
      <c r="B2730" s="388"/>
      <c r="C2730" s="369"/>
      <c r="D2730" s="368" t="s">
        <v>88</v>
      </c>
      <c r="J2730" s="370"/>
      <c r="K2730" s="370"/>
      <c r="L2730" s="372"/>
      <c r="M2730" s="37"/>
      <c r="N2730" s="370"/>
      <c r="O2730" s="456">
        <f>TrialBalanceC!I115</f>
        <v>0</v>
      </c>
      <c r="P2730" s="380"/>
      <c r="Q2730" s="389"/>
      <c r="R2730" s="416" t="str">
        <f t="shared" si="208"/>
        <v>DELETE</v>
      </c>
    </row>
    <row r="2731" spans="2:18" ht="31.5" customHeight="1" x14ac:dyDescent="0.45">
      <c r="B2731" s="388"/>
      <c r="C2731" s="369"/>
      <c r="D2731" s="368" t="str">
        <f>IF(MAX(Criteria!I38:I42)&gt;1,"Trustees' remuneration","Trustee's remuneration")</f>
        <v>Trustees' remuneration</v>
      </c>
      <c r="J2731" s="370"/>
      <c r="K2731" s="370">
        <f>C$688</f>
        <v>6.1</v>
      </c>
      <c r="L2731" s="372"/>
      <c r="M2731" s="37"/>
      <c r="N2731" s="370"/>
      <c r="O2731" s="456">
        <f>SUM(TrialBalanceC!I98:I102)</f>
        <v>0</v>
      </c>
      <c r="P2731" s="380"/>
      <c r="Q2731" s="389"/>
      <c r="R2731" s="416" t="str">
        <f t="shared" si="208"/>
        <v>DELETE</v>
      </c>
    </row>
    <row r="2732" spans="2:18" ht="31.5" customHeight="1" x14ac:dyDescent="0.45">
      <c r="B2732" s="388"/>
      <c r="C2732" s="369"/>
      <c r="D2732" s="368">
        <f>TrialBalanceC!C116</f>
        <v>0</v>
      </c>
      <c r="J2732" s="370"/>
      <c r="K2732" s="370"/>
      <c r="L2732" s="372"/>
      <c r="M2732" s="37"/>
      <c r="N2732" s="370"/>
      <c r="O2732" s="456">
        <f>TrialBalanceC!I116</f>
        <v>0</v>
      </c>
      <c r="P2732" s="380"/>
      <c r="Q2732" s="389"/>
      <c r="R2732" s="416" t="str">
        <f t="shared" si="208"/>
        <v>DELETE</v>
      </c>
    </row>
    <row r="2733" spans="2:18" ht="31.5" customHeight="1" x14ac:dyDescent="0.45">
      <c r="B2733" s="388"/>
      <c r="C2733" s="369"/>
      <c r="D2733" s="368">
        <f>TrialBalanceC!C117</f>
        <v>0</v>
      </c>
      <c r="J2733" s="370"/>
      <c r="K2733" s="370"/>
      <c r="L2733" s="372"/>
      <c r="M2733" s="37"/>
      <c r="N2733" s="370"/>
      <c r="O2733" s="456">
        <f>TrialBalanceC!I117</f>
        <v>0</v>
      </c>
      <c r="P2733" s="380"/>
      <c r="Q2733" s="389"/>
      <c r="R2733" s="416" t="str">
        <f t="shared" si="208"/>
        <v>DELETE</v>
      </c>
    </row>
    <row r="2734" spans="2:18" ht="31.5" customHeight="1" x14ac:dyDescent="0.45">
      <c r="B2734" s="388"/>
      <c r="C2734" s="369"/>
      <c r="D2734" s="368">
        <f>TrialBalanceC!C118</f>
        <v>0</v>
      </c>
      <c r="J2734" s="370"/>
      <c r="K2734" s="370"/>
      <c r="L2734" s="372"/>
      <c r="M2734" s="37"/>
      <c r="N2734" s="370"/>
      <c r="O2734" s="456">
        <f>TrialBalanceC!I118</f>
        <v>0</v>
      </c>
      <c r="P2734" s="380"/>
      <c r="Q2734" s="389"/>
      <c r="R2734" s="416" t="str">
        <f t="shared" si="208"/>
        <v>DELETE</v>
      </c>
    </row>
    <row r="2735" spans="2:18" ht="31.5" customHeight="1" x14ac:dyDescent="0.45">
      <c r="B2735" s="388"/>
      <c r="C2735" s="369"/>
      <c r="D2735" s="368">
        <f>TrialBalanceC!C119</f>
        <v>0</v>
      </c>
      <c r="J2735" s="370"/>
      <c r="K2735" s="370"/>
      <c r="L2735" s="372"/>
      <c r="M2735" s="37"/>
      <c r="N2735" s="370"/>
      <c r="O2735" s="456">
        <f>TrialBalanceC!I119</f>
        <v>0</v>
      </c>
      <c r="P2735" s="380"/>
      <c r="Q2735" s="389"/>
      <c r="R2735" s="416" t="str">
        <f t="shared" si="208"/>
        <v>DELETE</v>
      </c>
    </row>
    <row r="2736" spans="2:18" ht="31.5" customHeight="1" x14ac:dyDescent="0.45">
      <c r="B2736" s="388"/>
      <c r="C2736" s="369"/>
      <c r="D2736" s="368">
        <f>TrialBalanceC!C120</f>
        <v>0</v>
      </c>
      <c r="J2736" s="370"/>
      <c r="K2736" s="370"/>
      <c r="L2736" s="372"/>
      <c r="M2736" s="37"/>
      <c r="N2736" s="370"/>
      <c r="O2736" s="456">
        <f>TrialBalanceC!I120</f>
        <v>0</v>
      </c>
      <c r="P2736" s="380"/>
      <c r="Q2736" s="389"/>
      <c r="R2736" s="416" t="str">
        <f t="shared" si="208"/>
        <v>DELETE</v>
      </c>
    </row>
    <row r="2737" spans="2:24" ht="31.5" customHeight="1" x14ac:dyDescent="0.45">
      <c r="B2737" s="388"/>
      <c r="C2737" s="369"/>
      <c r="D2737" s="368">
        <f>TrialBalanceC!C121</f>
        <v>0</v>
      </c>
      <c r="J2737" s="370"/>
      <c r="K2737" s="370"/>
      <c r="L2737" s="372"/>
      <c r="M2737" s="37"/>
      <c r="N2737" s="370"/>
      <c r="O2737" s="456">
        <f>TrialBalanceC!I121</f>
        <v>0</v>
      </c>
      <c r="P2737" s="380"/>
      <c r="Q2737" s="389"/>
      <c r="R2737" s="416" t="str">
        <f t="shared" si="208"/>
        <v>DELETE</v>
      </c>
    </row>
    <row r="2738" spans="2:24" ht="31.5" customHeight="1" x14ac:dyDescent="0.45">
      <c r="B2738" s="388"/>
      <c r="C2738" s="369"/>
      <c r="D2738" s="368">
        <f>TrialBalanceC!C122</f>
        <v>0</v>
      </c>
      <c r="J2738" s="370"/>
      <c r="K2738" s="370"/>
      <c r="L2738" s="372"/>
      <c r="M2738" s="37"/>
      <c r="N2738" s="370"/>
      <c r="O2738" s="456">
        <f>TrialBalanceC!I122</f>
        <v>0</v>
      </c>
      <c r="P2738" s="380"/>
      <c r="Q2738" s="389"/>
      <c r="R2738" s="416" t="str">
        <f t="shared" si="208"/>
        <v>DELETE</v>
      </c>
    </row>
    <row r="2739" spans="2:24" ht="31.5" customHeight="1" x14ac:dyDescent="0.45">
      <c r="B2739" s="388"/>
      <c r="C2739" s="369"/>
      <c r="D2739" s="368">
        <f>TrialBalanceC!C123</f>
        <v>0</v>
      </c>
      <c r="J2739" s="370"/>
      <c r="K2739" s="370"/>
      <c r="L2739" s="372"/>
      <c r="M2739" s="37"/>
      <c r="N2739" s="370"/>
      <c r="O2739" s="456">
        <f>TrialBalanceC!I123</f>
        <v>0</v>
      </c>
      <c r="P2739" s="380"/>
      <c r="Q2739" s="389"/>
      <c r="R2739" s="416" t="str">
        <f t="shared" si="208"/>
        <v>DELETE</v>
      </c>
    </row>
    <row r="2740" spans="2:24" ht="31.5" customHeight="1" x14ac:dyDescent="0.45">
      <c r="B2740" s="388"/>
      <c r="C2740" s="369"/>
      <c r="D2740" s="368">
        <f>TrialBalanceC!C124</f>
        <v>0</v>
      </c>
      <c r="J2740" s="370"/>
      <c r="K2740" s="370"/>
      <c r="L2740" s="372"/>
      <c r="M2740" s="37"/>
      <c r="N2740" s="370"/>
      <c r="O2740" s="456">
        <f>TrialBalanceC!I124</f>
        <v>0</v>
      </c>
      <c r="P2740" s="380"/>
      <c r="Q2740" s="389"/>
      <c r="R2740" s="416" t="str">
        <f t="shared" si="208"/>
        <v>DELETE</v>
      </c>
    </row>
    <row r="2741" spans="2:24" ht="31.5" customHeight="1" x14ac:dyDescent="0.45">
      <c r="B2741" s="388"/>
      <c r="C2741" s="369"/>
      <c r="D2741" s="368" t="str">
        <f>TrialBalanceC!C125</f>
        <v>Amortisation of prepaid lease agreement</v>
      </c>
      <c r="J2741" s="370"/>
      <c r="K2741" s="370"/>
      <c r="L2741" s="372"/>
      <c r="M2741" s="37"/>
      <c r="N2741" s="370"/>
      <c r="O2741" s="456">
        <f>TrialBalanceC!I125</f>
        <v>0</v>
      </c>
      <c r="P2741" s="380"/>
      <c r="Q2741" s="389"/>
      <c r="R2741" s="416" t="str">
        <f t="shared" si="208"/>
        <v>DELETE</v>
      </c>
    </row>
    <row r="2742" spans="2:24" ht="31.5" customHeight="1" x14ac:dyDescent="0.45">
      <c r="B2742" s="388"/>
      <c r="C2742" s="369"/>
      <c r="D2742" s="368" t="str">
        <f>TrialBalanceC!C126</f>
        <v>Amortisation of goodwill</v>
      </c>
      <c r="J2742" s="370"/>
      <c r="K2742" s="370"/>
      <c r="L2742" s="372"/>
      <c r="M2742" s="37"/>
      <c r="N2742" s="370"/>
      <c r="O2742" s="456">
        <f>TrialBalanceC!I126</f>
        <v>0</v>
      </c>
      <c r="P2742" s="380"/>
      <c r="Q2742" s="389"/>
      <c r="R2742" s="416" t="str">
        <f t="shared" ref="R2742" si="209">IF(R$2610="DELETE","DELETE",IF(O2742=0,"DELETE"," "))</f>
        <v>DELETE</v>
      </c>
    </row>
    <row r="2743" spans="2:24" ht="9" customHeight="1" x14ac:dyDescent="0.45">
      <c r="B2743" s="388"/>
      <c r="C2743" s="369"/>
      <c r="J2743" s="370"/>
      <c r="K2743" s="370"/>
      <c r="L2743" s="372"/>
      <c r="M2743" s="37"/>
      <c r="N2743" s="370"/>
      <c r="O2743" s="457"/>
      <c r="P2743" s="380"/>
      <c r="Q2743" s="389"/>
      <c r="R2743" s="416" t="str">
        <f>R2708</f>
        <v>DELETE</v>
      </c>
    </row>
    <row r="2744" spans="2:24" ht="9" customHeight="1" x14ac:dyDescent="0.45">
      <c r="B2744" s="388"/>
      <c r="C2744" s="369"/>
      <c r="J2744" s="370"/>
      <c r="K2744" s="370"/>
      <c r="L2744" s="372"/>
      <c r="M2744" s="37"/>
      <c r="N2744" s="370"/>
      <c r="O2744" s="438"/>
      <c r="P2744" s="380"/>
      <c r="Q2744" s="389"/>
      <c r="R2744" s="416" t="str">
        <f t="shared" ref="R2744:R2747" si="210">R$2610</f>
        <v>DELETE</v>
      </c>
    </row>
    <row r="2745" spans="2:24" ht="9" customHeight="1" x14ac:dyDescent="0.45">
      <c r="B2745" s="388"/>
      <c r="C2745" s="369"/>
      <c r="J2745" s="370"/>
      <c r="K2745" s="370"/>
      <c r="L2745" s="372"/>
      <c r="M2745" s="37"/>
      <c r="N2745" s="370"/>
      <c r="O2745" s="434"/>
      <c r="P2745" s="380"/>
      <c r="Q2745" s="389"/>
      <c r="R2745" s="416" t="str">
        <f t="shared" si="210"/>
        <v>DELETE</v>
      </c>
    </row>
    <row r="2746" spans="2:24" ht="31.5" customHeight="1" x14ac:dyDescent="0.45">
      <c r="B2746" s="388"/>
      <c r="C2746" s="411" t="str">
        <f>IF(O2746&lt;0,"OPERATING LOSS FOR THE YEAR","OPERATING PROFIT FOR THE YEAR")</f>
        <v>OPERATING PROFIT FOR THE YEAR</v>
      </c>
      <c r="J2746" s="370"/>
      <c r="K2746" s="370">
        <f>FS!B685</f>
        <v>6</v>
      </c>
      <c r="L2746" s="372"/>
      <c r="M2746" s="37"/>
      <c r="N2746" s="370"/>
      <c r="O2746" s="434">
        <f>SUM(S2622:S2743)</f>
        <v>0</v>
      </c>
      <c r="P2746" s="380"/>
      <c r="Q2746" s="389"/>
      <c r="R2746" s="416" t="str">
        <f t="shared" si="210"/>
        <v>DELETE</v>
      </c>
    </row>
    <row r="2747" spans="2:24" ht="31.5" customHeight="1" x14ac:dyDescent="0.45">
      <c r="B2747" s="388"/>
      <c r="C2747" s="369"/>
      <c r="J2747" s="370"/>
      <c r="K2747" s="370"/>
      <c r="L2747" s="372"/>
      <c r="M2747" s="37"/>
      <c r="N2747" s="370"/>
      <c r="O2747" s="434"/>
      <c r="P2747" s="380"/>
      <c r="Q2747" s="389"/>
      <c r="R2747" s="416" t="str">
        <f t="shared" si="210"/>
        <v>DELETE</v>
      </c>
    </row>
    <row r="2748" spans="2:24" ht="31.5" customHeight="1" x14ac:dyDescent="0.45">
      <c r="B2748" s="388"/>
      <c r="C2748" s="369" t="s">
        <v>122</v>
      </c>
      <c r="J2748" s="370"/>
      <c r="K2748" s="370"/>
      <c r="L2748" s="372"/>
      <c r="M2748" s="37"/>
      <c r="N2748" s="370"/>
      <c r="O2748" s="434">
        <f>SUM(O2751:O2755)</f>
        <v>0</v>
      </c>
      <c r="P2748" s="380"/>
      <c r="Q2748" s="389"/>
      <c r="R2748" s="416" t="str">
        <f t="shared" ref="R2748" si="211">IF(R$2610="DELETE","DELETE",IF(O2748=0,"DELETE"," "))</f>
        <v>DELETE</v>
      </c>
      <c r="S2748" s="421">
        <f>O2748</f>
        <v>0</v>
      </c>
      <c r="T2748" s="421"/>
      <c r="U2748" s="421"/>
      <c r="V2748" s="421"/>
      <c r="W2748" s="421"/>
      <c r="X2748" s="421"/>
    </row>
    <row r="2749" spans="2:24" ht="9" customHeight="1" x14ac:dyDescent="0.45">
      <c r="B2749" s="388"/>
      <c r="C2749" s="369"/>
      <c r="J2749" s="370"/>
      <c r="K2749" s="370"/>
      <c r="L2749" s="372"/>
      <c r="M2749" s="37"/>
      <c r="N2749" s="370"/>
      <c r="O2749" s="434"/>
      <c r="P2749" s="380"/>
      <c r="Q2749" s="389"/>
      <c r="R2749" s="416" t="str">
        <f>R2748</f>
        <v>DELETE</v>
      </c>
    </row>
    <row r="2750" spans="2:24" ht="9" customHeight="1" x14ac:dyDescent="0.45">
      <c r="B2750" s="388"/>
      <c r="C2750" s="369"/>
      <c r="J2750" s="370"/>
      <c r="K2750" s="370"/>
      <c r="L2750" s="372"/>
      <c r="M2750" s="37"/>
      <c r="N2750" s="370"/>
      <c r="O2750" s="455"/>
      <c r="P2750" s="380"/>
      <c r="Q2750" s="389"/>
      <c r="R2750" s="416" t="str">
        <f>R2749</f>
        <v>DELETE</v>
      </c>
    </row>
    <row r="2751" spans="2:24" ht="31.5" customHeight="1" x14ac:dyDescent="0.45">
      <c r="B2751" s="388"/>
      <c r="C2751" s="369"/>
      <c r="D2751" s="368" t="s">
        <v>208</v>
      </c>
      <c r="J2751" s="370"/>
      <c r="K2751" s="370"/>
      <c r="L2751" s="372"/>
      <c r="M2751" s="37"/>
      <c r="N2751" s="370"/>
      <c r="O2751" s="456">
        <f>-TrialBalanceC!I82</f>
        <v>0</v>
      </c>
      <c r="P2751" s="380"/>
      <c r="Q2751" s="389"/>
      <c r="R2751" s="416" t="str">
        <f>IF(R$2610="DELETE","DELETE",IF(O2751=0,"DELETE"," "))</f>
        <v>DELETE</v>
      </c>
    </row>
    <row r="2752" spans="2:24" ht="31.5" customHeight="1" x14ac:dyDescent="0.45">
      <c r="B2752" s="388"/>
      <c r="C2752" s="369"/>
      <c r="D2752" s="368" t="s">
        <v>210</v>
      </c>
      <c r="J2752" s="370"/>
      <c r="K2752" s="370"/>
      <c r="L2752" s="372"/>
      <c r="M2752" s="37"/>
      <c r="N2752" s="370"/>
      <c r="O2752" s="458">
        <f>-SUM(TrialBalanceC!I83)</f>
        <v>0</v>
      </c>
      <c r="P2752" s="380"/>
      <c r="Q2752" s="389"/>
      <c r="R2752" s="416" t="str">
        <f>IF(R$2610="DELETE","DELETE",IF(O2752=0,"DELETE"," "))</f>
        <v>DELETE</v>
      </c>
    </row>
    <row r="2753" spans="2:24" ht="31.5" customHeight="1" x14ac:dyDescent="0.45">
      <c r="B2753" s="388"/>
      <c r="C2753" s="369"/>
      <c r="D2753" s="368" t="s">
        <v>520</v>
      </c>
      <c r="J2753" s="370"/>
      <c r="K2753" s="370"/>
      <c r="L2753" s="372"/>
      <c r="M2753" s="37"/>
      <c r="N2753" s="370"/>
      <c r="O2753" s="456">
        <f>IF(TrialBalanceC!I81&lt;0,-TrialBalanceC!I81,0)</f>
        <v>0</v>
      </c>
      <c r="P2753" s="380"/>
      <c r="Q2753" s="389"/>
      <c r="R2753" s="416" t="str">
        <f>IF(R$2610="DELETE","DELETE",IF(O2753=0,"DELETE"," "))</f>
        <v>DELETE</v>
      </c>
    </row>
    <row r="2754" spans="2:24" ht="31.5" customHeight="1" x14ac:dyDescent="0.45">
      <c r="B2754" s="388"/>
      <c r="C2754" s="369"/>
      <c r="D2754" s="368" t="s">
        <v>365</v>
      </c>
      <c r="J2754" s="370"/>
      <c r="K2754" s="370"/>
      <c r="L2754" s="372"/>
      <c r="M2754" s="37"/>
      <c r="N2754" s="370"/>
      <c r="O2754" s="456">
        <f>-TrialBalanceC!I80</f>
        <v>0</v>
      </c>
      <c r="P2754" s="380"/>
      <c r="Q2754" s="389"/>
      <c r="R2754" s="416" t="str">
        <f>IF(R$2610="DELETE","DELETE",IF(O2754=0,"DELETE"," "))</f>
        <v>DELETE</v>
      </c>
    </row>
    <row r="2755" spans="2:24" ht="9" customHeight="1" x14ac:dyDescent="0.45">
      <c r="B2755" s="388"/>
      <c r="C2755" s="369"/>
      <c r="J2755" s="370"/>
      <c r="K2755" s="370"/>
      <c r="L2755" s="372"/>
      <c r="M2755" s="37"/>
      <c r="N2755" s="370"/>
      <c r="O2755" s="457"/>
      <c r="P2755" s="380"/>
      <c r="Q2755" s="389"/>
      <c r="R2755" s="416" t="str">
        <f>R2748</f>
        <v>DELETE</v>
      </c>
    </row>
    <row r="2756" spans="2:24" ht="9" customHeight="1" x14ac:dyDescent="0.45">
      <c r="B2756" s="388"/>
      <c r="C2756" s="369"/>
      <c r="J2756" s="370"/>
      <c r="K2756" s="370"/>
      <c r="L2756" s="372"/>
      <c r="M2756" s="37"/>
      <c r="N2756" s="370"/>
      <c r="O2756" s="438"/>
      <c r="P2756" s="380"/>
      <c r="Q2756" s="389"/>
      <c r="R2756" s="416" t="str">
        <f>R2755</f>
        <v>DELETE</v>
      </c>
    </row>
    <row r="2757" spans="2:24" ht="9" customHeight="1" x14ac:dyDescent="0.45">
      <c r="B2757" s="388"/>
      <c r="C2757" s="369"/>
      <c r="J2757" s="370"/>
      <c r="K2757" s="370"/>
      <c r="L2757" s="372"/>
      <c r="M2757" s="37"/>
      <c r="N2757" s="370"/>
      <c r="O2757" s="434"/>
      <c r="P2757" s="380"/>
      <c r="Q2757" s="389"/>
      <c r="R2757" s="416" t="str">
        <f>R2756</f>
        <v>DELETE</v>
      </c>
    </row>
    <row r="2758" spans="2:24" ht="31.5" customHeight="1" x14ac:dyDescent="0.45">
      <c r="B2758" s="388"/>
      <c r="C2758" s="369"/>
      <c r="J2758" s="370"/>
      <c r="K2758" s="370"/>
      <c r="L2758" s="372"/>
      <c r="M2758" s="37"/>
      <c r="N2758" s="370"/>
      <c r="O2758" s="434">
        <f>SUM(S2622:S2755)</f>
        <v>0</v>
      </c>
      <c r="P2758" s="380"/>
      <c r="Q2758" s="389"/>
      <c r="R2758" s="416" t="str">
        <f>R2757</f>
        <v>DELETE</v>
      </c>
    </row>
    <row r="2759" spans="2:24" ht="31.5" customHeight="1" x14ac:dyDescent="0.45">
      <c r="B2759" s="388"/>
      <c r="C2759" s="369"/>
      <c r="J2759" s="370"/>
      <c r="K2759" s="370"/>
      <c r="L2759" s="372"/>
      <c r="M2759" s="37"/>
      <c r="N2759" s="370"/>
      <c r="O2759" s="434"/>
      <c r="P2759" s="380"/>
      <c r="Q2759" s="389"/>
      <c r="R2759" s="416" t="str">
        <f>R2758</f>
        <v>DELETE</v>
      </c>
    </row>
    <row r="2760" spans="2:24" ht="31.5" customHeight="1" x14ac:dyDescent="0.45">
      <c r="B2760" s="388"/>
      <c r="C2760" s="369" t="s">
        <v>263</v>
      </c>
      <c r="J2760" s="370"/>
      <c r="K2760" s="370">
        <f>FS!B602</f>
        <v>5</v>
      </c>
      <c r="L2760" s="372"/>
      <c r="M2760" s="37"/>
      <c r="N2760" s="370"/>
      <c r="O2760" s="434">
        <f>SUM(TrialBalanceC!I129:I139)</f>
        <v>0</v>
      </c>
      <c r="P2760" s="380"/>
      <c r="Q2760" s="389"/>
      <c r="R2760" s="416" t="str">
        <f t="shared" ref="R2760" si="212">IF(R$2610="DELETE","DELETE",IF(O2760=0,"DELETE"," "))</f>
        <v>DELETE</v>
      </c>
      <c r="S2760" s="421">
        <f>-O2760</f>
        <v>0</v>
      </c>
      <c r="T2760" s="421"/>
      <c r="U2760" s="421"/>
      <c r="V2760" s="421"/>
      <c r="W2760" s="421"/>
      <c r="X2760" s="421"/>
    </row>
    <row r="2761" spans="2:24" ht="9" customHeight="1" x14ac:dyDescent="0.45">
      <c r="B2761" s="388"/>
      <c r="C2761" s="369"/>
      <c r="J2761" s="370"/>
      <c r="K2761" s="370"/>
      <c r="L2761" s="372"/>
      <c r="M2761" s="37"/>
      <c r="N2761" s="370"/>
      <c r="O2761" s="438"/>
      <c r="P2761" s="380"/>
      <c r="Q2761" s="389"/>
      <c r="R2761" s="416" t="str">
        <f t="shared" ref="R2761:R2769" si="213">R$2610</f>
        <v>DELETE</v>
      </c>
    </row>
    <row r="2762" spans="2:24" ht="9" customHeight="1" x14ac:dyDescent="0.45">
      <c r="B2762" s="388"/>
      <c r="C2762" s="369"/>
      <c r="J2762" s="370"/>
      <c r="K2762" s="370"/>
      <c r="L2762" s="372"/>
      <c r="M2762" s="37"/>
      <c r="N2762" s="370"/>
      <c r="O2762" s="434"/>
      <c r="P2762" s="380"/>
      <c r="Q2762" s="389"/>
      <c r="R2762" s="416" t="str">
        <f t="shared" si="213"/>
        <v>DELETE</v>
      </c>
    </row>
    <row r="2763" spans="2:24" ht="31.5" customHeight="1" x14ac:dyDescent="0.45">
      <c r="B2763" s="388"/>
      <c r="C2763" s="411" t="str">
        <f>IF(O2763&lt;0,"LOSS BEFORE TAXATION","PROFIT BEFORE TAXATION")</f>
        <v>PROFIT BEFORE TAXATION</v>
      </c>
      <c r="J2763" s="370"/>
      <c r="K2763" s="370"/>
      <c r="L2763" s="372"/>
      <c r="M2763" s="37"/>
      <c r="N2763" s="370"/>
      <c r="O2763" s="434">
        <f>SUM(S2622:S2762)</f>
        <v>0</v>
      </c>
      <c r="P2763" s="380"/>
      <c r="Q2763" s="389"/>
      <c r="R2763" s="416" t="str">
        <f t="shared" si="213"/>
        <v>DELETE</v>
      </c>
      <c r="V2763" s="417" t="b">
        <f>O2763=M311</f>
        <v>1</v>
      </c>
    </row>
    <row r="2764" spans="2:24" ht="9" customHeight="1" thickBot="1" x14ac:dyDescent="0.5">
      <c r="B2764" s="388"/>
      <c r="C2764" s="369"/>
      <c r="J2764" s="370"/>
      <c r="K2764" s="370"/>
      <c r="L2764" s="372"/>
      <c r="M2764" s="37"/>
      <c r="N2764" s="370"/>
      <c r="O2764" s="439"/>
      <c r="P2764" s="380"/>
      <c r="Q2764" s="389"/>
      <c r="R2764" s="416" t="str">
        <f t="shared" si="213"/>
        <v>DELETE</v>
      </c>
    </row>
    <row r="2765" spans="2:24" ht="9" customHeight="1" thickTop="1" x14ac:dyDescent="0.45">
      <c r="B2765" s="388"/>
      <c r="C2765" s="369"/>
      <c r="J2765" s="370"/>
      <c r="K2765" s="370"/>
      <c r="L2765" s="372"/>
      <c r="M2765" s="37"/>
      <c r="N2765" s="370"/>
      <c r="O2765" s="441"/>
      <c r="P2765" s="380"/>
      <c r="Q2765" s="389"/>
      <c r="R2765" s="416" t="str">
        <f t="shared" si="213"/>
        <v>DELETE</v>
      </c>
    </row>
    <row r="2766" spans="2:24" ht="31.5" customHeight="1" x14ac:dyDescent="0.45">
      <c r="B2766" s="388"/>
      <c r="C2766" s="369"/>
      <c r="J2766" s="370"/>
      <c r="K2766" s="370"/>
      <c r="L2766" s="372"/>
      <c r="M2766" s="37"/>
      <c r="N2766" s="370"/>
      <c r="O2766" s="434"/>
      <c r="P2766" s="380"/>
      <c r="Q2766" s="389"/>
      <c r="R2766" s="416" t="str">
        <f t="shared" si="213"/>
        <v>DELETE</v>
      </c>
    </row>
    <row r="2767" spans="2:24" ht="31.5" customHeight="1" x14ac:dyDescent="0.45">
      <c r="B2767" s="388"/>
      <c r="C2767" s="369"/>
      <c r="J2767" s="370"/>
      <c r="K2767" s="370"/>
      <c r="L2767" s="370"/>
      <c r="M2767" s="434"/>
      <c r="N2767" s="390"/>
      <c r="O2767" s="434"/>
      <c r="P2767" s="380"/>
      <c r="Q2767" s="389"/>
      <c r="R2767" s="416" t="str">
        <f t="shared" si="213"/>
        <v>DELETE</v>
      </c>
    </row>
    <row r="2768" spans="2:24" ht="31.5" customHeight="1" x14ac:dyDescent="0.45">
      <c r="B2768" s="396"/>
      <c r="C2768" s="383"/>
      <c r="D2768" s="383"/>
      <c r="E2768" s="383"/>
      <c r="F2768" s="383"/>
      <c r="G2768" s="383"/>
      <c r="H2768" s="383"/>
      <c r="I2768" s="383"/>
      <c r="J2768" s="383"/>
      <c r="K2768" s="383"/>
      <c r="L2768" s="383"/>
      <c r="M2768" s="482"/>
      <c r="N2768" s="483"/>
      <c r="O2768" s="482"/>
      <c r="P2768" s="475"/>
      <c r="Q2768" s="398"/>
      <c r="R2768" s="416" t="str">
        <f t="shared" si="213"/>
        <v>DELETE</v>
      </c>
    </row>
    <row r="2769" spans="13:18" ht="31.5" customHeight="1" x14ac:dyDescent="0.45">
      <c r="M2769" s="479"/>
      <c r="N2769" s="469"/>
      <c r="O2769" s="479"/>
      <c r="R2769" s="416" t="str">
        <f t="shared" si="213"/>
        <v>DELETE</v>
      </c>
    </row>
  </sheetData>
  <sheetProtection algorithmName="SHA-512" hashValue="GzAfTSkmhi0pGvfhcrlIvJhIDr5vqBvRQSD3oBu+jgEpEBb9MWMoj9oIM+yM0a5XaFMW9YwNv8FK0zPrEf0paQ==" saltValue="MUM43O2IqdF9Dpro1JaPHQ==" spinCount="100000" sheet="1" formatColumns="0" formatRows="0" insertRows="0"/>
  <sortState xmlns:xlrd2="http://schemas.microsoft.com/office/spreadsheetml/2017/richdata2" ref="D2711:O2731">
    <sortCondition ref="D2711"/>
  </sortState>
  <mergeCells count="7">
    <mergeCell ref="E266:H266"/>
    <mergeCell ref="D263:H263"/>
    <mergeCell ref="V1:X1"/>
    <mergeCell ref="F16:M16"/>
    <mergeCell ref="F18:M18"/>
    <mergeCell ref="F20:M20"/>
    <mergeCell ref="J206:K206"/>
  </mergeCells>
  <phoneticPr fontId="0" type="noConversion"/>
  <hyperlinks>
    <hyperlink ref="O396" r:id="rId1" display="-TrialBalance!A146-@sum(TrialBalance!A5:A127)" xr:uid="{00000000-0004-0000-0000-000001000000}"/>
    <hyperlink ref="D315" r:id="rId2" display="=@IF(U501+V501=1,&quot;GROSS PROFIT/(LOSS)&quot;,IF((U501+V501=2),&quot;GROSS PROFIT&quot;,&quot;GROSS LOSS&quot;))" xr:uid="{00000000-0004-0000-0000-000005000000}"/>
    <hyperlink ref="D326" r:id="rId3" display="=@IF(U501+V501=1,&quot;GROSS PROFIT/(LOSS)&quot;,IF((U501+V501=2),&quot;GROSS PROFIT&quot;,&quot;GROSS LOSS&quot;))" xr:uid="{00000000-0004-0000-0000-000006000000}"/>
    <hyperlink ref="C1539" r:id="rId4" display="=@IF(U501+V501=1,&quot;GROSS PROFIT/(LOSS)&quot;,IF((U501+V501=2),&quot;GROSS PROFIT&quot;,&quot;GROSS LOSS&quot;))" xr:uid="{00000000-0004-0000-0000-000007000000}"/>
    <hyperlink ref="C1588" r:id="rId5" display="=@IF(U501+V501=1,&quot;GROSS PROFIT/(LOSS)&quot;,IF((U501+V501=2),&quot;GROSS PROFIT&quot;,&quot;GROSS LOSS&quot;))" xr:uid="{00000000-0004-0000-0000-000008000000}"/>
    <hyperlink ref="C1604" r:id="rId6" display="=@IF(U501+V501=1,&quot;GROSS PROFIT/(LOSS)&quot;,IF((U501+V501=2),&quot;GROSS PROFIT&quot;,&quot;GROSS LOSS&quot;))" xr:uid="{00000000-0004-0000-0000-000009000000}"/>
    <hyperlink ref="C1646" r:id="rId7" display="=@IF(U501+V501=1,&quot;GROSS PROFIT/(LOSS)&quot;,IF((U501+V501=2),&quot;GROSS PROFIT&quot;,&quot;GROSS LOSS&quot;))" xr:uid="{00000000-0004-0000-0000-00000A000000}"/>
    <hyperlink ref="C1663" r:id="rId8" display="=@IF(U501+V501=1,&quot;GROSS PROFIT/(LOSS)&quot;,IF((U501+V501=2),&quot;GROSS PROFIT&quot;,&quot;GROSS LOSS&quot;))" xr:uid="{00000000-0004-0000-0000-00000B000000}"/>
    <hyperlink ref="D396" r:id="rId9" display="=@IF(U501+V501=1,&quot;GROSS PROFIT/(LOSS)&quot;,IF((U501+V501=2),&quot;GROSS PROFIT&quot;,&quot;GROSS LOSS&quot;))" xr:uid="{00000000-0004-0000-0000-00000D000000}"/>
    <hyperlink ref="D686" r:id="rId10" display="=@IF(U501+V501=1,&quot;GROSS PROFIT/(LOSS)&quot;,IF((U501+V501=2),&quot;GROSS PROFIT&quot;,&quot;GROSS LOSS&quot;))" xr:uid="{00000000-0004-0000-0000-00000E000000}"/>
    <hyperlink ref="M396" r:id="rId11" display="-TrialBalance!A146-@sum(TrialBalance!A5:A127)" xr:uid="{00000000-0004-0000-0000-000012000000}"/>
    <hyperlink ref="M323" r:id="rId12" display="-@sum(TrialBalance!A119:A125" xr:uid="{00000000-0004-0000-0000-000020000000}"/>
    <hyperlink ref="O323" r:id="rId13" display="-@sum(TrialBalance!A119:A125" xr:uid="{00000000-0004-0000-0000-000021000000}"/>
    <hyperlink ref="D1754" r:id="rId14" display="=@IF(U501+V501=1,&quot;GROSS PROFIT/(LOSS)&quot;,IF((U501+V501=2),&quot;GROSS PROFIT&quot;,&quot;GROSS LOSS&quot;))" xr:uid="{00000000-0004-0000-0000-00002C000000}"/>
    <hyperlink ref="C685" r:id="rId15" display="=@IF(U501+V501=1,&quot;GROSS PROFIT/(LOSS)&quot;,IF((U501+V501=2),&quot;GROSS PROFIT&quot;,&quot;GROSS LOSS&quot;))" xr:uid="{00000000-0004-0000-0000-000030000000}"/>
    <hyperlink ref="C1963" r:id="rId16" display="=@IF(U501+V501=1,&quot;GROSS PROFIT/(LOSS)&quot;,IF((U501+V501=2),&quot;GROSS PROFIT&quot;,&quot;GROSS LOSS&quot;))" xr:uid="{D167F7AB-9D6E-4F5F-8E45-E5071EF929EF}"/>
    <hyperlink ref="C1946" r:id="rId17" display="=@IF(U501+V501=1,&quot;GROSS PROFIT/(LOSS)&quot;,IF((U501+V501=2),&quot;GROSS PROFIT&quot;,&quot;GROSS LOSS&quot;))" xr:uid="{3EB153A4-A4CC-45B2-9BA2-B586C43DAD2E}"/>
    <hyperlink ref="C1905" r:id="rId18" display="=@IF(U501+V501=1,&quot;GROSS PROFIT/(LOSS)&quot;,IF((U501+V501=2),&quot;GROSS PROFIT&quot;,&quot;GROSS LOSS&quot;))" xr:uid="{E6D04A8E-8C1A-4EFE-BBC4-05625D7E4F8F}"/>
    <hyperlink ref="C1889" r:id="rId19" display="=@IF(U501+V501=1,&quot;GROSS PROFIT/(LOSS)&quot;,IF((U501+V501=2),&quot;GROSS PROFIT&quot;,&quot;GROSS LOSS&quot;))" xr:uid="{32BEBCCD-1976-4288-A534-0214E7920CDE}"/>
    <hyperlink ref="C1840" r:id="rId20" display="=@IF(U501+V501=1,&quot;GROSS PROFIT/(LOSS)&quot;,IF((U501+V501=2),&quot;GROSS PROFIT&quot;,&quot;GROSS LOSS&quot;))" xr:uid="{ABA47BFF-34C2-4871-BC1D-87C6A829A739}"/>
    <hyperlink ref="C2123" r:id="rId21" display="=@IF(U501+V501=1,&quot;GROSS PROFIT/(LOSS)&quot;,IF((U501+V501=2),&quot;GROSS PROFIT&quot;,&quot;GROSS LOSS&quot;))" xr:uid="{5AFCB005-45A8-428E-B8E5-D1D63B5EE9C1}"/>
    <hyperlink ref="C2106" r:id="rId22" display="=@IF(U501+V501=1,&quot;GROSS PROFIT/(LOSS)&quot;,IF((U501+V501=2),&quot;GROSS PROFIT&quot;,&quot;GROSS LOSS&quot;))" xr:uid="{DAB7BEFC-8F9C-4990-BFB8-287D46C083D4}"/>
    <hyperlink ref="C2065" r:id="rId23" display="=@IF(U501+V501=1,&quot;GROSS PROFIT/(LOSS)&quot;,IF((U501+V501=2),&quot;GROSS PROFIT&quot;,&quot;GROSS LOSS&quot;))" xr:uid="{5724C979-7EFE-4D83-9416-1101010A63BD}"/>
    <hyperlink ref="C2049" r:id="rId24" display="=@IF(U501+V501=1,&quot;GROSS PROFIT/(LOSS)&quot;,IF((U501+V501=2),&quot;GROSS PROFIT&quot;,&quot;GROSS LOSS&quot;))" xr:uid="{2106299E-A0FD-4668-BB38-CBD59862B6DB}"/>
    <hyperlink ref="C2000" r:id="rId25" display="=@IF(U501+V501=1,&quot;GROSS PROFIT/(LOSS)&quot;,IF((U501+V501=2),&quot;GROSS PROFIT&quot;,&quot;GROSS LOSS&quot;))" xr:uid="{78FA2441-4542-488A-B4E4-051264C59175}"/>
    <hyperlink ref="C2283" r:id="rId26" display="=@IF(U501+V501=1,&quot;GROSS PROFIT/(LOSS)&quot;,IF((U501+V501=2),&quot;GROSS PROFIT&quot;,&quot;GROSS LOSS&quot;))" xr:uid="{BCDEC460-EFCA-47C5-BB51-5C759E708F82}"/>
    <hyperlink ref="C2266" r:id="rId27" display="=@IF(U501+V501=1,&quot;GROSS PROFIT/(LOSS)&quot;,IF((U501+V501=2),&quot;GROSS PROFIT&quot;,&quot;GROSS LOSS&quot;))" xr:uid="{62424474-DC84-48C1-B787-69185B0D33AE}"/>
    <hyperlink ref="C2225" r:id="rId28" display="=@IF(U501+V501=1,&quot;GROSS PROFIT/(LOSS)&quot;,IF((U501+V501=2),&quot;GROSS PROFIT&quot;,&quot;GROSS LOSS&quot;))" xr:uid="{640AD6C2-487F-41EE-A287-F2F8477466CB}"/>
    <hyperlink ref="C2209" r:id="rId29" display="=@IF(U501+V501=1,&quot;GROSS PROFIT/(LOSS)&quot;,IF((U501+V501=2),&quot;GROSS PROFIT&quot;,&quot;GROSS LOSS&quot;))" xr:uid="{14CD13E1-C53A-4CB3-B087-CF5EC40021BD}"/>
    <hyperlink ref="C2160" r:id="rId30" display="=@IF(U501+V501=1,&quot;GROSS PROFIT/(LOSS)&quot;,IF((U501+V501=2),&quot;GROSS PROFIT&quot;,&quot;GROSS LOSS&quot;))" xr:uid="{15CCCCFA-F76F-49A8-8ACC-BFF5D19AA849}"/>
    <hyperlink ref="C2443" r:id="rId31" display="=@IF(U501+V501=1,&quot;GROSS PROFIT/(LOSS)&quot;,IF((U501+V501=2),&quot;GROSS PROFIT&quot;,&quot;GROSS LOSS&quot;))" xr:uid="{0EC4FCFA-31A7-4354-8C3C-D2C45713E811}"/>
    <hyperlink ref="C2426" r:id="rId32" display="=@IF(U501+V501=1,&quot;GROSS PROFIT/(LOSS)&quot;,IF((U501+V501=2),&quot;GROSS PROFIT&quot;,&quot;GROSS LOSS&quot;))" xr:uid="{3430C363-4422-465C-947D-44EBA0BE9E17}"/>
    <hyperlink ref="C2369" r:id="rId33" display="=@IF(U501+V501=1,&quot;GROSS PROFIT/(LOSS)&quot;,IF((U501+V501=2),&quot;GROSS PROFIT&quot;,&quot;GROSS LOSS&quot;))" xr:uid="{7B973B0A-6456-4C63-8A83-C130AC59D439}"/>
    <hyperlink ref="C2320" r:id="rId34" display="=@IF(U501+V501=1,&quot;GROSS PROFIT/(LOSS)&quot;,IF((U501+V501=2),&quot;GROSS PROFIT&quot;,&quot;GROSS LOSS&quot;))" xr:uid="{0185AFBC-49DE-40F4-8206-E51EB1E1EDF1}"/>
    <hyperlink ref="C2385" r:id="rId35" display="=@IF(U501+V501=1,&quot;GROSS PROFIT/(LOSS)&quot;,IF((U501+V501=2),&quot;GROSS PROFIT&quot;,&quot;GROSS LOSS&quot;))" xr:uid="{3599DC75-9B30-4D8F-A24F-4825FF81CF39}"/>
    <hyperlink ref="C2480" r:id="rId36" display="=@IF(U501+V501=1,&quot;GROSS PROFIT/(LOSS)&quot;,IF((U501+V501=2),&quot;GROSS PROFIT&quot;,&quot;GROSS LOSS&quot;))" xr:uid="{9A45D8C4-0860-4DA7-B096-40C46E11E1A2}"/>
    <hyperlink ref="C2529" r:id="rId37" display="=@IF(U501+V501=1,&quot;GROSS PROFIT/(LOSS)&quot;,IF((U501+V501=2),&quot;GROSS PROFIT&quot;,&quot;GROSS LOSS&quot;))" xr:uid="{4DAA6F50-6332-4CEE-A119-40B1C63EA37E}"/>
    <hyperlink ref="C2545" r:id="rId38" display="=@IF(U501+V501=1,&quot;GROSS PROFIT/(LOSS)&quot;,IF((U501+V501=2),&quot;GROSS PROFIT&quot;,&quot;GROSS LOSS&quot;))" xr:uid="{98FE660A-A57F-405B-8402-D6359ACB2C7D}"/>
    <hyperlink ref="C2586" r:id="rId39" display="=@IF(U501+V501=1,&quot;GROSS PROFIT/(LOSS)&quot;,IF((U501+V501=2),&quot;GROSS PROFIT&quot;,&quot;GROSS LOSS&quot;))" xr:uid="{33DCF48D-2A50-4E2E-8B79-C5C76BA60855}"/>
    <hyperlink ref="C2603" r:id="rId40" display="=@IF(U501+V501=1,&quot;GROSS PROFIT/(LOSS)&quot;,IF((U501+V501=2),&quot;GROSS PROFIT&quot;,&quot;GROSS LOSS&quot;))" xr:uid="{7AC3C5FE-9885-48D2-8509-F3D0C69E2917}"/>
    <hyperlink ref="C2640" r:id="rId41" display="=@IF(U501+V501=1,&quot;GROSS PROFIT/(LOSS)&quot;,IF((U501+V501=2),&quot;GROSS PROFIT&quot;,&quot;GROSS LOSS&quot;))" xr:uid="{8C1BCC73-5075-4D5E-B889-56EBAAFE96A1}"/>
    <hyperlink ref="C2689" r:id="rId42" display="=@IF(U501+V501=1,&quot;GROSS PROFIT/(LOSS)&quot;,IF((U501+V501=2),&quot;GROSS PROFIT&quot;,&quot;GROSS LOSS&quot;))" xr:uid="{8B84D3A4-A42D-4A60-BD86-46AA85234C4B}"/>
    <hyperlink ref="C2746" r:id="rId43" display="=@IF(U501+V501=1,&quot;GROSS PROFIT/(LOSS)&quot;,IF((U501+V501=2),&quot;GROSS PROFIT&quot;,&quot;GROSS LOSS&quot;))" xr:uid="{C744FD99-8098-4CC3-B09A-3880334447CD}"/>
    <hyperlink ref="C2763" r:id="rId44" display="=@IF(U501+V501=1,&quot;GROSS PROFIT/(LOSS)&quot;,IF((U501+V501=2),&quot;GROSS PROFIT&quot;,&quot;GROSS LOSS&quot;))" xr:uid="{1570E290-DD82-4D7E-BC92-A28E8A5C2096}"/>
    <hyperlink ref="C2705" r:id="rId45" display="=@IF(U501+V501=1,&quot;GROSS PROFIT/(LOSS)&quot;,IF((U501+V501=2),&quot;GROSS PROFIT&quot;,&quot;GROSS LOSS&quot;))" xr:uid="{CAA3C9C0-6324-4B4A-919B-D4DADE96D443}"/>
    <hyperlink ref="D321" r:id="rId46" display="=@IF(U501+V501=1,&quot;GROSS PROFIT/(LOSS)&quot;,IF((U501+V501=2),&quot;GROSS PROFIT&quot;,&quot;GROSS LOSS&quot;))" xr:uid="{9F5D2523-1F96-4B15-8403-4B2FB1502A20}"/>
    <hyperlink ref="D328" r:id="rId47" display="=@IF(U501+V501=1,&quot;GROSS PROFIT/(LOSS)&quot;,IF((U501+V501=2),&quot;GROSS PROFIT&quot;,&quot;GROSS LOSS&quot;))" xr:uid="{CBE1042B-61E9-4024-B819-D7A7CA4E3B2D}"/>
    <hyperlink ref="D332" r:id="rId48" display="=@IF(U501+V501=1,&quot;GROSS PROFIT/(LOSS)&quot;,IF((U501+V501=2),&quot;GROSS PROFIT&quot;,&quot;GROSS LOSS&quot;))" xr:uid="{ABC0BE7C-7EFB-470D-A6A2-98B3E237BD4D}"/>
    <hyperlink ref="D305" r:id="rId49" display="=@IF(U501+V501=1,&quot;GROSS PROFIT/(LOSS)&quot;,IF((U501+V501=2),&quot;GROSS PROFIT&quot;,&quot;GROSS LOSS&quot;))" xr:uid="{772A526E-AF21-41D7-AD5B-B7EE2C02232A}"/>
    <hyperlink ref="D307" r:id="rId50" display="=@IF(U501+V501=1,&quot;GROSS PROFIT/(LOSS)&quot;,IF((U501+V501=2),&quot;GROSS PROFIT&quot;,&quot;GROSS LOSS&quot;))" xr:uid="{22F63E25-6472-47BA-B3C5-61692884C9F8}"/>
    <hyperlink ref="D309" r:id="rId51" display="=@IF(U501+V501=1,&quot;GROSS PROFIT/(LOSS)&quot;,IF((U501+V501=2),&quot;GROSS PROFIT&quot;,&quot;GROSS LOSS&quot;))" xr:uid="{B7718F2B-0289-4EC9-A56F-E2BF838F5424}"/>
    <hyperlink ref="D311" r:id="rId52" display="=@IF(U501+V501=1,&quot;GROSS PROFIT/(LOSS)&quot;,IF((U501+V501=2),&quot;GROSS PROFIT&quot;,&quot;GROSS LOSS&quot;))" xr:uid="{E0A277A9-1997-4B4B-9844-506B1EA6F470}"/>
    <hyperlink ref="D1495" r:id="rId53" display="=@IF(U501+V501=1,&quot;GROSS PROFIT/(LOSS)&quot;,IF((U501+V501=2),&quot;GROSS PROFIT&quot;,&quot;GROSS LOSS&quot;))" xr:uid="{B921CC47-61B9-4A30-A5DA-553117402B1A}"/>
    <hyperlink ref="C1494" r:id="rId54" display="=@IF(U501+V501=1,&quot;GROSS PROFIT/(LOSS)&quot;,IF((U501+V501=2),&quot;GROSS PROFIT&quot;,&quot;GROSS LOSS&quot;))" xr:uid="{675588C9-93B4-4C3F-8664-2E668C60FDD9}"/>
    <hyperlink ref="D1504" r:id="rId55" display="=@IF(U501+V501=1,&quot;GROSS PROFIT/(LOSS)&quot;,IF((U501+V501=2),&quot;GROSS PROFIT&quot;,&quot;GROSS LOSS&quot;))" xr:uid="{7D97C433-30D9-4BF9-B14C-99BDD6F9B1D9}"/>
  </hyperlinks>
  <pageMargins left="0.7" right="0.7" top="0.75" bottom="0.75" header="0.3" footer="0.3"/>
  <pageSetup paperSize="9" scale="43" fitToHeight="0" orientation="portrait" r:id="rId56"/>
  <headerFooter alignWithMargins="0"/>
  <drawing r:id="rId57"/>
  <picture r:id="rId58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J2483"/>
  <sheetViews>
    <sheetView zoomScale="87" zoomScaleNormal="87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E2" sqref="E2"/>
    </sheetView>
  </sheetViews>
  <sheetFormatPr defaultRowHeight="15.75" x14ac:dyDescent="0.25"/>
  <cols>
    <col min="1" max="2" width="4.7109375" style="2" customWidth="1"/>
    <col min="3" max="3" width="42.5703125" style="2" bestFit="1" customWidth="1"/>
    <col min="4" max="4" width="3" style="2" customWidth="1"/>
    <col min="5" max="5" width="14.7109375" style="2" bestFit="1" customWidth="1"/>
    <col min="6" max="6" width="15.7109375" style="2" customWidth="1"/>
    <col min="7" max="8" width="16" style="5" bestFit="1" customWidth="1"/>
    <col min="9" max="9" width="14.7109375" style="2" bestFit="1" customWidth="1"/>
    <col min="10" max="10" width="10" style="2" bestFit="1" customWidth="1"/>
    <col min="11" max="16384" width="9.140625" style="148"/>
  </cols>
  <sheetData>
    <row r="2" spans="3:8" ht="52.5" customHeight="1" x14ac:dyDescent="0.25">
      <c r="C2" s="147" t="str">
        <f>Criteria!E9</f>
        <v>ABC TRUST</v>
      </c>
      <c r="D2" s="212"/>
      <c r="E2" s="212"/>
      <c r="G2" s="146" t="s">
        <v>90</v>
      </c>
      <c r="H2" s="146"/>
    </row>
    <row r="3" spans="3:8" x14ac:dyDescent="0.25">
      <c r="C3" s="3" t="s">
        <v>89</v>
      </c>
      <c r="D3" s="3"/>
      <c r="E3" s="3" t="str">
        <f>Criteria!E20</f>
        <v>29 FEBRUARY 2024</v>
      </c>
    </row>
    <row r="4" spans="3:8" ht="52.5" customHeight="1" x14ac:dyDescent="0.25">
      <c r="C4" s="145"/>
      <c r="G4" s="146" t="s">
        <v>91</v>
      </c>
      <c r="H4" s="146"/>
    </row>
    <row r="5" spans="3:8" ht="15.75" customHeight="1" x14ac:dyDescent="0.25">
      <c r="G5" s="25"/>
      <c r="H5" s="25"/>
    </row>
    <row r="6" spans="3:8" x14ac:dyDescent="0.25">
      <c r="G6" s="5">
        <f>Criteria!E22</f>
        <v>2024</v>
      </c>
      <c r="H6" s="5">
        <f>Criteria!E27</f>
        <v>2023</v>
      </c>
    </row>
    <row r="7" spans="3:8" x14ac:dyDescent="0.25">
      <c r="G7" s="142"/>
      <c r="H7" s="142"/>
    </row>
    <row r="8" spans="3:8" x14ac:dyDescent="0.25">
      <c r="G8" s="142"/>
      <c r="H8" s="142"/>
    </row>
    <row r="9" spans="3:8" x14ac:dyDescent="0.25">
      <c r="G9" s="142"/>
      <c r="H9" s="142"/>
    </row>
    <row r="10" spans="3:8" x14ac:dyDescent="0.25">
      <c r="G10" s="142"/>
      <c r="H10" s="142"/>
    </row>
    <row r="11" spans="3:8" x14ac:dyDescent="0.25">
      <c r="G11" s="142"/>
      <c r="H11" s="142"/>
    </row>
    <row r="12" spans="3:8" x14ac:dyDescent="0.25">
      <c r="G12" s="142"/>
      <c r="H12" s="142"/>
    </row>
    <row r="13" spans="3:8" x14ac:dyDescent="0.25">
      <c r="G13" s="142"/>
      <c r="H13" s="142"/>
    </row>
    <row r="14" spans="3:8" x14ac:dyDescent="0.25">
      <c r="G14" s="142"/>
      <c r="H14" s="142"/>
    </row>
    <row r="15" spans="3:8" x14ac:dyDescent="0.25">
      <c r="G15" s="142"/>
      <c r="H15" s="142"/>
    </row>
    <row r="16" spans="3:8" s="2" customFormat="1" x14ac:dyDescent="0.25">
      <c r="G16" s="142"/>
      <c r="H16" s="142"/>
    </row>
    <row r="17" spans="3:8" s="2" customFormat="1" ht="16.5" thickBot="1" x14ac:dyDescent="0.3">
      <c r="G17" s="144">
        <f>SUM(G7:G16)</f>
        <v>0</v>
      </c>
      <c r="H17" s="144">
        <f>SUM(H7:H16)</f>
        <v>0</v>
      </c>
    </row>
    <row r="18" spans="3:8" s="2" customFormat="1" ht="16.5" thickTop="1" x14ac:dyDescent="0.25">
      <c r="G18" s="142"/>
      <c r="H18" s="142"/>
    </row>
    <row r="19" spans="3:8" x14ac:dyDescent="0.25">
      <c r="C19" s="1" t="s">
        <v>566</v>
      </c>
      <c r="G19" s="142"/>
      <c r="H19" s="142"/>
    </row>
    <row r="2483" spans="7:9" s="2" customFormat="1" x14ac:dyDescent="0.25">
      <c r="G2483" s="5"/>
      <c r="H2483" s="5"/>
      <c r="I2483" s="29"/>
    </row>
  </sheetData>
  <pageMargins left="0.75" right="0.75" top="1" bottom="1" header="0.5" footer="0.5"/>
  <pageSetup paperSize="9" scale="76" fitToHeight="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B21F1-6B60-4F26-8E77-AFE607268D65}">
  <sheetPr>
    <pageSetUpPr fitToPage="1"/>
  </sheetPr>
  <dimension ref="A2:J2487"/>
  <sheetViews>
    <sheetView zoomScale="87" zoomScaleNormal="87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G9" sqref="G9"/>
    </sheetView>
  </sheetViews>
  <sheetFormatPr defaultRowHeight="15.75" x14ac:dyDescent="0.25"/>
  <cols>
    <col min="1" max="2" width="4.7109375" style="2" customWidth="1"/>
    <col min="3" max="3" width="42.5703125" style="2" bestFit="1" customWidth="1"/>
    <col min="4" max="4" width="3" style="2" customWidth="1"/>
    <col min="5" max="5" width="14.7109375" style="2" bestFit="1" customWidth="1"/>
    <col min="6" max="6" width="15.7109375" style="2" customWidth="1"/>
    <col min="7" max="8" width="16" style="5" bestFit="1" customWidth="1"/>
    <col min="9" max="9" width="14.7109375" style="2" bestFit="1" customWidth="1"/>
    <col min="10" max="10" width="13.28515625" style="2" bestFit="1" customWidth="1"/>
    <col min="11" max="16384" width="9.140625" style="148"/>
  </cols>
  <sheetData>
    <row r="2" spans="3:8" ht="52.5" customHeight="1" x14ac:dyDescent="0.25">
      <c r="C2" s="147" t="str">
        <f>Criteria!E9</f>
        <v>ABC TRUST</v>
      </c>
      <c r="D2" s="212"/>
      <c r="E2" s="212"/>
      <c r="G2" s="146" t="s">
        <v>90</v>
      </c>
      <c r="H2" s="146"/>
    </row>
    <row r="3" spans="3:8" x14ac:dyDescent="0.25">
      <c r="C3" s="3" t="s">
        <v>89</v>
      </c>
      <c r="D3" s="3"/>
      <c r="E3" s="3" t="str">
        <f>Criteria!E20</f>
        <v>29 FEBRUARY 2024</v>
      </c>
    </row>
    <row r="4" spans="3:8" ht="52.5" customHeight="1" x14ac:dyDescent="0.25">
      <c r="C4" s="145"/>
      <c r="G4" s="146" t="s">
        <v>91</v>
      </c>
      <c r="H4" s="146"/>
    </row>
    <row r="5" spans="3:8" ht="15.75" customHeight="1" x14ac:dyDescent="0.25">
      <c r="G5" s="25"/>
      <c r="H5" s="25"/>
    </row>
    <row r="6" spans="3:8" x14ac:dyDescent="0.25">
      <c r="G6" s="5">
        <f>Criteria!E22</f>
        <v>2024</v>
      </c>
      <c r="H6" s="5">
        <f>Criteria!E27</f>
        <v>2023</v>
      </c>
    </row>
    <row r="7" spans="3:8" x14ac:dyDescent="0.25">
      <c r="G7" s="142"/>
      <c r="H7" s="142"/>
    </row>
    <row r="8" spans="3:8" x14ac:dyDescent="0.25">
      <c r="C8" s="134" t="s">
        <v>92</v>
      </c>
      <c r="D8" s="134"/>
      <c r="E8" s="134"/>
      <c r="F8" s="134"/>
      <c r="G8" s="135">
        <f>H21</f>
        <v>0</v>
      </c>
      <c r="H8" s="135"/>
    </row>
    <row r="9" spans="3:8" x14ac:dyDescent="0.25">
      <c r="C9" s="134"/>
      <c r="D9" s="134"/>
      <c r="E9" s="134"/>
      <c r="F9" s="134"/>
      <c r="G9" s="135"/>
      <c r="H9" s="135"/>
    </row>
    <row r="10" spans="3:8" x14ac:dyDescent="0.25">
      <c r="C10" s="134"/>
      <c r="D10" s="134"/>
      <c r="E10" s="134"/>
      <c r="F10" s="134"/>
      <c r="G10" s="134"/>
      <c r="H10" s="135"/>
    </row>
    <row r="11" spans="3:8" s="2" customFormat="1" ht="16.5" thickBot="1" x14ac:dyDescent="0.3">
      <c r="C11" s="134" t="s">
        <v>558</v>
      </c>
      <c r="D11" s="134"/>
      <c r="E11" s="134"/>
      <c r="F11" s="134"/>
      <c r="G11" s="138"/>
      <c r="H11" s="138"/>
    </row>
    <row r="12" spans="3:8" s="2" customFormat="1" ht="16.5" thickTop="1" x14ac:dyDescent="0.25">
      <c r="C12" s="134"/>
      <c r="D12" s="134"/>
      <c r="E12" s="134"/>
      <c r="F12" s="134"/>
      <c r="G12" s="136"/>
      <c r="H12" s="135"/>
    </row>
    <row r="13" spans="3:8" s="2" customFormat="1" x14ac:dyDescent="0.25">
      <c r="C13" s="134"/>
      <c r="D13" s="134"/>
      <c r="E13" s="134"/>
      <c r="F13" s="134"/>
      <c r="G13" s="136"/>
      <c r="H13" s="135"/>
    </row>
    <row r="14" spans="3:8" s="2" customFormat="1" x14ac:dyDescent="0.25">
      <c r="C14" s="134"/>
      <c r="D14" s="134"/>
      <c r="E14" s="134"/>
      <c r="F14" s="134"/>
      <c r="G14" s="136"/>
      <c r="H14" s="135"/>
    </row>
    <row r="15" spans="3:8" s="2" customFormat="1" x14ac:dyDescent="0.25">
      <c r="C15" s="134" t="s">
        <v>1151</v>
      </c>
      <c r="D15" s="134"/>
      <c r="E15" s="134"/>
      <c r="F15" s="134"/>
      <c r="G15" s="134"/>
      <c r="H15" s="135"/>
    </row>
    <row r="16" spans="3:8" s="2" customFormat="1" x14ac:dyDescent="0.25">
      <c r="C16" s="134"/>
      <c r="D16" s="134"/>
      <c r="E16" s="137">
        <v>44986</v>
      </c>
      <c r="F16" s="134">
        <v>8.25</v>
      </c>
      <c r="G16" s="134"/>
      <c r="H16" s="135"/>
    </row>
    <row r="17" spans="3:10" s="2" customFormat="1" x14ac:dyDescent="0.25">
      <c r="C17" s="134"/>
      <c r="D17" s="134"/>
      <c r="E17" s="137">
        <v>45351</v>
      </c>
      <c r="F17" s="134">
        <v>8.25</v>
      </c>
      <c r="G17" s="134"/>
      <c r="H17" s="135"/>
    </row>
    <row r="18" spans="3:10" s="2" customFormat="1" x14ac:dyDescent="0.25">
      <c r="C18" s="134"/>
      <c r="D18" s="134"/>
      <c r="E18" s="134" t="s">
        <v>559</v>
      </c>
      <c r="F18" s="134">
        <f>(F16+F17)/2</f>
        <v>8.25</v>
      </c>
      <c r="G18" s="136">
        <f>ROUND((G8+G11)/2*F18/100,0)</f>
        <v>0</v>
      </c>
      <c r="H18" s="135"/>
      <c r="I18" s="15"/>
      <c r="J18" s="15"/>
    </row>
    <row r="19" spans="3:10" s="2" customFormat="1" x14ac:dyDescent="0.25">
      <c r="G19" s="142"/>
      <c r="H19" s="142"/>
    </row>
    <row r="20" spans="3:10" s="2" customFormat="1" x14ac:dyDescent="0.25">
      <c r="G20" s="142"/>
      <c r="H20" s="142"/>
    </row>
    <row r="21" spans="3:10" s="2" customFormat="1" ht="16.5" thickBot="1" x14ac:dyDescent="0.3">
      <c r="G21" s="144">
        <f>SUM(G11:G20)</f>
        <v>0</v>
      </c>
      <c r="H21" s="144">
        <f>SUM(H11:H20)</f>
        <v>0</v>
      </c>
    </row>
    <row r="22" spans="3:10" s="2" customFormat="1" ht="16.5" thickTop="1" x14ac:dyDescent="0.25">
      <c r="G22" s="142"/>
      <c r="H22" s="142"/>
    </row>
    <row r="23" spans="3:10" s="2" customFormat="1" x14ac:dyDescent="0.25">
      <c r="C23" s="1" t="s">
        <v>566</v>
      </c>
      <c r="G23" s="142"/>
      <c r="H23" s="142"/>
    </row>
    <row r="2487" spans="7:9" s="2" customFormat="1" x14ac:dyDescent="0.25">
      <c r="G2487" s="5"/>
      <c r="H2487" s="5"/>
      <c r="I2487" s="29"/>
    </row>
  </sheetData>
  <pageMargins left="0.75" right="0.75" top="1" bottom="1" header="0.5" footer="0.5"/>
  <pageSetup paperSize="9" scale="76" fitToHeight="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EB2F49-0370-4073-BDF8-E7693CDD378C}">
  <sheetPr>
    <pageSetUpPr fitToPage="1"/>
  </sheetPr>
  <dimension ref="A2:J2604"/>
  <sheetViews>
    <sheetView zoomScale="87" zoomScaleNormal="87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17" sqref="C17"/>
    </sheetView>
  </sheetViews>
  <sheetFormatPr defaultRowHeight="15.75" x14ac:dyDescent="0.25"/>
  <cols>
    <col min="1" max="1" width="4.7109375" style="2" customWidth="1"/>
    <col min="2" max="2" width="10.5703125" style="2" customWidth="1"/>
    <col min="3" max="3" width="42.5703125" style="2" bestFit="1" customWidth="1"/>
    <col min="4" max="4" width="3" style="2" customWidth="1"/>
    <col min="5" max="5" width="14.7109375" style="2" bestFit="1" customWidth="1"/>
    <col min="6" max="6" width="15.7109375" style="2" customWidth="1"/>
    <col min="7" max="8" width="16" style="5" bestFit="1" customWidth="1"/>
    <col min="9" max="9" width="14.7109375" style="2" bestFit="1" customWidth="1"/>
    <col min="10" max="10" width="10" style="2" bestFit="1" customWidth="1"/>
    <col min="11" max="16384" width="9.140625" style="148"/>
  </cols>
  <sheetData>
    <row r="2" spans="2:9" ht="52.5" customHeight="1" x14ac:dyDescent="0.25">
      <c r="C2" s="147" t="str">
        <f>Criteria!E9</f>
        <v>ABC TRUST</v>
      </c>
      <c r="D2" s="212"/>
      <c r="E2" s="212"/>
      <c r="G2" s="146" t="s">
        <v>90</v>
      </c>
      <c r="H2" s="146"/>
    </row>
    <row r="3" spans="2:9" x14ac:dyDescent="0.25">
      <c r="C3" s="3" t="s">
        <v>89</v>
      </c>
      <c r="D3" s="3"/>
      <c r="E3" s="3" t="str">
        <f>Criteria!E20</f>
        <v>29 FEBRUARY 2024</v>
      </c>
    </row>
    <row r="4" spans="2:9" ht="52.5" customHeight="1" x14ac:dyDescent="0.25">
      <c r="C4" s="145"/>
      <c r="G4" s="146" t="s">
        <v>91</v>
      </c>
      <c r="H4" s="146"/>
    </row>
    <row r="5" spans="2:9" s="2" customFormat="1" ht="15.75" customHeight="1" x14ac:dyDescent="0.25">
      <c r="G5" s="25"/>
      <c r="H5" s="25"/>
    </row>
    <row r="6" spans="2:9" s="2" customFormat="1" ht="15.75" customHeight="1" x14ac:dyDescent="0.25">
      <c r="C6" s="2" t="s">
        <v>446</v>
      </c>
      <c r="E6" s="72"/>
      <c r="F6" s="70"/>
      <c r="G6" s="70"/>
      <c r="I6" s="70"/>
    </row>
    <row r="7" spans="2:9" s="2" customFormat="1" ht="15.75" customHeight="1" x14ac:dyDescent="0.25">
      <c r="E7" s="70"/>
      <c r="F7" s="70"/>
      <c r="G7" s="70"/>
      <c r="I7" s="70"/>
    </row>
    <row r="8" spans="2:9" s="2" customFormat="1" ht="15.75" customHeight="1" x14ac:dyDescent="0.25">
      <c r="C8" s="2" t="s">
        <v>447</v>
      </c>
      <c r="E8" s="72"/>
      <c r="F8" s="70"/>
      <c r="G8" s="70"/>
      <c r="I8" s="70"/>
    </row>
    <row r="9" spans="2:9" s="2" customFormat="1" ht="15.75" customHeight="1" x14ac:dyDescent="0.25">
      <c r="C9" s="2" t="s">
        <v>448</v>
      </c>
      <c r="E9" s="73"/>
      <c r="F9" s="70"/>
      <c r="G9" s="70"/>
      <c r="I9" s="70"/>
    </row>
    <row r="10" spans="2:9" s="2" customFormat="1" ht="15.75" customHeight="1" x14ac:dyDescent="0.25">
      <c r="E10" s="70"/>
      <c r="F10" s="70"/>
      <c r="G10" s="70"/>
      <c r="I10" s="70"/>
    </row>
    <row r="11" spans="2:9" s="2" customFormat="1" ht="15.75" customHeight="1" x14ac:dyDescent="0.25">
      <c r="E11" s="70"/>
      <c r="F11" s="70"/>
      <c r="G11" s="70"/>
      <c r="I11" s="70"/>
    </row>
    <row r="12" spans="2:9" s="2" customFormat="1" ht="15.75" customHeight="1" x14ac:dyDescent="0.25">
      <c r="E12" s="70"/>
      <c r="F12" s="70"/>
      <c r="G12" s="70"/>
      <c r="I12" s="70"/>
    </row>
    <row r="13" spans="2:9" s="2" customFormat="1" ht="15.75" customHeight="1" x14ac:dyDescent="0.25">
      <c r="E13" s="70"/>
      <c r="F13" s="70"/>
      <c r="G13" s="70"/>
      <c r="I13" s="70"/>
    </row>
    <row r="14" spans="2:9" s="2" customFormat="1" ht="15.75" customHeight="1" x14ac:dyDescent="0.25">
      <c r="B14" s="6" t="s">
        <v>177</v>
      </c>
      <c r="C14" s="6" t="s">
        <v>449</v>
      </c>
      <c r="D14" s="6"/>
      <c r="E14" s="74" t="s">
        <v>126</v>
      </c>
      <c r="F14" s="74" t="s">
        <v>125</v>
      </c>
      <c r="G14" s="74" t="s">
        <v>450</v>
      </c>
      <c r="I14" s="70"/>
    </row>
    <row r="15" spans="2:9" s="2" customFormat="1" ht="15.75" customHeight="1" x14ac:dyDescent="0.25">
      <c r="E15" s="70"/>
      <c r="F15" s="70"/>
      <c r="G15" s="70"/>
      <c r="I15" s="70"/>
    </row>
    <row r="16" spans="2:9" s="2" customFormat="1" ht="15.75" customHeight="1" x14ac:dyDescent="0.25">
      <c r="E16" s="70"/>
      <c r="F16" s="70"/>
      <c r="G16" s="75">
        <f>E6</f>
        <v>0</v>
      </c>
      <c r="I16" s="70"/>
    </row>
    <row r="17" spans="2:9" s="2" customFormat="1" x14ac:dyDescent="0.25">
      <c r="B17" s="2">
        <v>1</v>
      </c>
      <c r="C17" s="15">
        <f>$E$8</f>
        <v>0</v>
      </c>
      <c r="E17" s="70">
        <f>G16*$E$9/12</f>
        <v>0</v>
      </c>
      <c r="F17" s="70">
        <f>C17-E17</f>
        <v>0</v>
      </c>
      <c r="G17" s="70">
        <f t="shared" ref="G17" si="0">G16-F17</f>
        <v>0</v>
      </c>
      <c r="I17" s="70"/>
    </row>
    <row r="18" spans="2:9" s="2" customFormat="1" x14ac:dyDescent="0.25">
      <c r="B18" s="2">
        <f t="shared" ref="B18:B81" si="1">B17+1</f>
        <v>2</v>
      </c>
      <c r="C18" s="15">
        <f t="shared" ref="C18:C81" si="2">$E$8</f>
        <v>0</v>
      </c>
      <c r="E18" s="70">
        <f t="shared" ref="E18:E81" si="3">G17*$E$9/12</f>
        <v>0</v>
      </c>
      <c r="F18" s="70">
        <f t="shared" ref="F18:F81" si="4">C18-E18</f>
        <v>0</v>
      </c>
      <c r="G18" s="70">
        <f t="shared" ref="G18:G81" si="5">G17-F18</f>
        <v>0</v>
      </c>
      <c r="I18" s="70"/>
    </row>
    <row r="19" spans="2:9" s="2" customFormat="1" x14ac:dyDescent="0.25">
      <c r="B19" s="2">
        <f t="shared" si="1"/>
        <v>3</v>
      </c>
      <c r="C19" s="15">
        <f t="shared" si="2"/>
        <v>0</v>
      </c>
      <c r="E19" s="70">
        <f t="shared" si="3"/>
        <v>0</v>
      </c>
      <c r="F19" s="70">
        <f t="shared" si="4"/>
        <v>0</v>
      </c>
      <c r="G19" s="70">
        <f t="shared" si="5"/>
        <v>0</v>
      </c>
      <c r="I19" s="70"/>
    </row>
    <row r="20" spans="2:9" s="2" customFormat="1" x14ac:dyDescent="0.25">
      <c r="B20" s="2">
        <f t="shared" si="1"/>
        <v>4</v>
      </c>
      <c r="C20" s="15">
        <f t="shared" si="2"/>
        <v>0</v>
      </c>
      <c r="E20" s="70">
        <f t="shared" si="3"/>
        <v>0</v>
      </c>
      <c r="F20" s="70">
        <f t="shared" si="4"/>
        <v>0</v>
      </c>
      <c r="G20" s="70">
        <f t="shared" si="5"/>
        <v>0</v>
      </c>
      <c r="I20" s="70"/>
    </row>
    <row r="21" spans="2:9" s="2" customFormat="1" x14ac:dyDescent="0.25">
      <c r="B21" s="2">
        <f t="shared" si="1"/>
        <v>5</v>
      </c>
      <c r="C21" s="15">
        <f t="shared" si="2"/>
        <v>0</v>
      </c>
      <c r="E21" s="70">
        <f t="shared" si="3"/>
        <v>0</v>
      </c>
      <c r="F21" s="70">
        <f t="shared" si="4"/>
        <v>0</v>
      </c>
      <c r="G21" s="70">
        <f t="shared" si="5"/>
        <v>0</v>
      </c>
      <c r="I21" s="70"/>
    </row>
    <row r="22" spans="2:9" s="2" customFormat="1" x14ac:dyDescent="0.25">
      <c r="B22" s="2">
        <f t="shared" si="1"/>
        <v>6</v>
      </c>
      <c r="C22" s="15">
        <f t="shared" si="2"/>
        <v>0</v>
      </c>
      <c r="E22" s="70">
        <f t="shared" si="3"/>
        <v>0</v>
      </c>
      <c r="F22" s="70">
        <f t="shared" si="4"/>
        <v>0</v>
      </c>
      <c r="G22" s="70">
        <f t="shared" si="5"/>
        <v>0</v>
      </c>
      <c r="I22" s="70"/>
    </row>
    <row r="23" spans="2:9" x14ac:dyDescent="0.25">
      <c r="B23" s="2">
        <f t="shared" si="1"/>
        <v>7</v>
      </c>
      <c r="C23" s="15">
        <f t="shared" si="2"/>
        <v>0</v>
      </c>
      <c r="E23" s="70">
        <f t="shared" si="3"/>
        <v>0</v>
      </c>
      <c r="F23" s="70">
        <f t="shared" si="4"/>
        <v>0</v>
      </c>
      <c r="G23" s="70">
        <f t="shared" si="5"/>
        <v>0</v>
      </c>
      <c r="H23" s="148"/>
      <c r="I23" s="70"/>
    </row>
    <row r="24" spans="2:9" x14ac:dyDescent="0.25">
      <c r="B24" s="2">
        <f t="shared" si="1"/>
        <v>8</v>
      </c>
      <c r="C24" s="15">
        <f t="shared" si="2"/>
        <v>0</v>
      </c>
      <c r="E24" s="70">
        <f t="shared" si="3"/>
        <v>0</v>
      </c>
      <c r="F24" s="70">
        <f t="shared" si="4"/>
        <v>0</v>
      </c>
      <c r="G24" s="70">
        <f t="shared" si="5"/>
        <v>0</v>
      </c>
      <c r="H24" s="148"/>
      <c r="I24" s="70"/>
    </row>
    <row r="25" spans="2:9" x14ac:dyDescent="0.25">
      <c r="B25" s="2">
        <f t="shared" si="1"/>
        <v>9</v>
      </c>
      <c r="C25" s="15">
        <f t="shared" si="2"/>
        <v>0</v>
      </c>
      <c r="E25" s="70">
        <f t="shared" si="3"/>
        <v>0</v>
      </c>
      <c r="F25" s="70">
        <f t="shared" si="4"/>
        <v>0</v>
      </c>
      <c r="G25" s="70">
        <f t="shared" si="5"/>
        <v>0</v>
      </c>
      <c r="H25" s="148"/>
      <c r="I25" s="70"/>
    </row>
    <row r="26" spans="2:9" x14ac:dyDescent="0.25">
      <c r="B26" s="2">
        <f t="shared" si="1"/>
        <v>10</v>
      </c>
      <c r="C26" s="15">
        <f t="shared" si="2"/>
        <v>0</v>
      </c>
      <c r="E26" s="70">
        <f t="shared" si="3"/>
        <v>0</v>
      </c>
      <c r="F26" s="70">
        <f t="shared" si="4"/>
        <v>0</v>
      </c>
      <c r="G26" s="70">
        <f t="shared" si="5"/>
        <v>0</v>
      </c>
      <c r="H26" s="148"/>
      <c r="I26" s="70"/>
    </row>
    <row r="27" spans="2:9" x14ac:dyDescent="0.25">
      <c r="B27" s="2">
        <f t="shared" si="1"/>
        <v>11</v>
      </c>
      <c r="C27" s="15">
        <f t="shared" si="2"/>
        <v>0</v>
      </c>
      <c r="E27" s="70">
        <f t="shared" si="3"/>
        <v>0</v>
      </c>
      <c r="F27" s="70">
        <f t="shared" si="4"/>
        <v>0</v>
      </c>
      <c r="G27" s="70">
        <f t="shared" si="5"/>
        <v>0</v>
      </c>
      <c r="H27" s="148"/>
      <c r="I27" s="70"/>
    </row>
    <row r="28" spans="2:9" x14ac:dyDescent="0.25">
      <c r="B28" s="2">
        <f t="shared" si="1"/>
        <v>12</v>
      </c>
      <c r="C28" s="15">
        <f t="shared" si="2"/>
        <v>0</v>
      </c>
      <c r="E28" s="70">
        <f t="shared" si="3"/>
        <v>0</v>
      </c>
      <c r="F28" s="70">
        <f t="shared" si="4"/>
        <v>0</v>
      </c>
      <c r="G28" s="70">
        <f t="shared" si="5"/>
        <v>0</v>
      </c>
      <c r="H28" s="148"/>
      <c r="I28" s="70"/>
    </row>
    <row r="29" spans="2:9" x14ac:dyDescent="0.25">
      <c r="B29" s="2">
        <f t="shared" si="1"/>
        <v>13</v>
      </c>
      <c r="C29" s="15">
        <f t="shared" si="2"/>
        <v>0</v>
      </c>
      <c r="E29" s="70">
        <f t="shared" si="3"/>
        <v>0</v>
      </c>
      <c r="F29" s="70">
        <f t="shared" si="4"/>
        <v>0</v>
      </c>
      <c r="G29" s="70">
        <f t="shared" si="5"/>
        <v>0</v>
      </c>
      <c r="H29" s="148"/>
      <c r="I29" s="70"/>
    </row>
    <row r="30" spans="2:9" x14ac:dyDescent="0.25">
      <c r="B30" s="2">
        <f t="shared" si="1"/>
        <v>14</v>
      </c>
      <c r="C30" s="15">
        <f t="shared" si="2"/>
        <v>0</v>
      </c>
      <c r="E30" s="70">
        <f t="shared" si="3"/>
        <v>0</v>
      </c>
      <c r="F30" s="70">
        <f t="shared" si="4"/>
        <v>0</v>
      </c>
      <c r="G30" s="70">
        <f t="shared" si="5"/>
        <v>0</v>
      </c>
      <c r="H30" s="148"/>
      <c r="I30" s="70"/>
    </row>
    <row r="31" spans="2:9" x14ac:dyDescent="0.25">
      <c r="B31" s="2">
        <f t="shared" si="1"/>
        <v>15</v>
      </c>
      <c r="C31" s="15">
        <f t="shared" si="2"/>
        <v>0</v>
      </c>
      <c r="E31" s="70">
        <f t="shared" si="3"/>
        <v>0</v>
      </c>
      <c r="F31" s="70">
        <f t="shared" si="4"/>
        <v>0</v>
      </c>
      <c r="G31" s="70">
        <f t="shared" si="5"/>
        <v>0</v>
      </c>
      <c r="H31" s="148"/>
      <c r="I31" s="70"/>
    </row>
    <row r="32" spans="2:9" x14ac:dyDescent="0.25">
      <c r="B32" s="2">
        <f t="shared" si="1"/>
        <v>16</v>
      </c>
      <c r="C32" s="15">
        <f t="shared" si="2"/>
        <v>0</v>
      </c>
      <c r="E32" s="70">
        <f t="shared" si="3"/>
        <v>0</v>
      </c>
      <c r="F32" s="70">
        <f t="shared" si="4"/>
        <v>0</v>
      </c>
      <c r="G32" s="70">
        <f t="shared" si="5"/>
        <v>0</v>
      </c>
      <c r="H32" s="148"/>
      <c r="I32" s="70"/>
    </row>
    <row r="33" spans="2:9" x14ac:dyDescent="0.25">
      <c r="B33" s="2">
        <f t="shared" si="1"/>
        <v>17</v>
      </c>
      <c r="C33" s="15">
        <f t="shared" si="2"/>
        <v>0</v>
      </c>
      <c r="E33" s="70">
        <f t="shared" si="3"/>
        <v>0</v>
      </c>
      <c r="F33" s="70">
        <f t="shared" si="4"/>
        <v>0</v>
      </c>
      <c r="G33" s="70">
        <f t="shared" si="5"/>
        <v>0</v>
      </c>
      <c r="H33" s="148"/>
      <c r="I33" s="70"/>
    </row>
    <row r="34" spans="2:9" x14ac:dyDescent="0.25">
      <c r="B34" s="2">
        <f t="shared" si="1"/>
        <v>18</v>
      </c>
      <c r="C34" s="15">
        <f t="shared" si="2"/>
        <v>0</v>
      </c>
      <c r="E34" s="70">
        <f t="shared" si="3"/>
        <v>0</v>
      </c>
      <c r="F34" s="70">
        <f t="shared" si="4"/>
        <v>0</v>
      </c>
      <c r="G34" s="70">
        <f t="shared" si="5"/>
        <v>0</v>
      </c>
      <c r="H34" s="148"/>
      <c r="I34" s="70"/>
    </row>
    <row r="35" spans="2:9" x14ac:dyDescent="0.25">
      <c r="B35" s="2">
        <f t="shared" si="1"/>
        <v>19</v>
      </c>
      <c r="C35" s="15">
        <f t="shared" si="2"/>
        <v>0</v>
      </c>
      <c r="E35" s="70">
        <f t="shared" si="3"/>
        <v>0</v>
      </c>
      <c r="F35" s="70">
        <f t="shared" si="4"/>
        <v>0</v>
      </c>
      <c r="G35" s="70">
        <f t="shared" si="5"/>
        <v>0</v>
      </c>
      <c r="H35" s="148"/>
      <c r="I35" s="70"/>
    </row>
    <row r="36" spans="2:9" x14ac:dyDescent="0.25">
      <c r="B36" s="2">
        <f t="shared" si="1"/>
        <v>20</v>
      </c>
      <c r="C36" s="15">
        <f t="shared" si="2"/>
        <v>0</v>
      </c>
      <c r="E36" s="70">
        <f t="shared" si="3"/>
        <v>0</v>
      </c>
      <c r="F36" s="70">
        <f t="shared" si="4"/>
        <v>0</v>
      </c>
      <c r="G36" s="70">
        <f t="shared" si="5"/>
        <v>0</v>
      </c>
      <c r="H36" s="148"/>
      <c r="I36" s="70"/>
    </row>
    <row r="37" spans="2:9" x14ac:dyDescent="0.25">
      <c r="B37" s="2">
        <f t="shared" si="1"/>
        <v>21</v>
      </c>
      <c r="C37" s="15">
        <f t="shared" si="2"/>
        <v>0</v>
      </c>
      <c r="E37" s="70">
        <f t="shared" si="3"/>
        <v>0</v>
      </c>
      <c r="F37" s="70">
        <f t="shared" si="4"/>
        <v>0</v>
      </c>
      <c r="G37" s="70">
        <f t="shared" si="5"/>
        <v>0</v>
      </c>
      <c r="H37" s="148"/>
      <c r="I37" s="70"/>
    </row>
    <row r="38" spans="2:9" x14ac:dyDescent="0.25">
      <c r="B38" s="2">
        <f t="shared" si="1"/>
        <v>22</v>
      </c>
      <c r="C38" s="15">
        <f t="shared" si="2"/>
        <v>0</v>
      </c>
      <c r="E38" s="70">
        <f t="shared" si="3"/>
        <v>0</v>
      </c>
      <c r="F38" s="70">
        <f t="shared" si="4"/>
        <v>0</v>
      </c>
      <c r="G38" s="70">
        <f t="shared" si="5"/>
        <v>0</v>
      </c>
      <c r="H38" s="148"/>
      <c r="I38" s="70"/>
    </row>
    <row r="39" spans="2:9" x14ac:dyDescent="0.25">
      <c r="B39" s="2">
        <f t="shared" si="1"/>
        <v>23</v>
      </c>
      <c r="C39" s="15">
        <f t="shared" si="2"/>
        <v>0</v>
      </c>
      <c r="E39" s="70">
        <f t="shared" si="3"/>
        <v>0</v>
      </c>
      <c r="F39" s="70">
        <f t="shared" si="4"/>
        <v>0</v>
      </c>
      <c r="G39" s="70">
        <f t="shared" si="5"/>
        <v>0</v>
      </c>
      <c r="H39" s="148"/>
      <c r="I39" s="70"/>
    </row>
    <row r="40" spans="2:9" x14ac:dyDescent="0.25">
      <c r="B40" s="2">
        <f t="shared" si="1"/>
        <v>24</v>
      </c>
      <c r="C40" s="15">
        <f t="shared" si="2"/>
        <v>0</v>
      </c>
      <c r="E40" s="70">
        <f t="shared" si="3"/>
        <v>0</v>
      </c>
      <c r="F40" s="70">
        <f t="shared" si="4"/>
        <v>0</v>
      </c>
      <c r="G40" s="70">
        <f t="shared" si="5"/>
        <v>0</v>
      </c>
      <c r="H40" s="148"/>
      <c r="I40" s="70"/>
    </row>
    <row r="41" spans="2:9" x14ac:dyDescent="0.25">
      <c r="B41" s="2">
        <f t="shared" si="1"/>
        <v>25</v>
      </c>
      <c r="C41" s="15">
        <f t="shared" si="2"/>
        <v>0</v>
      </c>
      <c r="E41" s="70">
        <f t="shared" si="3"/>
        <v>0</v>
      </c>
      <c r="F41" s="70">
        <f t="shared" si="4"/>
        <v>0</v>
      </c>
      <c r="G41" s="70">
        <f t="shared" si="5"/>
        <v>0</v>
      </c>
      <c r="H41" s="148"/>
      <c r="I41" s="70"/>
    </row>
    <row r="42" spans="2:9" x14ac:dyDescent="0.25">
      <c r="B42" s="2">
        <f t="shared" si="1"/>
        <v>26</v>
      </c>
      <c r="C42" s="15">
        <f t="shared" si="2"/>
        <v>0</v>
      </c>
      <c r="E42" s="70">
        <f t="shared" si="3"/>
        <v>0</v>
      </c>
      <c r="F42" s="70">
        <f t="shared" si="4"/>
        <v>0</v>
      </c>
      <c r="G42" s="70">
        <f t="shared" si="5"/>
        <v>0</v>
      </c>
      <c r="H42" s="148"/>
      <c r="I42" s="70"/>
    </row>
    <row r="43" spans="2:9" x14ac:dyDescent="0.25">
      <c r="B43" s="2">
        <f t="shared" si="1"/>
        <v>27</v>
      </c>
      <c r="C43" s="15">
        <f t="shared" si="2"/>
        <v>0</v>
      </c>
      <c r="E43" s="70">
        <f t="shared" si="3"/>
        <v>0</v>
      </c>
      <c r="F43" s="70">
        <f t="shared" si="4"/>
        <v>0</v>
      </c>
      <c r="G43" s="70">
        <f t="shared" si="5"/>
        <v>0</v>
      </c>
      <c r="H43" s="148"/>
      <c r="I43" s="70"/>
    </row>
    <row r="44" spans="2:9" x14ac:dyDescent="0.25">
      <c r="B44" s="2">
        <f t="shared" si="1"/>
        <v>28</v>
      </c>
      <c r="C44" s="15">
        <f t="shared" si="2"/>
        <v>0</v>
      </c>
      <c r="E44" s="70">
        <f t="shared" si="3"/>
        <v>0</v>
      </c>
      <c r="F44" s="70">
        <f t="shared" si="4"/>
        <v>0</v>
      </c>
      <c r="G44" s="70">
        <f t="shared" si="5"/>
        <v>0</v>
      </c>
      <c r="H44" s="148"/>
      <c r="I44" s="70"/>
    </row>
    <row r="45" spans="2:9" x14ac:dyDescent="0.25">
      <c r="B45" s="2">
        <f t="shared" si="1"/>
        <v>29</v>
      </c>
      <c r="C45" s="15">
        <f t="shared" si="2"/>
        <v>0</v>
      </c>
      <c r="E45" s="70">
        <f t="shared" si="3"/>
        <v>0</v>
      </c>
      <c r="F45" s="70">
        <f t="shared" si="4"/>
        <v>0</v>
      </c>
      <c r="G45" s="70">
        <f t="shared" si="5"/>
        <v>0</v>
      </c>
      <c r="H45" s="148"/>
      <c r="I45" s="70"/>
    </row>
    <row r="46" spans="2:9" x14ac:dyDescent="0.25">
      <c r="B46" s="2">
        <f t="shared" si="1"/>
        <v>30</v>
      </c>
      <c r="C46" s="15">
        <f t="shared" si="2"/>
        <v>0</v>
      </c>
      <c r="E46" s="70">
        <f t="shared" si="3"/>
        <v>0</v>
      </c>
      <c r="F46" s="70">
        <f t="shared" si="4"/>
        <v>0</v>
      </c>
      <c r="G46" s="70">
        <f t="shared" si="5"/>
        <v>0</v>
      </c>
      <c r="H46" s="148"/>
      <c r="I46" s="70"/>
    </row>
    <row r="47" spans="2:9" x14ac:dyDescent="0.25">
      <c r="B47" s="2">
        <f t="shared" si="1"/>
        <v>31</v>
      </c>
      <c r="C47" s="15">
        <f t="shared" si="2"/>
        <v>0</v>
      </c>
      <c r="E47" s="70">
        <f t="shared" si="3"/>
        <v>0</v>
      </c>
      <c r="F47" s="70">
        <f t="shared" si="4"/>
        <v>0</v>
      </c>
      <c r="G47" s="70">
        <f t="shared" si="5"/>
        <v>0</v>
      </c>
      <c r="H47" s="148"/>
      <c r="I47" s="70"/>
    </row>
    <row r="48" spans="2:9" x14ac:dyDescent="0.25">
      <c r="B48" s="2">
        <f t="shared" si="1"/>
        <v>32</v>
      </c>
      <c r="C48" s="15">
        <f t="shared" si="2"/>
        <v>0</v>
      </c>
      <c r="E48" s="70">
        <f t="shared" si="3"/>
        <v>0</v>
      </c>
      <c r="F48" s="70">
        <f t="shared" si="4"/>
        <v>0</v>
      </c>
      <c r="G48" s="70">
        <f t="shared" si="5"/>
        <v>0</v>
      </c>
      <c r="H48" s="148"/>
      <c r="I48" s="70"/>
    </row>
    <row r="49" spans="2:9" x14ac:dyDescent="0.25">
      <c r="B49" s="2">
        <f t="shared" si="1"/>
        <v>33</v>
      </c>
      <c r="C49" s="15">
        <f t="shared" si="2"/>
        <v>0</v>
      </c>
      <c r="E49" s="70">
        <f t="shared" si="3"/>
        <v>0</v>
      </c>
      <c r="F49" s="70">
        <f t="shared" si="4"/>
        <v>0</v>
      </c>
      <c r="G49" s="70">
        <f t="shared" si="5"/>
        <v>0</v>
      </c>
      <c r="H49" s="148"/>
      <c r="I49" s="70"/>
    </row>
    <row r="50" spans="2:9" x14ac:dyDescent="0.25">
      <c r="B50" s="2">
        <f t="shared" si="1"/>
        <v>34</v>
      </c>
      <c r="C50" s="15">
        <f t="shared" si="2"/>
        <v>0</v>
      </c>
      <c r="E50" s="70">
        <f t="shared" si="3"/>
        <v>0</v>
      </c>
      <c r="F50" s="70">
        <f t="shared" si="4"/>
        <v>0</v>
      </c>
      <c r="G50" s="70">
        <f t="shared" si="5"/>
        <v>0</v>
      </c>
      <c r="H50" s="148"/>
      <c r="I50" s="70"/>
    </row>
    <row r="51" spans="2:9" x14ac:dyDescent="0.25">
      <c r="B51" s="2">
        <f t="shared" si="1"/>
        <v>35</v>
      </c>
      <c r="C51" s="15">
        <f t="shared" si="2"/>
        <v>0</v>
      </c>
      <c r="E51" s="70">
        <f t="shared" si="3"/>
        <v>0</v>
      </c>
      <c r="F51" s="70">
        <f t="shared" si="4"/>
        <v>0</v>
      </c>
      <c r="G51" s="70">
        <f t="shared" si="5"/>
        <v>0</v>
      </c>
      <c r="H51" s="148"/>
    </row>
    <row r="52" spans="2:9" x14ac:dyDescent="0.25">
      <c r="B52" s="2">
        <f t="shared" si="1"/>
        <v>36</v>
      </c>
      <c r="C52" s="15">
        <f t="shared" si="2"/>
        <v>0</v>
      </c>
      <c r="E52" s="70">
        <f t="shared" si="3"/>
        <v>0</v>
      </c>
      <c r="F52" s="70">
        <f t="shared" si="4"/>
        <v>0</v>
      </c>
      <c r="G52" s="70">
        <f t="shared" si="5"/>
        <v>0</v>
      </c>
      <c r="H52" s="148"/>
      <c r="I52" s="70"/>
    </row>
    <row r="53" spans="2:9" x14ac:dyDescent="0.25">
      <c r="B53" s="2">
        <f t="shared" si="1"/>
        <v>37</v>
      </c>
      <c r="C53" s="15">
        <f t="shared" si="2"/>
        <v>0</v>
      </c>
      <c r="E53" s="70">
        <f t="shared" si="3"/>
        <v>0</v>
      </c>
      <c r="F53" s="70">
        <f t="shared" si="4"/>
        <v>0</v>
      </c>
      <c r="G53" s="70">
        <f t="shared" si="5"/>
        <v>0</v>
      </c>
      <c r="H53" s="148"/>
      <c r="I53" s="70"/>
    </row>
    <row r="54" spans="2:9" x14ac:dyDescent="0.25">
      <c r="B54" s="2">
        <f t="shared" si="1"/>
        <v>38</v>
      </c>
      <c r="C54" s="15">
        <f t="shared" si="2"/>
        <v>0</v>
      </c>
      <c r="E54" s="70">
        <f t="shared" si="3"/>
        <v>0</v>
      </c>
      <c r="F54" s="70">
        <f t="shared" si="4"/>
        <v>0</v>
      </c>
      <c r="G54" s="70">
        <f t="shared" si="5"/>
        <v>0</v>
      </c>
      <c r="H54" s="148"/>
      <c r="I54" s="70"/>
    </row>
    <row r="55" spans="2:9" x14ac:dyDescent="0.25">
      <c r="B55" s="2">
        <f t="shared" si="1"/>
        <v>39</v>
      </c>
      <c r="C55" s="15">
        <f t="shared" si="2"/>
        <v>0</v>
      </c>
      <c r="E55" s="70">
        <f t="shared" si="3"/>
        <v>0</v>
      </c>
      <c r="F55" s="70">
        <f t="shared" si="4"/>
        <v>0</v>
      </c>
      <c r="G55" s="70">
        <f t="shared" si="5"/>
        <v>0</v>
      </c>
      <c r="H55" s="148"/>
      <c r="I55" s="70"/>
    </row>
    <row r="56" spans="2:9" x14ac:dyDescent="0.25">
      <c r="B56" s="2">
        <f t="shared" si="1"/>
        <v>40</v>
      </c>
      <c r="C56" s="15">
        <f t="shared" si="2"/>
        <v>0</v>
      </c>
      <c r="E56" s="70">
        <f t="shared" si="3"/>
        <v>0</v>
      </c>
      <c r="F56" s="70">
        <f t="shared" si="4"/>
        <v>0</v>
      </c>
      <c r="G56" s="70">
        <f t="shared" si="5"/>
        <v>0</v>
      </c>
      <c r="H56" s="148"/>
      <c r="I56" s="70"/>
    </row>
    <row r="57" spans="2:9" x14ac:dyDescent="0.25">
      <c r="B57" s="2">
        <f t="shared" si="1"/>
        <v>41</v>
      </c>
      <c r="C57" s="15">
        <f t="shared" si="2"/>
        <v>0</v>
      </c>
      <c r="E57" s="70">
        <f t="shared" si="3"/>
        <v>0</v>
      </c>
      <c r="F57" s="70">
        <f t="shared" si="4"/>
        <v>0</v>
      </c>
      <c r="G57" s="70">
        <f t="shared" si="5"/>
        <v>0</v>
      </c>
      <c r="H57" s="148"/>
      <c r="I57" s="70"/>
    </row>
    <row r="58" spans="2:9" x14ac:dyDescent="0.25">
      <c r="B58" s="2">
        <f t="shared" si="1"/>
        <v>42</v>
      </c>
      <c r="C58" s="15">
        <f t="shared" si="2"/>
        <v>0</v>
      </c>
      <c r="E58" s="70">
        <f t="shared" si="3"/>
        <v>0</v>
      </c>
      <c r="F58" s="70">
        <f t="shared" si="4"/>
        <v>0</v>
      </c>
      <c r="G58" s="70">
        <f t="shared" si="5"/>
        <v>0</v>
      </c>
      <c r="H58" s="148"/>
      <c r="I58" s="70"/>
    </row>
    <row r="59" spans="2:9" x14ac:dyDescent="0.25">
      <c r="B59" s="2">
        <f t="shared" si="1"/>
        <v>43</v>
      </c>
      <c r="C59" s="15">
        <f t="shared" si="2"/>
        <v>0</v>
      </c>
      <c r="E59" s="70">
        <f t="shared" si="3"/>
        <v>0</v>
      </c>
      <c r="F59" s="70">
        <f t="shared" si="4"/>
        <v>0</v>
      </c>
      <c r="G59" s="70">
        <f t="shared" si="5"/>
        <v>0</v>
      </c>
      <c r="H59" s="148"/>
      <c r="I59" s="70"/>
    </row>
    <row r="60" spans="2:9" x14ac:dyDescent="0.25">
      <c r="B60" s="2">
        <f t="shared" si="1"/>
        <v>44</v>
      </c>
      <c r="C60" s="15">
        <f t="shared" si="2"/>
        <v>0</v>
      </c>
      <c r="E60" s="70">
        <f t="shared" si="3"/>
        <v>0</v>
      </c>
      <c r="F60" s="70">
        <f t="shared" si="4"/>
        <v>0</v>
      </c>
      <c r="G60" s="70">
        <f t="shared" si="5"/>
        <v>0</v>
      </c>
      <c r="H60" s="148"/>
      <c r="I60" s="70"/>
    </row>
    <row r="61" spans="2:9" x14ac:dyDescent="0.25">
      <c r="B61" s="2">
        <f t="shared" si="1"/>
        <v>45</v>
      </c>
      <c r="C61" s="15">
        <f t="shared" si="2"/>
        <v>0</v>
      </c>
      <c r="E61" s="70">
        <f t="shared" si="3"/>
        <v>0</v>
      </c>
      <c r="F61" s="70">
        <f t="shared" si="4"/>
        <v>0</v>
      </c>
      <c r="G61" s="70">
        <f t="shared" si="5"/>
        <v>0</v>
      </c>
      <c r="H61" s="148"/>
      <c r="I61" s="70"/>
    </row>
    <row r="62" spans="2:9" x14ac:dyDescent="0.25">
      <c r="B62" s="2">
        <f t="shared" si="1"/>
        <v>46</v>
      </c>
      <c r="C62" s="15">
        <f t="shared" si="2"/>
        <v>0</v>
      </c>
      <c r="E62" s="70">
        <f t="shared" si="3"/>
        <v>0</v>
      </c>
      <c r="F62" s="70">
        <f t="shared" si="4"/>
        <v>0</v>
      </c>
      <c r="G62" s="70">
        <f t="shared" si="5"/>
        <v>0</v>
      </c>
      <c r="H62" s="148"/>
      <c r="I62" s="70"/>
    </row>
    <row r="63" spans="2:9" x14ac:dyDescent="0.25">
      <c r="B63" s="2">
        <f t="shared" si="1"/>
        <v>47</v>
      </c>
      <c r="C63" s="15">
        <f t="shared" si="2"/>
        <v>0</v>
      </c>
      <c r="E63" s="70">
        <f t="shared" si="3"/>
        <v>0</v>
      </c>
      <c r="F63" s="70">
        <f t="shared" si="4"/>
        <v>0</v>
      </c>
      <c r="G63" s="70">
        <f t="shared" si="5"/>
        <v>0</v>
      </c>
      <c r="H63" s="148"/>
      <c r="I63" s="70"/>
    </row>
    <row r="64" spans="2:9" x14ac:dyDescent="0.25">
      <c r="B64" s="2">
        <f t="shared" si="1"/>
        <v>48</v>
      </c>
      <c r="C64" s="15">
        <f t="shared" si="2"/>
        <v>0</v>
      </c>
      <c r="E64" s="70">
        <f t="shared" si="3"/>
        <v>0</v>
      </c>
      <c r="F64" s="70">
        <f t="shared" si="4"/>
        <v>0</v>
      </c>
      <c r="G64" s="70">
        <f t="shared" si="5"/>
        <v>0</v>
      </c>
      <c r="H64" s="148"/>
      <c r="I64" s="70"/>
    </row>
    <row r="65" spans="2:9" x14ac:dyDescent="0.25">
      <c r="B65" s="2">
        <f t="shared" si="1"/>
        <v>49</v>
      </c>
      <c r="C65" s="15">
        <f t="shared" si="2"/>
        <v>0</v>
      </c>
      <c r="E65" s="70">
        <f t="shared" si="3"/>
        <v>0</v>
      </c>
      <c r="F65" s="70">
        <f t="shared" si="4"/>
        <v>0</v>
      </c>
      <c r="G65" s="70">
        <f t="shared" si="5"/>
        <v>0</v>
      </c>
      <c r="H65" s="148"/>
      <c r="I65" s="70"/>
    </row>
    <row r="66" spans="2:9" x14ac:dyDescent="0.25">
      <c r="B66" s="2">
        <f t="shared" si="1"/>
        <v>50</v>
      </c>
      <c r="C66" s="15">
        <f t="shared" si="2"/>
        <v>0</v>
      </c>
      <c r="E66" s="70">
        <f t="shared" si="3"/>
        <v>0</v>
      </c>
      <c r="F66" s="70">
        <f t="shared" si="4"/>
        <v>0</v>
      </c>
      <c r="G66" s="70">
        <f t="shared" si="5"/>
        <v>0</v>
      </c>
      <c r="H66" s="148"/>
      <c r="I66" s="70"/>
    </row>
    <row r="67" spans="2:9" x14ac:dyDescent="0.25">
      <c r="B67" s="2">
        <f t="shared" si="1"/>
        <v>51</v>
      </c>
      <c r="C67" s="15">
        <f t="shared" si="2"/>
        <v>0</v>
      </c>
      <c r="E67" s="70">
        <f t="shared" si="3"/>
        <v>0</v>
      </c>
      <c r="F67" s="70">
        <f t="shared" si="4"/>
        <v>0</v>
      </c>
      <c r="G67" s="70">
        <f t="shared" si="5"/>
        <v>0</v>
      </c>
      <c r="H67" s="148"/>
      <c r="I67" s="70"/>
    </row>
    <row r="68" spans="2:9" x14ac:dyDescent="0.25">
      <c r="B68" s="2">
        <f t="shared" si="1"/>
        <v>52</v>
      </c>
      <c r="C68" s="15">
        <f t="shared" si="2"/>
        <v>0</v>
      </c>
      <c r="E68" s="70">
        <f t="shared" si="3"/>
        <v>0</v>
      </c>
      <c r="F68" s="70">
        <f t="shared" si="4"/>
        <v>0</v>
      </c>
      <c r="G68" s="70">
        <f t="shared" si="5"/>
        <v>0</v>
      </c>
      <c r="H68" s="148"/>
      <c r="I68" s="70"/>
    </row>
    <row r="69" spans="2:9" x14ac:dyDescent="0.25">
      <c r="B69" s="2">
        <f t="shared" si="1"/>
        <v>53</v>
      </c>
      <c r="C69" s="15">
        <f t="shared" si="2"/>
        <v>0</v>
      </c>
      <c r="E69" s="70">
        <f t="shared" si="3"/>
        <v>0</v>
      </c>
      <c r="F69" s="70">
        <f t="shared" si="4"/>
        <v>0</v>
      </c>
      <c r="G69" s="70">
        <f t="shared" si="5"/>
        <v>0</v>
      </c>
      <c r="H69" s="148"/>
      <c r="I69" s="70"/>
    </row>
    <row r="70" spans="2:9" x14ac:dyDescent="0.25">
      <c r="B70" s="2">
        <f t="shared" si="1"/>
        <v>54</v>
      </c>
      <c r="C70" s="15">
        <f t="shared" si="2"/>
        <v>0</v>
      </c>
      <c r="E70" s="70">
        <f t="shared" si="3"/>
        <v>0</v>
      </c>
      <c r="F70" s="70">
        <f t="shared" si="4"/>
        <v>0</v>
      </c>
      <c r="G70" s="70">
        <f t="shared" si="5"/>
        <v>0</v>
      </c>
      <c r="H70" s="148"/>
      <c r="I70" s="70"/>
    </row>
    <row r="71" spans="2:9" x14ac:dyDescent="0.25">
      <c r="B71" s="2">
        <f t="shared" si="1"/>
        <v>55</v>
      </c>
      <c r="C71" s="15">
        <f t="shared" si="2"/>
        <v>0</v>
      </c>
      <c r="E71" s="70">
        <f t="shared" si="3"/>
        <v>0</v>
      </c>
      <c r="F71" s="70">
        <f t="shared" si="4"/>
        <v>0</v>
      </c>
      <c r="G71" s="70">
        <f t="shared" si="5"/>
        <v>0</v>
      </c>
      <c r="H71" s="148"/>
      <c r="I71" s="70"/>
    </row>
    <row r="72" spans="2:9" x14ac:dyDescent="0.25">
      <c r="B72" s="2">
        <f t="shared" si="1"/>
        <v>56</v>
      </c>
      <c r="C72" s="15">
        <f t="shared" si="2"/>
        <v>0</v>
      </c>
      <c r="E72" s="70">
        <f t="shared" si="3"/>
        <v>0</v>
      </c>
      <c r="F72" s="70">
        <f t="shared" si="4"/>
        <v>0</v>
      </c>
      <c r="G72" s="70">
        <f t="shared" si="5"/>
        <v>0</v>
      </c>
      <c r="H72" s="148"/>
      <c r="I72" s="70"/>
    </row>
    <row r="73" spans="2:9" x14ac:dyDescent="0.25">
      <c r="B73" s="2">
        <f t="shared" si="1"/>
        <v>57</v>
      </c>
      <c r="C73" s="15">
        <f t="shared" si="2"/>
        <v>0</v>
      </c>
      <c r="E73" s="70">
        <f t="shared" si="3"/>
        <v>0</v>
      </c>
      <c r="F73" s="70">
        <f t="shared" si="4"/>
        <v>0</v>
      </c>
      <c r="G73" s="70">
        <f t="shared" si="5"/>
        <v>0</v>
      </c>
      <c r="H73" s="148"/>
      <c r="I73" s="70"/>
    </row>
    <row r="74" spans="2:9" x14ac:dyDescent="0.25">
      <c r="B74" s="2">
        <f t="shared" si="1"/>
        <v>58</v>
      </c>
      <c r="C74" s="15">
        <f t="shared" si="2"/>
        <v>0</v>
      </c>
      <c r="E74" s="70">
        <f t="shared" si="3"/>
        <v>0</v>
      </c>
      <c r="F74" s="70">
        <f t="shared" si="4"/>
        <v>0</v>
      </c>
      <c r="G74" s="70">
        <f t="shared" si="5"/>
        <v>0</v>
      </c>
      <c r="H74" s="148"/>
      <c r="I74" s="70"/>
    </row>
    <row r="75" spans="2:9" x14ac:dyDescent="0.25">
      <c r="B75" s="2">
        <f t="shared" si="1"/>
        <v>59</v>
      </c>
      <c r="C75" s="15">
        <f t="shared" si="2"/>
        <v>0</v>
      </c>
      <c r="E75" s="70">
        <f t="shared" si="3"/>
        <v>0</v>
      </c>
      <c r="F75" s="70">
        <f t="shared" si="4"/>
        <v>0</v>
      </c>
      <c r="G75" s="70">
        <f t="shared" si="5"/>
        <v>0</v>
      </c>
      <c r="H75" s="148"/>
      <c r="I75" s="70"/>
    </row>
    <row r="76" spans="2:9" x14ac:dyDescent="0.25">
      <c r="B76" s="2">
        <f t="shared" si="1"/>
        <v>60</v>
      </c>
      <c r="C76" s="15">
        <f t="shared" si="2"/>
        <v>0</v>
      </c>
      <c r="E76" s="70">
        <f t="shared" si="3"/>
        <v>0</v>
      </c>
      <c r="F76" s="70">
        <f t="shared" si="4"/>
        <v>0</v>
      </c>
      <c r="G76" s="70">
        <f t="shared" si="5"/>
        <v>0</v>
      </c>
      <c r="H76" s="148"/>
      <c r="I76" s="70"/>
    </row>
    <row r="77" spans="2:9" x14ac:dyDescent="0.25">
      <c r="B77" s="2">
        <f t="shared" si="1"/>
        <v>61</v>
      </c>
      <c r="C77" s="15">
        <f t="shared" si="2"/>
        <v>0</v>
      </c>
      <c r="E77" s="70">
        <f t="shared" si="3"/>
        <v>0</v>
      </c>
      <c r="F77" s="70">
        <f t="shared" si="4"/>
        <v>0</v>
      </c>
      <c r="G77" s="70">
        <f t="shared" si="5"/>
        <v>0</v>
      </c>
      <c r="H77" s="148"/>
      <c r="I77" s="70"/>
    </row>
    <row r="78" spans="2:9" x14ac:dyDescent="0.25">
      <c r="B78" s="2">
        <f t="shared" si="1"/>
        <v>62</v>
      </c>
      <c r="C78" s="15">
        <f t="shared" si="2"/>
        <v>0</v>
      </c>
      <c r="E78" s="70">
        <f t="shared" si="3"/>
        <v>0</v>
      </c>
      <c r="F78" s="70">
        <f t="shared" si="4"/>
        <v>0</v>
      </c>
      <c r="G78" s="70">
        <f t="shared" si="5"/>
        <v>0</v>
      </c>
      <c r="H78" s="148"/>
      <c r="I78" s="70"/>
    </row>
    <row r="79" spans="2:9" x14ac:dyDescent="0.25">
      <c r="B79" s="2">
        <f t="shared" si="1"/>
        <v>63</v>
      </c>
      <c r="C79" s="15">
        <f t="shared" si="2"/>
        <v>0</v>
      </c>
      <c r="E79" s="70">
        <f t="shared" si="3"/>
        <v>0</v>
      </c>
      <c r="F79" s="70">
        <f t="shared" si="4"/>
        <v>0</v>
      </c>
      <c r="G79" s="70">
        <f t="shared" si="5"/>
        <v>0</v>
      </c>
      <c r="H79" s="148"/>
      <c r="I79" s="70"/>
    </row>
    <row r="80" spans="2:9" x14ac:dyDescent="0.25">
      <c r="B80" s="2">
        <f t="shared" si="1"/>
        <v>64</v>
      </c>
      <c r="C80" s="15">
        <f t="shared" si="2"/>
        <v>0</v>
      </c>
      <c r="E80" s="70">
        <f t="shared" si="3"/>
        <v>0</v>
      </c>
      <c r="F80" s="70">
        <f t="shared" si="4"/>
        <v>0</v>
      </c>
      <c r="G80" s="70">
        <f t="shared" si="5"/>
        <v>0</v>
      </c>
      <c r="H80" s="148"/>
      <c r="I80" s="70"/>
    </row>
    <row r="81" spans="2:9" x14ac:dyDescent="0.25">
      <c r="B81" s="2">
        <f t="shared" si="1"/>
        <v>65</v>
      </c>
      <c r="C81" s="15">
        <f t="shared" si="2"/>
        <v>0</v>
      </c>
      <c r="E81" s="70">
        <f t="shared" si="3"/>
        <v>0</v>
      </c>
      <c r="F81" s="70">
        <f t="shared" si="4"/>
        <v>0</v>
      </c>
      <c r="G81" s="70">
        <f t="shared" si="5"/>
        <v>0</v>
      </c>
      <c r="H81" s="148"/>
      <c r="I81" s="70"/>
    </row>
    <row r="82" spans="2:9" x14ac:dyDescent="0.25">
      <c r="B82" s="2">
        <f t="shared" ref="B82:B145" si="6">B81+1</f>
        <v>66</v>
      </c>
      <c r="C82" s="15">
        <f t="shared" ref="C82:C145" si="7">$E$8</f>
        <v>0</v>
      </c>
      <c r="E82" s="70">
        <f t="shared" ref="E82:E145" si="8">G81*$E$9/12</f>
        <v>0</v>
      </c>
      <c r="F82" s="70">
        <f t="shared" ref="F82:F145" si="9">C82-E82</f>
        <v>0</v>
      </c>
      <c r="G82" s="70">
        <f t="shared" ref="G82:G145" si="10">G81-F82</f>
        <v>0</v>
      </c>
      <c r="H82" s="148"/>
      <c r="I82" s="70"/>
    </row>
    <row r="83" spans="2:9" x14ac:dyDescent="0.25">
      <c r="B83" s="2">
        <f t="shared" si="6"/>
        <v>67</v>
      </c>
      <c r="C83" s="15">
        <f t="shared" si="7"/>
        <v>0</v>
      </c>
      <c r="E83" s="70">
        <f t="shared" si="8"/>
        <v>0</v>
      </c>
      <c r="F83" s="70">
        <f t="shared" si="9"/>
        <v>0</v>
      </c>
      <c r="G83" s="70">
        <f t="shared" si="10"/>
        <v>0</v>
      </c>
      <c r="H83" s="148"/>
      <c r="I83" s="70"/>
    </row>
    <row r="84" spans="2:9" x14ac:dyDescent="0.25">
      <c r="B84" s="2">
        <f t="shared" si="6"/>
        <v>68</v>
      </c>
      <c r="C84" s="15">
        <f t="shared" si="7"/>
        <v>0</v>
      </c>
      <c r="E84" s="70">
        <f t="shared" si="8"/>
        <v>0</v>
      </c>
      <c r="F84" s="70">
        <f t="shared" si="9"/>
        <v>0</v>
      </c>
      <c r="G84" s="70">
        <f t="shared" si="10"/>
        <v>0</v>
      </c>
      <c r="H84" s="148"/>
      <c r="I84" s="70"/>
    </row>
    <row r="85" spans="2:9" x14ac:dyDescent="0.25">
      <c r="B85" s="2">
        <f t="shared" si="6"/>
        <v>69</v>
      </c>
      <c r="C85" s="15">
        <f t="shared" si="7"/>
        <v>0</v>
      </c>
      <c r="E85" s="70">
        <f t="shared" si="8"/>
        <v>0</v>
      </c>
      <c r="F85" s="70">
        <f t="shared" si="9"/>
        <v>0</v>
      </c>
      <c r="G85" s="70">
        <f t="shared" si="10"/>
        <v>0</v>
      </c>
      <c r="H85" s="148"/>
      <c r="I85" s="70"/>
    </row>
    <row r="86" spans="2:9" x14ac:dyDescent="0.25">
      <c r="B86" s="2">
        <f t="shared" si="6"/>
        <v>70</v>
      </c>
      <c r="C86" s="15">
        <f t="shared" si="7"/>
        <v>0</v>
      </c>
      <c r="E86" s="70">
        <f t="shared" si="8"/>
        <v>0</v>
      </c>
      <c r="F86" s="70">
        <f t="shared" si="9"/>
        <v>0</v>
      </c>
      <c r="G86" s="70">
        <f t="shared" si="10"/>
        <v>0</v>
      </c>
      <c r="H86" s="148"/>
      <c r="I86" s="70"/>
    </row>
    <row r="87" spans="2:9" x14ac:dyDescent="0.25">
      <c r="B87" s="2">
        <f t="shared" si="6"/>
        <v>71</v>
      </c>
      <c r="C87" s="15">
        <f t="shared" si="7"/>
        <v>0</v>
      </c>
      <c r="E87" s="70">
        <f t="shared" si="8"/>
        <v>0</v>
      </c>
      <c r="F87" s="70">
        <f t="shared" si="9"/>
        <v>0</v>
      </c>
      <c r="G87" s="70">
        <f t="shared" si="10"/>
        <v>0</v>
      </c>
      <c r="H87" s="148"/>
      <c r="I87" s="70"/>
    </row>
    <row r="88" spans="2:9" x14ac:dyDescent="0.25">
      <c r="B88" s="2">
        <f t="shared" si="6"/>
        <v>72</v>
      </c>
      <c r="C88" s="15">
        <f t="shared" si="7"/>
        <v>0</v>
      </c>
      <c r="E88" s="70">
        <f t="shared" si="8"/>
        <v>0</v>
      </c>
      <c r="F88" s="70">
        <f t="shared" si="9"/>
        <v>0</v>
      </c>
      <c r="G88" s="70">
        <f t="shared" si="10"/>
        <v>0</v>
      </c>
      <c r="H88" s="148"/>
      <c r="I88" s="70"/>
    </row>
    <row r="89" spans="2:9" x14ac:dyDescent="0.25">
      <c r="B89" s="2">
        <f t="shared" si="6"/>
        <v>73</v>
      </c>
      <c r="C89" s="15">
        <f t="shared" si="7"/>
        <v>0</v>
      </c>
      <c r="E89" s="70">
        <f t="shared" si="8"/>
        <v>0</v>
      </c>
      <c r="F89" s="70">
        <f t="shared" si="9"/>
        <v>0</v>
      </c>
      <c r="G89" s="70">
        <f t="shared" si="10"/>
        <v>0</v>
      </c>
      <c r="H89" s="148"/>
      <c r="I89" s="70"/>
    </row>
    <row r="90" spans="2:9" x14ac:dyDescent="0.25">
      <c r="B90" s="2">
        <f t="shared" si="6"/>
        <v>74</v>
      </c>
      <c r="C90" s="15">
        <f t="shared" si="7"/>
        <v>0</v>
      </c>
      <c r="E90" s="70">
        <f t="shared" si="8"/>
        <v>0</v>
      </c>
      <c r="F90" s="70">
        <f t="shared" si="9"/>
        <v>0</v>
      </c>
      <c r="G90" s="70">
        <f t="shared" si="10"/>
        <v>0</v>
      </c>
      <c r="H90" s="148"/>
      <c r="I90" s="70"/>
    </row>
    <row r="91" spans="2:9" x14ac:dyDescent="0.25">
      <c r="B91" s="2">
        <f t="shared" si="6"/>
        <v>75</v>
      </c>
      <c r="C91" s="15">
        <f t="shared" si="7"/>
        <v>0</v>
      </c>
      <c r="E91" s="70">
        <f t="shared" si="8"/>
        <v>0</v>
      </c>
      <c r="F91" s="70">
        <f t="shared" si="9"/>
        <v>0</v>
      </c>
      <c r="G91" s="70">
        <f t="shared" si="10"/>
        <v>0</v>
      </c>
      <c r="H91" s="148"/>
      <c r="I91" s="70"/>
    </row>
    <row r="92" spans="2:9" x14ac:dyDescent="0.25">
      <c r="B92" s="2">
        <f t="shared" si="6"/>
        <v>76</v>
      </c>
      <c r="C92" s="15">
        <f t="shared" si="7"/>
        <v>0</v>
      </c>
      <c r="E92" s="70">
        <f t="shared" si="8"/>
        <v>0</v>
      </c>
      <c r="F92" s="70">
        <f t="shared" si="9"/>
        <v>0</v>
      </c>
      <c r="G92" s="70">
        <f t="shared" si="10"/>
        <v>0</v>
      </c>
      <c r="H92" s="148"/>
      <c r="I92" s="70"/>
    </row>
    <row r="93" spans="2:9" x14ac:dyDescent="0.25">
      <c r="B93" s="2">
        <f t="shared" si="6"/>
        <v>77</v>
      </c>
      <c r="C93" s="15">
        <f t="shared" si="7"/>
        <v>0</v>
      </c>
      <c r="E93" s="70">
        <f t="shared" si="8"/>
        <v>0</v>
      </c>
      <c r="F93" s="70">
        <f t="shared" si="9"/>
        <v>0</v>
      </c>
      <c r="G93" s="70">
        <f t="shared" si="10"/>
        <v>0</v>
      </c>
      <c r="H93" s="148"/>
      <c r="I93" s="70"/>
    </row>
    <row r="94" spans="2:9" x14ac:dyDescent="0.25">
      <c r="B94" s="2">
        <f t="shared" si="6"/>
        <v>78</v>
      </c>
      <c r="C94" s="15">
        <f t="shared" si="7"/>
        <v>0</v>
      </c>
      <c r="E94" s="70">
        <f t="shared" si="8"/>
        <v>0</v>
      </c>
      <c r="F94" s="70">
        <f t="shared" si="9"/>
        <v>0</v>
      </c>
      <c r="G94" s="70">
        <f t="shared" si="10"/>
        <v>0</v>
      </c>
      <c r="H94" s="148"/>
      <c r="I94" s="70"/>
    </row>
    <row r="95" spans="2:9" x14ac:dyDescent="0.25">
      <c r="B95" s="2">
        <f t="shared" si="6"/>
        <v>79</v>
      </c>
      <c r="C95" s="15">
        <f t="shared" si="7"/>
        <v>0</v>
      </c>
      <c r="E95" s="70">
        <f t="shared" si="8"/>
        <v>0</v>
      </c>
      <c r="F95" s="70">
        <f t="shared" si="9"/>
        <v>0</v>
      </c>
      <c r="G95" s="70">
        <f t="shared" si="10"/>
        <v>0</v>
      </c>
      <c r="H95" s="148"/>
      <c r="I95" s="70"/>
    </row>
    <row r="96" spans="2:9" x14ac:dyDescent="0.25">
      <c r="B96" s="2">
        <f t="shared" si="6"/>
        <v>80</v>
      </c>
      <c r="C96" s="15">
        <f t="shared" si="7"/>
        <v>0</v>
      </c>
      <c r="E96" s="70">
        <f t="shared" si="8"/>
        <v>0</v>
      </c>
      <c r="F96" s="70">
        <f t="shared" si="9"/>
        <v>0</v>
      </c>
      <c r="G96" s="70">
        <f t="shared" si="10"/>
        <v>0</v>
      </c>
      <c r="H96" s="148"/>
      <c r="I96" s="70"/>
    </row>
    <row r="97" spans="2:9" x14ac:dyDescent="0.25">
      <c r="B97" s="2">
        <f t="shared" si="6"/>
        <v>81</v>
      </c>
      <c r="C97" s="15">
        <f t="shared" si="7"/>
        <v>0</v>
      </c>
      <c r="E97" s="70">
        <f t="shared" si="8"/>
        <v>0</v>
      </c>
      <c r="F97" s="70">
        <f t="shared" si="9"/>
        <v>0</v>
      </c>
      <c r="G97" s="70">
        <f t="shared" si="10"/>
        <v>0</v>
      </c>
      <c r="H97" s="148"/>
      <c r="I97" s="70"/>
    </row>
    <row r="98" spans="2:9" x14ac:dyDescent="0.25">
      <c r="B98" s="2">
        <f t="shared" si="6"/>
        <v>82</v>
      </c>
      <c r="C98" s="15">
        <f t="shared" si="7"/>
        <v>0</v>
      </c>
      <c r="E98" s="70">
        <f t="shared" si="8"/>
        <v>0</v>
      </c>
      <c r="F98" s="70">
        <f t="shared" si="9"/>
        <v>0</v>
      </c>
      <c r="G98" s="70">
        <f t="shared" si="10"/>
        <v>0</v>
      </c>
      <c r="H98" s="148"/>
      <c r="I98" s="70"/>
    </row>
    <row r="99" spans="2:9" x14ac:dyDescent="0.25">
      <c r="B99" s="2">
        <f t="shared" si="6"/>
        <v>83</v>
      </c>
      <c r="C99" s="15">
        <f t="shared" si="7"/>
        <v>0</v>
      </c>
      <c r="E99" s="70">
        <f t="shared" si="8"/>
        <v>0</v>
      </c>
      <c r="F99" s="70">
        <f t="shared" si="9"/>
        <v>0</v>
      </c>
      <c r="G99" s="70">
        <f t="shared" si="10"/>
        <v>0</v>
      </c>
      <c r="H99" s="148"/>
      <c r="I99" s="70"/>
    </row>
    <row r="100" spans="2:9" x14ac:dyDescent="0.25">
      <c r="B100" s="2">
        <f t="shared" si="6"/>
        <v>84</v>
      </c>
      <c r="C100" s="15">
        <f t="shared" si="7"/>
        <v>0</v>
      </c>
      <c r="E100" s="70">
        <f t="shared" si="8"/>
        <v>0</v>
      </c>
      <c r="F100" s="70">
        <f t="shared" si="9"/>
        <v>0</v>
      </c>
      <c r="G100" s="70">
        <f t="shared" si="10"/>
        <v>0</v>
      </c>
      <c r="H100" s="148"/>
      <c r="I100" s="70"/>
    </row>
    <row r="101" spans="2:9" x14ac:dyDescent="0.25">
      <c r="B101" s="2">
        <f t="shared" si="6"/>
        <v>85</v>
      </c>
      <c r="C101" s="15">
        <f t="shared" si="7"/>
        <v>0</v>
      </c>
      <c r="E101" s="70">
        <f t="shared" si="8"/>
        <v>0</v>
      </c>
      <c r="F101" s="70">
        <f t="shared" si="9"/>
        <v>0</v>
      </c>
      <c r="G101" s="70">
        <f t="shared" si="10"/>
        <v>0</v>
      </c>
      <c r="H101" s="148"/>
      <c r="I101" s="70"/>
    </row>
    <row r="102" spans="2:9" x14ac:dyDescent="0.25">
      <c r="B102" s="2">
        <f t="shared" si="6"/>
        <v>86</v>
      </c>
      <c r="C102" s="15">
        <f t="shared" si="7"/>
        <v>0</v>
      </c>
      <c r="E102" s="70">
        <f t="shared" si="8"/>
        <v>0</v>
      </c>
      <c r="F102" s="70">
        <f t="shared" si="9"/>
        <v>0</v>
      </c>
      <c r="G102" s="70">
        <f t="shared" si="10"/>
        <v>0</v>
      </c>
      <c r="H102" s="148"/>
      <c r="I102" s="70"/>
    </row>
    <row r="103" spans="2:9" x14ac:dyDescent="0.25">
      <c r="B103" s="2">
        <f t="shared" si="6"/>
        <v>87</v>
      </c>
      <c r="C103" s="15">
        <f t="shared" si="7"/>
        <v>0</v>
      </c>
      <c r="E103" s="70">
        <f t="shared" si="8"/>
        <v>0</v>
      </c>
      <c r="F103" s="70">
        <f t="shared" si="9"/>
        <v>0</v>
      </c>
      <c r="G103" s="70">
        <f t="shared" si="10"/>
        <v>0</v>
      </c>
      <c r="H103" s="148"/>
      <c r="I103" s="70"/>
    </row>
    <row r="104" spans="2:9" x14ac:dyDescent="0.25">
      <c r="B104" s="2">
        <f t="shared" si="6"/>
        <v>88</v>
      </c>
      <c r="C104" s="15">
        <f t="shared" si="7"/>
        <v>0</v>
      </c>
      <c r="E104" s="70">
        <f t="shared" si="8"/>
        <v>0</v>
      </c>
      <c r="F104" s="70">
        <f t="shared" si="9"/>
        <v>0</v>
      </c>
      <c r="G104" s="70">
        <f t="shared" si="10"/>
        <v>0</v>
      </c>
      <c r="H104" s="148"/>
      <c r="I104" s="70"/>
    </row>
    <row r="105" spans="2:9" x14ac:dyDescent="0.25">
      <c r="B105" s="2">
        <f t="shared" si="6"/>
        <v>89</v>
      </c>
      <c r="C105" s="15">
        <f t="shared" si="7"/>
        <v>0</v>
      </c>
      <c r="E105" s="70">
        <f t="shared" si="8"/>
        <v>0</v>
      </c>
      <c r="F105" s="70">
        <f t="shared" si="9"/>
        <v>0</v>
      </c>
      <c r="G105" s="70">
        <f t="shared" si="10"/>
        <v>0</v>
      </c>
      <c r="H105" s="148"/>
      <c r="I105" s="70"/>
    </row>
    <row r="106" spans="2:9" x14ac:dyDescent="0.25">
      <c r="B106" s="2">
        <f t="shared" si="6"/>
        <v>90</v>
      </c>
      <c r="C106" s="15">
        <f t="shared" si="7"/>
        <v>0</v>
      </c>
      <c r="E106" s="70">
        <f t="shared" si="8"/>
        <v>0</v>
      </c>
      <c r="F106" s="70">
        <f t="shared" si="9"/>
        <v>0</v>
      </c>
      <c r="G106" s="70">
        <f t="shared" si="10"/>
        <v>0</v>
      </c>
      <c r="H106" s="148"/>
      <c r="I106" s="70"/>
    </row>
    <row r="107" spans="2:9" x14ac:dyDescent="0.25">
      <c r="B107" s="2">
        <f t="shared" si="6"/>
        <v>91</v>
      </c>
      <c r="C107" s="15">
        <f t="shared" si="7"/>
        <v>0</v>
      </c>
      <c r="E107" s="70">
        <f t="shared" si="8"/>
        <v>0</v>
      </c>
      <c r="F107" s="70">
        <f t="shared" si="9"/>
        <v>0</v>
      </c>
      <c r="G107" s="70">
        <f t="shared" si="10"/>
        <v>0</v>
      </c>
      <c r="H107" s="148"/>
      <c r="I107" s="70"/>
    </row>
    <row r="108" spans="2:9" x14ac:dyDescent="0.25">
      <c r="B108" s="2">
        <f t="shared" si="6"/>
        <v>92</v>
      </c>
      <c r="C108" s="15">
        <f t="shared" si="7"/>
        <v>0</v>
      </c>
      <c r="E108" s="70">
        <f t="shared" si="8"/>
        <v>0</v>
      </c>
      <c r="F108" s="70">
        <f t="shared" si="9"/>
        <v>0</v>
      </c>
      <c r="G108" s="70">
        <f t="shared" si="10"/>
        <v>0</v>
      </c>
      <c r="H108" s="148"/>
      <c r="I108" s="70"/>
    </row>
    <row r="109" spans="2:9" x14ac:dyDescent="0.25">
      <c r="B109" s="2">
        <f t="shared" si="6"/>
        <v>93</v>
      </c>
      <c r="C109" s="15">
        <f t="shared" si="7"/>
        <v>0</v>
      </c>
      <c r="E109" s="70">
        <f t="shared" si="8"/>
        <v>0</v>
      </c>
      <c r="F109" s="70">
        <f t="shared" si="9"/>
        <v>0</v>
      </c>
      <c r="G109" s="70">
        <f t="shared" si="10"/>
        <v>0</v>
      </c>
      <c r="H109" s="148"/>
      <c r="I109" s="70"/>
    </row>
    <row r="110" spans="2:9" x14ac:dyDescent="0.25">
      <c r="B110" s="2">
        <f t="shared" si="6"/>
        <v>94</v>
      </c>
      <c r="C110" s="15">
        <f t="shared" si="7"/>
        <v>0</v>
      </c>
      <c r="E110" s="70">
        <f t="shared" si="8"/>
        <v>0</v>
      </c>
      <c r="F110" s="70">
        <f t="shared" si="9"/>
        <v>0</v>
      </c>
      <c r="G110" s="70">
        <f t="shared" si="10"/>
        <v>0</v>
      </c>
      <c r="H110" s="148"/>
      <c r="I110" s="70"/>
    </row>
    <row r="111" spans="2:9" x14ac:dyDescent="0.25">
      <c r="B111" s="2">
        <f t="shared" si="6"/>
        <v>95</v>
      </c>
      <c r="C111" s="15">
        <f t="shared" si="7"/>
        <v>0</v>
      </c>
      <c r="E111" s="70">
        <f t="shared" si="8"/>
        <v>0</v>
      </c>
      <c r="F111" s="70">
        <f t="shared" si="9"/>
        <v>0</v>
      </c>
      <c r="G111" s="70">
        <f t="shared" si="10"/>
        <v>0</v>
      </c>
      <c r="H111" s="148"/>
      <c r="I111" s="70"/>
    </row>
    <row r="112" spans="2:9" x14ac:dyDescent="0.25">
      <c r="B112" s="2">
        <f t="shared" si="6"/>
        <v>96</v>
      </c>
      <c r="C112" s="15">
        <f t="shared" si="7"/>
        <v>0</v>
      </c>
      <c r="E112" s="70">
        <f t="shared" si="8"/>
        <v>0</v>
      </c>
      <c r="F112" s="70">
        <f t="shared" si="9"/>
        <v>0</v>
      </c>
      <c r="G112" s="70">
        <f t="shared" si="10"/>
        <v>0</v>
      </c>
      <c r="H112" s="148"/>
      <c r="I112" s="70"/>
    </row>
    <row r="113" spans="2:9" x14ac:dyDescent="0.25">
      <c r="B113" s="2">
        <f t="shared" si="6"/>
        <v>97</v>
      </c>
      <c r="C113" s="15">
        <f t="shared" si="7"/>
        <v>0</v>
      </c>
      <c r="E113" s="70">
        <f t="shared" si="8"/>
        <v>0</v>
      </c>
      <c r="F113" s="70">
        <f t="shared" si="9"/>
        <v>0</v>
      </c>
      <c r="G113" s="70">
        <f t="shared" si="10"/>
        <v>0</v>
      </c>
      <c r="H113" s="148"/>
      <c r="I113" s="70"/>
    </row>
    <row r="114" spans="2:9" x14ac:dyDescent="0.25">
      <c r="B114" s="2">
        <f t="shared" si="6"/>
        <v>98</v>
      </c>
      <c r="C114" s="15">
        <f t="shared" si="7"/>
        <v>0</v>
      </c>
      <c r="E114" s="70">
        <f t="shared" si="8"/>
        <v>0</v>
      </c>
      <c r="F114" s="70">
        <f t="shared" si="9"/>
        <v>0</v>
      </c>
      <c r="G114" s="70">
        <f t="shared" si="10"/>
        <v>0</v>
      </c>
      <c r="H114" s="148"/>
      <c r="I114" s="70"/>
    </row>
    <row r="115" spans="2:9" x14ac:dyDescent="0.25">
      <c r="B115" s="2">
        <f t="shared" si="6"/>
        <v>99</v>
      </c>
      <c r="C115" s="15">
        <f t="shared" si="7"/>
        <v>0</v>
      </c>
      <c r="E115" s="70">
        <f t="shared" si="8"/>
        <v>0</v>
      </c>
      <c r="F115" s="70">
        <f t="shared" si="9"/>
        <v>0</v>
      </c>
      <c r="G115" s="70">
        <f t="shared" si="10"/>
        <v>0</v>
      </c>
      <c r="H115" s="148"/>
      <c r="I115" s="70"/>
    </row>
    <row r="116" spans="2:9" x14ac:dyDescent="0.25">
      <c r="B116" s="2">
        <f t="shared" si="6"/>
        <v>100</v>
      </c>
      <c r="C116" s="15">
        <f t="shared" si="7"/>
        <v>0</v>
      </c>
      <c r="E116" s="70">
        <f t="shared" si="8"/>
        <v>0</v>
      </c>
      <c r="F116" s="70">
        <f t="shared" si="9"/>
        <v>0</v>
      </c>
      <c r="G116" s="70">
        <f t="shared" si="10"/>
        <v>0</v>
      </c>
      <c r="H116" s="148"/>
      <c r="I116" s="70"/>
    </row>
    <row r="117" spans="2:9" x14ac:dyDescent="0.25">
      <c r="B117" s="2">
        <f t="shared" si="6"/>
        <v>101</v>
      </c>
      <c r="C117" s="15">
        <f t="shared" si="7"/>
        <v>0</v>
      </c>
      <c r="E117" s="70">
        <f t="shared" si="8"/>
        <v>0</v>
      </c>
      <c r="F117" s="70">
        <f t="shared" si="9"/>
        <v>0</v>
      </c>
      <c r="G117" s="70">
        <f t="shared" si="10"/>
        <v>0</v>
      </c>
      <c r="H117" s="148"/>
      <c r="I117" s="70"/>
    </row>
    <row r="118" spans="2:9" x14ac:dyDescent="0.25">
      <c r="B118" s="2">
        <f t="shared" si="6"/>
        <v>102</v>
      </c>
      <c r="C118" s="15">
        <f t="shared" si="7"/>
        <v>0</v>
      </c>
      <c r="E118" s="70">
        <f t="shared" si="8"/>
        <v>0</v>
      </c>
      <c r="F118" s="70">
        <f t="shared" si="9"/>
        <v>0</v>
      </c>
      <c r="G118" s="70">
        <f t="shared" si="10"/>
        <v>0</v>
      </c>
      <c r="H118" s="148"/>
      <c r="I118" s="70"/>
    </row>
    <row r="119" spans="2:9" x14ac:dyDescent="0.25">
      <c r="B119" s="2">
        <f t="shared" si="6"/>
        <v>103</v>
      </c>
      <c r="C119" s="15">
        <f t="shared" si="7"/>
        <v>0</v>
      </c>
      <c r="E119" s="70">
        <f t="shared" si="8"/>
        <v>0</v>
      </c>
      <c r="F119" s="70">
        <f t="shared" si="9"/>
        <v>0</v>
      </c>
      <c r="G119" s="70">
        <f t="shared" si="10"/>
        <v>0</v>
      </c>
      <c r="H119" s="148"/>
      <c r="I119" s="70"/>
    </row>
    <row r="120" spans="2:9" x14ac:dyDescent="0.25">
      <c r="B120" s="2">
        <f t="shared" si="6"/>
        <v>104</v>
      </c>
      <c r="C120" s="15">
        <f t="shared" si="7"/>
        <v>0</v>
      </c>
      <c r="E120" s="70">
        <f t="shared" si="8"/>
        <v>0</v>
      </c>
      <c r="F120" s="70">
        <f t="shared" si="9"/>
        <v>0</v>
      </c>
      <c r="G120" s="70">
        <f t="shared" si="10"/>
        <v>0</v>
      </c>
      <c r="H120" s="148"/>
      <c r="I120" s="70"/>
    </row>
    <row r="121" spans="2:9" x14ac:dyDescent="0.25">
      <c r="B121" s="2">
        <f t="shared" si="6"/>
        <v>105</v>
      </c>
      <c r="C121" s="15">
        <f t="shared" si="7"/>
        <v>0</v>
      </c>
      <c r="E121" s="70">
        <f t="shared" si="8"/>
        <v>0</v>
      </c>
      <c r="F121" s="70">
        <f t="shared" si="9"/>
        <v>0</v>
      </c>
      <c r="G121" s="70">
        <f t="shared" si="10"/>
        <v>0</v>
      </c>
      <c r="H121" s="148"/>
      <c r="I121" s="70"/>
    </row>
    <row r="122" spans="2:9" x14ac:dyDescent="0.25">
      <c r="B122" s="2">
        <f t="shared" si="6"/>
        <v>106</v>
      </c>
      <c r="C122" s="15">
        <f t="shared" si="7"/>
        <v>0</v>
      </c>
      <c r="E122" s="70">
        <f t="shared" si="8"/>
        <v>0</v>
      </c>
      <c r="F122" s="70">
        <f t="shared" si="9"/>
        <v>0</v>
      </c>
      <c r="G122" s="70">
        <f t="shared" si="10"/>
        <v>0</v>
      </c>
      <c r="H122" s="148"/>
      <c r="I122" s="70"/>
    </row>
    <row r="123" spans="2:9" x14ac:dyDescent="0.25">
      <c r="B123" s="2">
        <f t="shared" si="6"/>
        <v>107</v>
      </c>
      <c r="C123" s="15">
        <f t="shared" si="7"/>
        <v>0</v>
      </c>
      <c r="E123" s="70">
        <f t="shared" si="8"/>
        <v>0</v>
      </c>
      <c r="F123" s="70">
        <f t="shared" si="9"/>
        <v>0</v>
      </c>
      <c r="G123" s="70">
        <f t="shared" si="10"/>
        <v>0</v>
      </c>
      <c r="H123" s="148"/>
      <c r="I123" s="70"/>
    </row>
    <row r="124" spans="2:9" x14ac:dyDescent="0.25">
      <c r="B124" s="2">
        <f t="shared" si="6"/>
        <v>108</v>
      </c>
      <c r="C124" s="15">
        <f t="shared" si="7"/>
        <v>0</v>
      </c>
      <c r="E124" s="70">
        <f t="shared" si="8"/>
        <v>0</v>
      </c>
      <c r="F124" s="70">
        <f t="shared" si="9"/>
        <v>0</v>
      </c>
      <c r="G124" s="70">
        <f t="shared" si="10"/>
        <v>0</v>
      </c>
      <c r="H124" s="148"/>
      <c r="I124" s="70"/>
    </row>
    <row r="125" spans="2:9" x14ac:dyDescent="0.25">
      <c r="B125" s="2">
        <f t="shared" si="6"/>
        <v>109</v>
      </c>
      <c r="C125" s="15">
        <f t="shared" si="7"/>
        <v>0</v>
      </c>
      <c r="E125" s="70">
        <f t="shared" si="8"/>
        <v>0</v>
      </c>
      <c r="F125" s="70">
        <f t="shared" si="9"/>
        <v>0</v>
      </c>
      <c r="G125" s="70">
        <f t="shared" si="10"/>
        <v>0</v>
      </c>
      <c r="H125" s="148"/>
      <c r="I125" s="70"/>
    </row>
    <row r="126" spans="2:9" x14ac:dyDescent="0.25">
      <c r="B126" s="2">
        <f t="shared" si="6"/>
        <v>110</v>
      </c>
      <c r="C126" s="15">
        <f t="shared" si="7"/>
        <v>0</v>
      </c>
      <c r="E126" s="70">
        <f t="shared" si="8"/>
        <v>0</v>
      </c>
      <c r="F126" s="70">
        <f t="shared" si="9"/>
        <v>0</v>
      </c>
      <c r="G126" s="70">
        <f t="shared" si="10"/>
        <v>0</v>
      </c>
      <c r="H126" s="148"/>
      <c r="I126" s="70"/>
    </row>
    <row r="127" spans="2:9" x14ac:dyDescent="0.25">
      <c r="B127" s="2">
        <f t="shared" si="6"/>
        <v>111</v>
      </c>
      <c r="C127" s="15">
        <f t="shared" si="7"/>
        <v>0</v>
      </c>
      <c r="E127" s="70">
        <f t="shared" si="8"/>
        <v>0</v>
      </c>
      <c r="F127" s="70">
        <f t="shared" si="9"/>
        <v>0</v>
      </c>
      <c r="G127" s="70">
        <f t="shared" si="10"/>
        <v>0</v>
      </c>
      <c r="H127" s="148"/>
      <c r="I127" s="70"/>
    </row>
    <row r="128" spans="2:9" x14ac:dyDescent="0.25">
      <c r="B128" s="2">
        <f t="shared" si="6"/>
        <v>112</v>
      </c>
      <c r="C128" s="15">
        <f t="shared" si="7"/>
        <v>0</v>
      </c>
      <c r="E128" s="70">
        <f t="shared" si="8"/>
        <v>0</v>
      </c>
      <c r="F128" s="70">
        <f t="shared" si="9"/>
        <v>0</v>
      </c>
      <c r="G128" s="70">
        <f t="shared" si="10"/>
        <v>0</v>
      </c>
      <c r="H128" s="148"/>
      <c r="I128" s="70"/>
    </row>
    <row r="129" spans="2:9" x14ac:dyDescent="0.25">
      <c r="B129" s="2">
        <f t="shared" si="6"/>
        <v>113</v>
      </c>
      <c r="C129" s="15">
        <f t="shared" si="7"/>
        <v>0</v>
      </c>
      <c r="E129" s="70">
        <f t="shared" si="8"/>
        <v>0</v>
      </c>
      <c r="F129" s="70">
        <f t="shared" si="9"/>
        <v>0</v>
      </c>
      <c r="G129" s="70">
        <f t="shared" si="10"/>
        <v>0</v>
      </c>
      <c r="H129" s="148"/>
      <c r="I129" s="70"/>
    </row>
    <row r="130" spans="2:9" x14ac:dyDescent="0.25">
      <c r="B130" s="2">
        <f t="shared" si="6"/>
        <v>114</v>
      </c>
      <c r="C130" s="15">
        <f t="shared" si="7"/>
        <v>0</v>
      </c>
      <c r="E130" s="70">
        <f t="shared" si="8"/>
        <v>0</v>
      </c>
      <c r="F130" s="70">
        <f t="shared" si="9"/>
        <v>0</v>
      </c>
      <c r="G130" s="70">
        <f t="shared" si="10"/>
        <v>0</v>
      </c>
      <c r="H130" s="148"/>
      <c r="I130" s="70"/>
    </row>
    <row r="131" spans="2:9" x14ac:dyDescent="0.25">
      <c r="B131" s="2">
        <f t="shared" si="6"/>
        <v>115</v>
      </c>
      <c r="C131" s="15">
        <f t="shared" si="7"/>
        <v>0</v>
      </c>
      <c r="E131" s="70">
        <f t="shared" si="8"/>
        <v>0</v>
      </c>
      <c r="F131" s="70">
        <f t="shared" si="9"/>
        <v>0</v>
      </c>
      <c r="G131" s="70">
        <f t="shared" si="10"/>
        <v>0</v>
      </c>
      <c r="H131" s="148"/>
      <c r="I131" s="70"/>
    </row>
    <row r="132" spans="2:9" x14ac:dyDescent="0.25">
      <c r="B132" s="2">
        <f t="shared" si="6"/>
        <v>116</v>
      </c>
      <c r="C132" s="15">
        <f t="shared" si="7"/>
        <v>0</v>
      </c>
      <c r="E132" s="70">
        <f t="shared" si="8"/>
        <v>0</v>
      </c>
      <c r="F132" s="70">
        <f t="shared" si="9"/>
        <v>0</v>
      </c>
      <c r="G132" s="70">
        <f t="shared" si="10"/>
        <v>0</v>
      </c>
      <c r="H132" s="148"/>
      <c r="I132" s="70"/>
    </row>
    <row r="133" spans="2:9" x14ac:dyDescent="0.25">
      <c r="B133" s="2">
        <f t="shared" si="6"/>
        <v>117</v>
      </c>
      <c r="C133" s="15">
        <f t="shared" si="7"/>
        <v>0</v>
      </c>
      <c r="E133" s="70">
        <f t="shared" si="8"/>
        <v>0</v>
      </c>
      <c r="F133" s="70">
        <f t="shared" si="9"/>
        <v>0</v>
      </c>
      <c r="G133" s="70">
        <f t="shared" si="10"/>
        <v>0</v>
      </c>
      <c r="H133" s="148"/>
      <c r="I133" s="70"/>
    </row>
    <row r="134" spans="2:9" x14ac:dyDescent="0.25">
      <c r="B134" s="2">
        <f t="shared" si="6"/>
        <v>118</v>
      </c>
      <c r="C134" s="15">
        <f t="shared" si="7"/>
        <v>0</v>
      </c>
      <c r="E134" s="70">
        <f t="shared" si="8"/>
        <v>0</v>
      </c>
      <c r="F134" s="70">
        <f t="shared" si="9"/>
        <v>0</v>
      </c>
      <c r="G134" s="70">
        <f t="shared" si="10"/>
        <v>0</v>
      </c>
      <c r="H134" s="148"/>
      <c r="I134" s="70"/>
    </row>
    <row r="135" spans="2:9" x14ac:dyDescent="0.25">
      <c r="B135" s="2">
        <f t="shared" si="6"/>
        <v>119</v>
      </c>
      <c r="C135" s="15">
        <f t="shared" si="7"/>
        <v>0</v>
      </c>
      <c r="E135" s="70">
        <f t="shared" si="8"/>
        <v>0</v>
      </c>
      <c r="F135" s="70">
        <f t="shared" si="9"/>
        <v>0</v>
      </c>
      <c r="G135" s="70">
        <f t="shared" si="10"/>
        <v>0</v>
      </c>
      <c r="H135" s="148"/>
      <c r="I135" s="70"/>
    </row>
    <row r="136" spans="2:9" x14ac:dyDescent="0.25">
      <c r="B136" s="2">
        <f t="shared" si="6"/>
        <v>120</v>
      </c>
      <c r="C136" s="15">
        <f t="shared" si="7"/>
        <v>0</v>
      </c>
      <c r="E136" s="70">
        <f t="shared" si="8"/>
        <v>0</v>
      </c>
      <c r="F136" s="70">
        <f t="shared" si="9"/>
        <v>0</v>
      </c>
      <c r="G136" s="70">
        <f t="shared" si="10"/>
        <v>0</v>
      </c>
      <c r="H136" s="148"/>
      <c r="I136" s="70"/>
    </row>
    <row r="137" spans="2:9" x14ac:dyDescent="0.25">
      <c r="B137" s="2">
        <f t="shared" si="6"/>
        <v>121</v>
      </c>
      <c r="C137" s="15">
        <f t="shared" si="7"/>
        <v>0</v>
      </c>
      <c r="E137" s="70">
        <f t="shared" si="8"/>
        <v>0</v>
      </c>
      <c r="F137" s="70">
        <f t="shared" si="9"/>
        <v>0</v>
      </c>
      <c r="G137" s="70">
        <f t="shared" si="10"/>
        <v>0</v>
      </c>
      <c r="H137" s="148"/>
      <c r="I137" s="70"/>
    </row>
    <row r="138" spans="2:9" x14ac:dyDescent="0.25">
      <c r="B138" s="2">
        <f t="shared" si="6"/>
        <v>122</v>
      </c>
      <c r="C138" s="15">
        <f t="shared" si="7"/>
        <v>0</v>
      </c>
      <c r="E138" s="70">
        <f t="shared" si="8"/>
        <v>0</v>
      </c>
      <c r="F138" s="70">
        <f t="shared" si="9"/>
        <v>0</v>
      </c>
      <c r="G138" s="70">
        <f t="shared" si="10"/>
        <v>0</v>
      </c>
      <c r="H138" s="148"/>
      <c r="I138" s="70"/>
    </row>
    <row r="139" spans="2:9" x14ac:dyDescent="0.25">
      <c r="B139" s="2">
        <f t="shared" si="6"/>
        <v>123</v>
      </c>
      <c r="C139" s="15">
        <f t="shared" si="7"/>
        <v>0</v>
      </c>
      <c r="E139" s="70">
        <f t="shared" si="8"/>
        <v>0</v>
      </c>
      <c r="F139" s="70">
        <f t="shared" si="9"/>
        <v>0</v>
      </c>
      <c r="G139" s="70">
        <f t="shared" si="10"/>
        <v>0</v>
      </c>
      <c r="H139" s="148"/>
      <c r="I139" s="70"/>
    </row>
    <row r="140" spans="2:9" x14ac:dyDescent="0.25">
      <c r="B140" s="2">
        <f t="shared" si="6"/>
        <v>124</v>
      </c>
      <c r="C140" s="15">
        <f t="shared" si="7"/>
        <v>0</v>
      </c>
      <c r="E140" s="70">
        <f t="shared" si="8"/>
        <v>0</v>
      </c>
      <c r="F140" s="70">
        <f t="shared" si="9"/>
        <v>0</v>
      </c>
      <c r="G140" s="70">
        <f t="shared" si="10"/>
        <v>0</v>
      </c>
      <c r="H140" s="148"/>
      <c r="I140" s="70"/>
    </row>
    <row r="141" spans="2:9" x14ac:dyDescent="0.25">
      <c r="B141" s="2">
        <f t="shared" si="6"/>
        <v>125</v>
      </c>
      <c r="C141" s="15">
        <f t="shared" si="7"/>
        <v>0</v>
      </c>
      <c r="E141" s="70">
        <f t="shared" si="8"/>
        <v>0</v>
      </c>
      <c r="F141" s="70">
        <f t="shared" si="9"/>
        <v>0</v>
      </c>
      <c r="G141" s="70">
        <f t="shared" si="10"/>
        <v>0</v>
      </c>
      <c r="H141" s="148"/>
      <c r="I141" s="70"/>
    </row>
    <row r="142" spans="2:9" x14ac:dyDescent="0.25">
      <c r="B142" s="2">
        <f t="shared" si="6"/>
        <v>126</v>
      </c>
      <c r="C142" s="15">
        <f t="shared" si="7"/>
        <v>0</v>
      </c>
      <c r="E142" s="70">
        <f t="shared" si="8"/>
        <v>0</v>
      </c>
      <c r="F142" s="70">
        <f t="shared" si="9"/>
        <v>0</v>
      </c>
      <c r="G142" s="70">
        <f t="shared" si="10"/>
        <v>0</v>
      </c>
      <c r="H142" s="148"/>
      <c r="I142" s="70"/>
    </row>
    <row r="143" spans="2:9" x14ac:dyDescent="0.25">
      <c r="B143" s="2">
        <f t="shared" si="6"/>
        <v>127</v>
      </c>
      <c r="C143" s="15">
        <f t="shared" si="7"/>
        <v>0</v>
      </c>
      <c r="E143" s="70">
        <f t="shared" si="8"/>
        <v>0</v>
      </c>
      <c r="F143" s="70">
        <f t="shared" si="9"/>
        <v>0</v>
      </c>
      <c r="G143" s="70">
        <f t="shared" si="10"/>
        <v>0</v>
      </c>
      <c r="H143" s="148"/>
      <c r="I143" s="70"/>
    </row>
    <row r="144" spans="2:9" x14ac:dyDescent="0.25">
      <c r="B144" s="2">
        <f t="shared" si="6"/>
        <v>128</v>
      </c>
      <c r="C144" s="15">
        <f t="shared" si="7"/>
        <v>0</v>
      </c>
      <c r="E144" s="70">
        <f t="shared" si="8"/>
        <v>0</v>
      </c>
      <c r="F144" s="70">
        <f t="shared" si="9"/>
        <v>0</v>
      </c>
      <c r="G144" s="70">
        <f t="shared" si="10"/>
        <v>0</v>
      </c>
      <c r="H144" s="148"/>
      <c r="I144" s="70"/>
    </row>
    <row r="145" spans="2:9" x14ac:dyDescent="0.25">
      <c r="B145" s="2">
        <f t="shared" si="6"/>
        <v>129</v>
      </c>
      <c r="C145" s="15">
        <f t="shared" si="7"/>
        <v>0</v>
      </c>
      <c r="E145" s="70">
        <f t="shared" si="8"/>
        <v>0</v>
      </c>
      <c r="F145" s="70">
        <f t="shared" si="9"/>
        <v>0</v>
      </c>
      <c r="G145" s="70">
        <f t="shared" si="10"/>
        <v>0</v>
      </c>
      <c r="H145" s="148"/>
      <c r="I145" s="70"/>
    </row>
    <row r="146" spans="2:9" x14ac:dyDescent="0.25">
      <c r="B146" s="2">
        <f t="shared" ref="B146:B209" si="11">B145+1</f>
        <v>130</v>
      </c>
      <c r="C146" s="15">
        <f t="shared" ref="C146:C209" si="12">$E$8</f>
        <v>0</v>
      </c>
      <c r="E146" s="70">
        <f t="shared" ref="E146:E209" si="13">G145*$E$9/12</f>
        <v>0</v>
      </c>
      <c r="F146" s="70">
        <f t="shared" ref="F146:F209" si="14">C146-E146</f>
        <v>0</v>
      </c>
      <c r="G146" s="70">
        <f t="shared" ref="G146:G209" si="15">G145-F146</f>
        <v>0</v>
      </c>
      <c r="H146" s="148"/>
      <c r="I146" s="70"/>
    </row>
    <row r="147" spans="2:9" x14ac:dyDescent="0.25">
      <c r="B147" s="2">
        <f t="shared" si="11"/>
        <v>131</v>
      </c>
      <c r="C147" s="15">
        <f t="shared" si="12"/>
        <v>0</v>
      </c>
      <c r="E147" s="70">
        <f t="shared" si="13"/>
        <v>0</v>
      </c>
      <c r="F147" s="70">
        <f t="shared" si="14"/>
        <v>0</v>
      </c>
      <c r="G147" s="70">
        <f t="shared" si="15"/>
        <v>0</v>
      </c>
      <c r="H147" s="148"/>
      <c r="I147" s="70"/>
    </row>
    <row r="148" spans="2:9" x14ac:dyDescent="0.25">
      <c r="B148" s="2">
        <f t="shared" si="11"/>
        <v>132</v>
      </c>
      <c r="C148" s="15">
        <f t="shared" si="12"/>
        <v>0</v>
      </c>
      <c r="E148" s="70">
        <f t="shared" si="13"/>
        <v>0</v>
      </c>
      <c r="F148" s="70">
        <f t="shared" si="14"/>
        <v>0</v>
      </c>
      <c r="G148" s="70">
        <f t="shared" si="15"/>
        <v>0</v>
      </c>
      <c r="H148" s="148"/>
      <c r="I148" s="70"/>
    </row>
    <row r="149" spans="2:9" x14ac:dyDescent="0.25">
      <c r="B149" s="2">
        <f t="shared" si="11"/>
        <v>133</v>
      </c>
      <c r="C149" s="15">
        <f t="shared" si="12"/>
        <v>0</v>
      </c>
      <c r="E149" s="70">
        <f t="shared" si="13"/>
        <v>0</v>
      </c>
      <c r="F149" s="70">
        <f t="shared" si="14"/>
        <v>0</v>
      </c>
      <c r="G149" s="70">
        <f t="shared" si="15"/>
        <v>0</v>
      </c>
      <c r="H149" s="148"/>
      <c r="I149" s="70"/>
    </row>
    <row r="150" spans="2:9" x14ac:dyDescent="0.25">
      <c r="B150" s="2">
        <f t="shared" si="11"/>
        <v>134</v>
      </c>
      <c r="C150" s="15">
        <f t="shared" si="12"/>
        <v>0</v>
      </c>
      <c r="E150" s="70">
        <f t="shared" si="13"/>
        <v>0</v>
      </c>
      <c r="F150" s="70">
        <f t="shared" si="14"/>
        <v>0</v>
      </c>
      <c r="G150" s="70">
        <f t="shared" si="15"/>
        <v>0</v>
      </c>
      <c r="H150" s="148"/>
      <c r="I150" s="70"/>
    </row>
    <row r="151" spans="2:9" x14ac:dyDescent="0.25">
      <c r="B151" s="2">
        <f t="shared" si="11"/>
        <v>135</v>
      </c>
      <c r="C151" s="15">
        <f t="shared" si="12"/>
        <v>0</v>
      </c>
      <c r="E151" s="70">
        <f t="shared" si="13"/>
        <v>0</v>
      </c>
      <c r="F151" s="70">
        <f t="shared" si="14"/>
        <v>0</v>
      </c>
      <c r="G151" s="70">
        <f t="shared" si="15"/>
        <v>0</v>
      </c>
      <c r="H151" s="148"/>
      <c r="I151" s="70"/>
    </row>
    <row r="152" spans="2:9" x14ac:dyDescent="0.25">
      <c r="B152" s="2">
        <f t="shared" si="11"/>
        <v>136</v>
      </c>
      <c r="C152" s="15">
        <f t="shared" si="12"/>
        <v>0</v>
      </c>
      <c r="E152" s="70">
        <f t="shared" si="13"/>
        <v>0</v>
      </c>
      <c r="F152" s="70">
        <f t="shared" si="14"/>
        <v>0</v>
      </c>
      <c r="G152" s="70">
        <f t="shared" si="15"/>
        <v>0</v>
      </c>
      <c r="H152" s="148"/>
      <c r="I152" s="70"/>
    </row>
    <row r="153" spans="2:9" x14ac:dyDescent="0.25">
      <c r="B153" s="2">
        <f t="shared" si="11"/>
        <v>137</v>
      </c>
      <c r="C153" s="15">
        <f t="shared" si="12"/>
        <v>0</v>
      </c>
      <c r="E153" s="70">
        <f t="shared" si="13"/>
        <v>0</v>
      </c>
      <c r="F153" s="70">
        <f t="shared" si="14"/>
        <v>0</v>
      </c>
      <c r="G153" s="70">
        <f t="shared" si="15"/>
        <v>0</v>
      </c>
      <c r="H153" s="148"/>
      <c r="I153" s="70"/>
    </row>
    <row r="154" spans="2:9" x14ac:dyDescent="0.25">
      <c r="B154" s="2">
        <f t="shared" si="11"/>
        <v>138</v>
      </c>
      <c r="C154" s="15">
        <f t="shared" si="12"/>
        <v>0</v>
      </c>
      <c r="E154" s="70">
        <f t="shared" si="13"/>
        <v>0</v>
      </c>
      <c r="F154" s="70">
        <f t="shared" si="14"/>
        <v>0</v>
      </c>
      <c r="G154" s="70">
        <f t="shared" si="15"/>
        <v>0</v>
      </c>
      <c r="H154" s="148"/>
      <c r="I154" s="70"/>
    </row>
    <row r="155" spans="2:9" x14ac:dyDescent="0.25">
      <c r="B155" s="2">
        <f t="shared" si="11"/>
        <v>139</v>
      </c>
      <c r="C155" s="15">
        <f t="shared" si="12"/>
        <v>0</v>
      </c>
      <c r="E155" s="70">
        <f t="shared" si="13"/>
        <v>0</v>
      </c>
      <c r="F155" s="70">
        <f t="shared" si="14"/>
        <v>0</v>
      </c>
      <c r="G155" s="70">
        <f t="shared" si="15"/>
        <v>0</v>
      </c>
      <c r="H155" s="148"/>
      <c r="I155" s="70"/>
    </row>
    <row r="156" spans="2:9" x14ac:dyDescent="0.25">
      <c r="B156" s="2">
        <f t="shared" si="11"/>
        <v>140</v>
      </c>
      <c r="C156" s="15">
        <f t="shared" si="12"/>
        <v>0</v>
      </c>
      <c r="E156" s="70">
        <f t="shared" si="13"/>
        <v>0</v>
      </c>
      <c r="F156" s="70">
        <f t="shared" si="14"/>
        <v>0</v>
      </c>
      <c r="G156" s="70">
        <f t="shared" si="15"/>
        <v>0</v>
      </c>
      <c r="H156" s="148"/>
      <c r="I156" s="70"/>
    </row>
    <row r="157" spans="2:9" x14ac:dyDescent="0.25">
      <c r="B157" s="2">
        <f t="shared" si="11"/>
        <v>141</v>
      </c>
      <c r="C157" s="15">
        <f t="shared" si="12"/>
        <v>0</v>
      </c>
      <c r="E157" s="70">
        <f t="shared" si="13"/>
        <v>0</v>
      </c>
      <c r="F157" s="70">
        <f t="shared" si="14"/>
        <v>0</v>
      </c>
      <c r="G157" s="70">
        <f t="shared" si="15"/>
        <v>0</v>
      </c>
      <c r="H157" s="148"/>
      <c r="I157" s="70"/>
    </row>
    <row r="158" spans="2:9" x14ac:dyDescent="0.25">
      <c r="B158" s="2">
        <f t="shared" si="11"/>
        <v>142</v>
      </c>
      <c r="C158" s="15">
        <f t="shared" si="12"/>
        <v>0</v>
      </c>
      <c r="E158" s="70">
        <f t="shared" si="13"/>
        <v>0</v>
      </c>
      <c r="F158" s="70">
        <f t="shared" si="14"/>
        <v>0</v>
      </c>
      <c r="G158" s="70">
        <f t="shared" si="15"/>
        <v>0</v>
      </c>
      <c r="H158" s="148"/>
      <c r="I158" s="70"/>
    </row>
    <row r="159" spans="2:9" x14ac:dyDescent="0.25">
      <c r="B159" s="2">
        <f t="shared" si="11"/>
        <v>143</v>
      </c>
      <c r="C159" s="15">
        <f t="shared" si="12"/>
        <v>0</v>
      </c>
      <c r="E159" s="70">
        <f t="shared" si="13"/>
        <v>0</v>
      </c>
      <c r="F159" s="70">
        <f t="shared" si="14"/>
        <v>0</v>
      </c>
      <c r="G159" s="70">
        <f t="shared" si="15"/>
        <v>0</v>
      </c>
      <c r="H159" s="148"/>
      <c r="I159" s="70"/>
    </row>
    <row r="160" spans="2:9" x14ac:dyDescent="0.25">
      <c r="B160" s="2">
        <f t="shared" si="11"/>
        <v>144</v>
      </c>
      <c r="C160" s="15">
        <f t="shared" si="12"/>
        <v>0</v>
      </c>
      <c r="E160" s="70">
        <f t="shared" si="13"/>
        <v>0</v>
      </c>
      <c r="F160" s="70">
        <f t="shared" si="14"/>
        <v>0</v>
      </c>
      <c r="G160" s="70">
        <f t="shared" si="15"/>
        <v>0</v>
      </c>
      <c r="H160" s="148"/>
      <c r="I160" s="70"/>
    </row>
    <row r="161" spans="2:9" x14ac:dyDescent="0.25">
      <c r="B161" s="2">
        <f t="shared" si="11"/>
        <v>145</v>
      </c>
      <c r="C161" s="15">
        <f t="shared" si="12"/>
        <v>0</v>
      </c>
      <c r="E161" s="70">
        <f t="shared" si="13"/>
        <v>0</v>
      </c>
      <c r="F161" s="70">
        <f t="shared" si="14"/>
        <v>0</v>
      </c>
      <c r="G161" s="70">
        <f t="shared" si="15"/>
        <v>0</v>
      </c>
      <c r="H161" s="148"/>
      <c r="I161" s="70"/>
    </row>
    <row r="162" spans="2:9" x14ac:dyDescent="0.25">
      <c r="B162" s="2">
        <f t="shared" si="11"/>
        <v>146</v>
      </c>
      <c r="C162" s="15">
        <f t="shared" si="12"/>
        <v>0</v>
      </c>
      <c r="E162" s="70">
        <f t="shared" si="13"/>
        <v>0</v>
      </c>
      <c r="F162" s="70">
        <f t="shared" si="14"/>
        <v>0</v>
      </c>
      <c r="G162" s="70">
        <f t="shared" si="15"/>
        <v>0</v>
      </c>
      <c r="H162" s="148"/>
      <c r="I162" s="70"/>
    </row>
    <row r="163" spans="2:9" x14ac:dyDescent="0.25">
      <c r="B163" s="2">
        <f t="shared" si="11"/>
        <v>147</v>
      </c>
      <c r="C163" s="15">
        <f t="shared" si="12"/>
        <v>0</v>
      </c>
      <c r="E163" s="70">
        <f t="shared" si="13"/>
        <v>0</v>
      </c>
      <c r="F163" s="70">
        <f t="shared" si="14"/>
        <v>0</v>
      </c>
      <c r="G163" s="70">
        <f t="shared" si="15"/>
        <v>0</v>
      </c>
      <c r="H163" s="148"/>
      <c r="I163" s="70"/>
    </row>
    <row r="164" spans="2:9" x14ac:dyDescent="0.25">
      <c r="B164" s="2">
        <f t="shared" si="11"/>
        <v>148</v>
      </c>
      <c r="C164" s="15">
        <f t="shared" si="12"/>
        <v>0</v>
      </c>
      <c r="E164" s="70">
        <f t="shared" si="13"/>
        <v>0</v>
      </c>
      <c r="F164" s="70">
        <f t="shared" si="14"/>
        <v>0</v>
      </c>
      <c r="G164" s="70">
        <f t="shared" si="15"/>
        <v>0</v>
      </c>
      <c r="H164" s="148"/>
      <c r="I164" s="70"/>
    </row>
    <row r="165" spans="2:9" x14ac:dyDescent="0.25">
      <c r="B165" s="2">
        <f t="shared" si="11"/>
        <v>149</v>
      </c>
      <c r="C165" s="15">
        <f t="shared" si="12"/>
        <v>0</v>
      </c>
      <c r="E165" s="70">
        <f t="shared" si="13"/>
        <v>0</v>
      </c>
      <c r="F165" s="70">
        <f t="shared" si="14"/>
        <v>0</v>
      </c>
      <c r="G165" s="70">
        <f t="shared" si="15"/>
        <v>0</v>
      </c>
      <c r="H165" s="148"/>
      <c r="I165" s="70"/>
    </row>
    <row r="166" spans="2:9" x14ac:dyDescent="0.25">
      <c r="B166" s="2">
        <f t="shared" si="11"/>
        <v>150</v>
      </c>
      <c r="C166" s="15">
        <f t="shared" si="12"/>
        <v>0</v>
      </c>
      <c r="E166" s="70">
        <f t="shared" si="13"/>
        <v>0</v>
      </c>
      <c r="F166" s="70">
        <f t="shared" si="14"/>
        <v>0</v>
      </c>
      <c r="G166" s="70">
        <f t="shared" si="15"/>
        <v>0</v>
      </c>
      <c r="H166" s="148"/>
      <c r="I166" s="70"/>
    </row>
    <row r="167" spans="2:9" x14ac:dyDescent="0.25">
      <c r="B167" s="2">
        <f t="shared" si="11"/>
        <v>151</v>
      </c>
      <c r="C167" s="15">
        <f t="shared" si="12"/>
        <v>0</v>
      </c>
      <c r="E167" s="70">
        <f t="shared" si="13"/>
        <v>0</v>
      </c>
      <c r="F167" s="70">
        <f t="shared" si="14"/>
        <v>0</v>
      </c>
      <c r="G167" s="70">
        <f t="shared" si="15"/>
        <v>0</v>
      </c>
      <c r="H167" s="148"/>
      <c r="I167" s="70"/>
    </row>
    <row r="168" spans="2:9" x14ac:dyDescent="0.25">
      <c r="B168" s="2">
        <f t="shared" si="11"/>
        <v>152</v>
      </c>
      <c r="C168" s="15">
        <f t="shared" si="12"/>
        <v>0</v>
      </c>
      <c r="E168" s="70">
        <f t="shared" si="13"/>
        <v>0</v>
      </c>
      <c r="F168" s="70">
        <f t="shared" si="14"/>
        <v>0</v>
      </c>
      <c r="G168" s="70">
        <f t="shared" si="15"/>
        <v>0</v>
      </c>
      <c r="H168" s="148"/>
      <c r="I168" s="70"/>
    </row>
    <row r="169" spans="2:9" x14ac:dyDescent="0.25">
      <c r="B169" s="2">
        <f t="shared" si="11"/>
        <v>153</v>
      </c>
      <c r="C169" s="15">
        <f t="shared" si="12"/>
        <v>0</v>
      </c>
      <c r="E169" s="70">
        <f t="shared" si="13"/>
        <v>0</v>
      </c>
      <c r="F169" s="70">
        <f t="shared" si="14"/>
        <v>0</v>
      </c>
      <c r="G169" s="70">
        <f t="shared" si="15"/>
        <v>0</v>
      </c>
      <c r="H169" s="148"/>
      <c r="I169" s="70"/>
    </row>
    <row r="170" spans="2:9" x14ac:dyDescent="0.25">
      <c r="B170" s="2">
        <f t="shared" si="11"/>
        <v>154</v>
      </c>
      <c r="C170" s="15">
        <f t="shared" si="12"/>
        <v>0</v>
      </c>
      <c r="E170" s="70">
        <f t="shared" si="13"/>
        <v>0</v>
      </c>
      <c r="F170" s="70">
        <f t="shared" si="14"/>
        <v>0</v>
      </c>
      <c r="G170" s="70">
        <f t="shared" si="15"/>
        <v>0</v>
      </c>
      <c r="H170" s="148"/>
      <c r="I170" s="70"/>
    </row>
    <row r="171" spans="2:9" x14ac:dyDescent="0.25">
      <c r="B171" s="2">
        <f t="shared" si="11"/>
        <v>155</v>
      </c>
      <c r="C171" s="15">
        <f t="shared" si="12"/>
        <v>0</v>
      </c>
      <c r="E171" s="70">
        <f t="shared" si="13"/>
        <v>0</v>
      </c>
      <c r="F171" s="70">
        <f t="shared" si="14"/>
        <v>0</v>
      </c>
      <c r="G171" s="70">
        <f t="shared" si="15"/>
        <v>0</v>
      </c>
      <c r="H171" s="148"/>
      <c r="I171" s="70"/>
    </row>
    <row r="172" spans="2:9" x14ac:dyDescent="0.25">
      <c r="B172" s="2">
        <f t="shared" si="11"/>
        <v>156</v>
      </c>
      <c r="C172" s="15">
        <f t="shared" si="12"/>
        <v>0</v>
      </c>
      <c r="E172" s="70">
        <f t="shared" si="13"/>
        <v>0</v>
      </c>
      <c r="F172" s="70">
        <f t="shared" si="14"/>
        <v>0</v>
      </c>
      <c r="G172" s="70">
        <f t="shared" si="15"/>
        <v>0</v>
      </c>
      <c r="H172" s="148"/>
      <c r="I172" s="70"/>
    </row>
    <row r="173" spans="2:9" x14ac:dyDescent="0.25">
      <c r="B173" s="2">
        <f t="shared" si="11"/>
        <v>157</v>
      </c>
      <c r="C173" s="15">
        <f t="shared" si="12"/>
        <v>0</v>
      </c>
      <c r="E173" s="70">
        <f t="shared" si="13"/>
        <v>0</v>
      </c>
      <c r="F173" s="70">
        <f t="shared" si="14"/>
        <v>0</v>
      </c>
      <c r="G173" s="70">
        <f t="shared" si="15"/>
        <v>0</v>
      </c>
      <c r="H173" s="148"/>
      <c r="I173" s="70"/>
    </row>
    <row r="174" spans="2:9" x14ac:dyDescent="0.25">
      <c r="B174" s="2">
        <f t="shared" si="11"/>
        <v>158</v>
      </c>
      <c r="C174" s="15">
        <f t="shared" si="12"/>
        <v>0</v>
      </c>
      <c r="E174" s="70">
        <f t="shared" si="13"/>
        <v>0</v>
      </c>
      <c r="F174" s="70">
        <f t="shared" si="14"/>
        <v>0</v>
      </c>
      <c r="G174" s="70">
        <f t="shared" si="15"/>
        <v>0</v>
      </c>
      <c r="H174" s="148"/>
      <c r="I174" s="70"/>
    </row>
    <row r="175" spans="2:9" x14ac:dyDescent="0.25">
      <c r="B175" s="2">
        <f t="shared" si="11"/>
        <v>159</v>
      </c>
      <c r="C175" s="15">
        <f t="shared" si="12"/>
        <v>0</v>
      </c>
      <c r="E175" s="70">
        <f t="shared" si="13"/>
        <v>0</v>
      </c>
      <c r="F175" s="70">
        <f t="shared" si="14"/>
        <v>0</v>
      </c>
      <c r="G175" s="70">
        <f t="shared" si="15"/>
        <v>0</v>
      </c>
      <c r="H175" s="148"/>
      <c r="I175" s="70"/>
    </row>
    <row r="176" spans="2:9" x14ac:dyDescent="0.25">
      <c r="B176" s="2">
        <f t="shared" si="11"/>
        <v>160</v>
      </c>
      <c r="C176" s="15">
        <f t="shared" si="12"/>
        <v>0</v>
      </c>
      <c r="E176" s="70">
        <f t="shared" si="13"/>
        <v>0</v>
      </c>
      <c r="F176" s="70">
        <f t="shared" si="14"/>
        <v>0</v>
      </c>
      <c r="G176" s="70">
        <f t="shared" si="15"/>
        <v>0</v>
      </c>
      <c r="H176" s="148"/>
      <c r="I176" s="70"/>
    </row>
    <row r="177" spans="2:9" x14ac:dyDescent="0.25">
      <c r="B177" s="2">
        <f t="shared" si="11"/>
        <v>161</v>
      </c>
      <c r="C177" s="15">
        <f t="shared" si="12"/>
        <v>0</v>
      </c>
      <c r="E177" s="70">
        <f t="shared" si="13"/>
        <v>0</v>
      </c>
      <c r="F177" s="70">
        <f t="shared" si="14"/>
        <v>0</v>
      </c>
      <c r="G177" s="70">
        <f t="shared" si="15"/>
        <v>0</v>
      </c>
      <c r="H177" s="148"/>
      <c r="I177" s="70"/>
    </row>
    <row r="178" spans="2:9" x14ac:dyDescent="0.25">
      <c r="B178" s="2">
        <f t="shared" si="11"/>
        <v>162</v>
      </c>
      <c r="C178" s="15">
        <f t="shared" si="12"/>
        <v>0</v>
      </c>
      <c r="E178" s="70">
        <f t="shared" si="13"/>
        <v>0</v>
      </c>
      <c r="F178" s="70">
        <f t="shared" si="14"/>
        <v>0</v>
      </c>
      <c r="G178" s="70">
        <f t="shared" si="15"/>
        <v>0</v>
      </c>
      <c r="H178" s="148"/>
      <c r="I178" s="70"/>
    </row>
    <row r="179" spans="2:9" x14ac:dyDescent="0.25">
      <c r="B179" s="2">
        <f t="shared" si="11"/>
        <v>163</v>
      </c>
      <c r="C179" s="15">
        <f t="shared" si="12"/>
        <v>0</v>
      </c>
      <c r="E179" s="70">
        <f t="shared" si="13"/>
        <v>0</v>
      </c>
      <c r="F179" s="70">
        <f t="shared" si="14"/>
        <v>0</v>
      </c>
      <c r="G179" s="70">
        <f t="shared" si="15"/>
        <v>0</v>
      </c>
      <c r="H179" s="148"/>
      <c r="I179" s="70"/>
    </row>
    <row r="180" spans="2:9" x14ac:dyDescent="0.25">
      <c r="B180" s="2">
        <f t="shared" si="11"/>
        <v>164</v>
      </c>
      <c r="C180" s="15">
        <f t="shared" si="12"/>
        <v>0</v>
      </c>
      <c r="E180" s="70">
        <f t="shared" si="13"/>
        <v>0</v>
      </c>
      <c r="F180" s="70">
        <f t="shared" si="14"/>
        <v>0</v>
      </c>
      <c r="G180" s="70">
        <f t="shared" si="15"/>
        <v>0</v>
      </c>
      <c r="H180" s="148"/>
      <c r="I180" s="70"/>
    </row>
    <row r="181" spans="2:9" x14ac:dyDescent="0.25">
      <c r="B181" s="2">
        <f t="shared" si="11"/>
        <v>165</v>
      </c>
      <c r="C181" s="15">
        <f t="shared" si="12"/>
        <v>0</v>
      </c>
      <c r="E181" s="70">
        <f t="shared" si="13"/>
        <v>0</v>
      </c>
      <c r="F181" s="70">
        <f t="shared" si="14"/>
        <v>0</v>
      </c>
      <c r="G181" s="70">
        <f t="shared" si="15"/>
        <v>0</v>
      </c>
      <c r="H181" s="148"/>
      <c r="I181" s="70"/>
    </row>
    <row r="182" spans="2:9" x14ac:dyDescent="0.25">
      <c r="B182" s="2">
        <f t="shared" si="11"/>
        <v>166</v>
      </c>
      <c r="C182" s="15">
        <f t="shared" si="12"/>
        <v>0</v>
      </c>
      <c r="E182" s="70">
        <f t="shared" si="13"/>
        <v>0</v>
      </c>
      <c r="F182" s="70">
        <f t="shared" si="14"/>
        <v>0</v>
      </c>
      <c r="G182" s="70">
        <f t="shared" si="15"/>
        <v>0</v>
      </c>
      <c r="H182" s="148"/>
      <c r="I182" s="70"/>
    </row>
    <row r="183" spans="2:9" x14ac:dyDescent="0.25">
      <c r="B183" s="2">
        <f t="shared" si="11"/>
        <v>167</v>
      </c>
      <c r="C183" s="15">
        <f t="shared" si="12"/>
        <v>0</v>
      </c>
      <c r="E183" s="70">
        <f t="shared" si="13"/>
        <v>0</v>
      </c>
      <c r="F183" s="70">
        <f t="shared" si="14"/>
        <v>0</v>
      </c>
      <c r="G183" s="70">
        <f t="shared" si="15"/>
        <v>0</v>
      </c>
      <c r="H183" s="148"/>
      <c r="I183" s="70"/>
    </row>
    <row r="184" spans="2:9" x14ac:dyDescent="0.25">
      <c r="B184" s="2">
        <f t="shared" si="11"/>
        <v>168</v>
      </c>
      <c r="C184" s="15">
        <f t="shared" si="12"/>
        <v>0</v>
      </c>
      <c r="E184" s="70">
        <f t="shared" si="13"/>
        <v>0</v>
      </c>
      <c r="F184" s="70">
        <f t="shared" si="14"/>
        <v>0</v>
      </c>
      <c r="G184" s="70">
        <f t="shared" si="15"/>
        <v>0</v>
      </c>
      <c r="H184" s="148"/>
      <c r="I184" s="70"/>
    </row>
    <row r="185" spans="2:9" x14ac:dyDescent="0.25">
      <c r="B185" s="2">
        <f t="shared" si="11"/>
        <v>169</v>
      </c>
      <c r="C185" s="15">
        <f t="shared" si="12"/>
        <v>0</v>
      </c>
      <c r="E185" s="70">
        <f t="shared" si="13"/>
        <v>0</v>
      </c>
      <c r="F185" s="70">
        <f t="shared" si="14"/>
        <v>0</v>
      </c>
      <c r="G185" s="70">
        <f t="shared" si="15"/>
        <v>0</v>
      </c>
      <c r="H185" s="148"/>
      <c r="I185" s="70"/>
    </row>
    <row r="186" spans="2:9" x14ac:dyDescent="0.25">
      <c r="B186" s="2">
        <f t="shared" si="11"/>
        <v>170</v>
      </c>
      <c r="C186" s="15">
        <f t="shared" si="12"/>
        <v>0</v>
      </c>
      <c r="E186" s="70">
        <f t="shared" si="13"/>
        <v>0</v>
      </c>
      <c r="F186" s="70">
        <f t="shared" si="14"/>
        <v>0</v>
      </c>
      <c r="G186" s="70">
        <f t="shared" si="15"/>
        <v>0</v>
      </c>
      <c r="H186" s="148"/>
      <c r="I186" s="70"/>
    </row>
    <row r="187" spans="2:9" x14ac:dyDescent="0.25">
      <c r="B187" s="2">
        <f t="shared" si="11"/>
        <v>171</v>
      </c>
      <c r="C187" s="15">
        <f t="shared" si="12"/>
        <v>0</v>
      </c>
      <c r="E187" s="70">
        <f t="shared" si="13"/>
        <v>0</v>
      </c>
      <c r="F187" s="70">
        <f t="shared" si="14"/>
        <v>0</v>
      </c>
      <c r="G187" s="70">
        <f t="shared" si="15"/>
        <v>0</v>
      </c>
      <c r="H187" s="148"/>
      <c r="I187" s="70"/>
    </row>
    <row r="188" spans="2:9" x14ac:dyDescent="0.25">
      <c r="B188" s="2">
        <f t="shared" si="11"/>
        <v>172</v>
      </c>
      <c r="C188" s="15">
        <f t="shared" si="12"/>
        <v>0</v>
      </c>
      <c r="E188" s="70">
        <f t="shared" si="13"/>
        <v>0</v>
      </c>
      <c r="F188" s="70">
        <f t="shared" si="14"/>
        <v>0</v>
      </c>
      <c r="G188" s="70">
        <f t="shared" si="15"/>
        <v>0</v>
      </c>
      <c r="H188" s="148"/>
      <c r="I188" s="70"/>
    </row>
    <row r="189" spans="2:9" x14ac:dyDescent="0.25">
      <c r="B189" s="2">
        <f t="shared" si="11"/>
        <v>173</v>
      </c>
      <c r="C189" s="15">
        <f t="shared" si="12"/>
        <v>0</v>
      </c>
      <c r="E189" s="70">
        <f t="shared" si="13"/>
        <v>0</v>
      </c>
      <c r="F189" s="70">
        <f t="shared" si="14"/>
        <v>0</v>
      </c>
      <c r="G189" s="70">
        <f t="shared" si="15"/>
        <v>0</v>
      </c>
      <c r="H189" s="148"/>
      <c r="I189" s="70"/>
    </row>
    <row r="190" spans="2:9" x14ac:dyDescent="0.25">
      <c r="B190" s="2">
        <f t="shared" si="11"/>
        <v>174</v>
      </c>
      <c r="C190" s="15">
        <f t="shared" si="12"/>
        <v>0</v>
      </c>
      <c r="E190" s="70">
        <f t="shared" si="13"/>
        <v>0</v>
      </c>
      <c r="F190" s="70">
        <f t="shared" si="14"/>
        <v>0</v>
      </c>
      <c r="G190" s="70">
        <f t="shared" si="15"/>
        <v>0</v>
      </c>
      <c r="H190" s="148"/>
      <c r="I190" s="70"/>
    </row>
    <row r="191" spans="2:9" x14ac:dyDescent="0.25">
      <c r="B191" s="2">
        <f t="shared" si="11"/>
        <v>175</v>
      </c>
      <c r="C191" s="15">
        <f t="shared" si="12"/>
        <v>0</v>
      </c>
      <c r="E191" s="70">
        <f t="shared" si="13"/>
        <v>0</v>
      </c>
      <c r="F191" s="70">
        <f t="shared" si="14"/>
        <v>0</v>
      </c>
      <c r="G191" s="70">
        <f t="shared" si="15"/>
        <v>0</v>
      </c>
      <c r="H191" s="148"/>
      <c r="I191" s="70"/>
    </row>
    <row r="192" spans="2:9" x14ac:dyDescent="0.25">
      <c r="B192" s="2">
        <f t="shared" si="11"/>
        <v>176</v>
      </c>
      <c r="C192" s="15">
        <f t="shared" si="12"/>
        <v>0</v>
      </c>
      <c r="E192" s="70">
        <f t="shared" si="13"/>
        <v>0</v>
      </c>
      <c r="F192" s="70">
        <f t="shared" si="14"/>
        <v>0</v>
      </c>
      <c r="G192" s="70">
        <f t="shared" si="15"/>
        <v>0</v>
      </c>
      <c r="H192" s="148"/>
      <c r="I192" s="70"/>
    </row>
    <row r="193" spans="2:9" x14ac:dyDescent="0.25">
      <c r="B193" s="2">
        <f t="shared" si="11"/>
        <v>177</v>
      </c>
      <c r="C193" s="15">
        <f t="shared" si="12"/>
        <v>0</v>
      </c>
      <c r="E193" s="70">
        <f t="shared" si="13"/>
        <v>0</v>
      </c>
      <c r="F193" s="70">
        <f t="shared" si="14"/>
        <v>0</v>
      </c>
      <c r="G193" s="70">
        <f t="shared" si="15"/>
        <v>0</v>
      </c>
      <c r="H193" s="148"/>
      <c r="I193" s="70"/>
    </row>
    <row r="194" spans="2:9" x14ac:dyDescent="0.25">
      <c r="B194" s="2">
        <f t="shared" si="11"/>
        <v>178</v>
      </c>
      <c r="C194" s="15">
        <f t="shared" si="12"/>
        <v>0</v>
      </c>
      <c r="E194" s="70">
        <f t="shared" si="13"/>
        <v>0</v>
      </c>
      <c r="F194" s="70">
        <f t="shared" si="14"/>
        <v>0</v>
      </c>
      <c r="G194" s="70">
        <f t="shared" si="15"/>
        <v>0</v>
      </c>
      <c r="H194" s="148"/>
      <c r="I194" s="70"/>
    </row>
    <row r="195" spans="2:9" x14ac:dyDescent="0.25">
      <c r="B195" s="2">
        <f t="shared" si="11"/>
        <v>179</v>
      </c>
      <c r="C195" s="15">
        <f t="shared" si="12"/>
        <v>0</v>
      </c>
      <c r="E195" s="70">
        <f t="shared" si="13"/>
        <v>0</v>
      </c>
      <c r="F195" s="70">
        <f t="shared" si="14"/>
        <v>0</v>
      </c>
      <c r="G195" s="70">
        <f t="shared" si="15"/>
        <v>0</v>
      </c>
      <c r="H195" s="148"/>
      <c r="I195" s="70"/>
    </row>
    <row r="196" spans="2:9" x14ac:dyDescent="0.25">
      <c r="B196" s="2">
        <f t="shared" si="11"/>
        <v>180</v>
      </c>
      <c r="C196" s="15">
        <f t="shared" si="12"/>
        <v>0</v>
      </c>
      <c r="E196" s="70">
        <f t="shared" si="13"/>
        <v>0</v>
      </c>
      <c r="F196" s="70">
        <f t="shared" si="14"/>
        <v>0</v>
      </c>
      <c r="G196" s="70">
        <f t="shared" si="15"/>
        <v>0</v>
      </c>
      <c r="H196" s="148"/>
      <c r="I196" s="70"/>
    </row>
    <row r="197" spans="2:9" x14ac:dyDescent="0.25">
      <c r="B197" s="2">
        <f t="shared" si="11"/>
        <v>181</v>
      </c>
      <c r="C197" s="15">
        <f t="shared" si="12"/>
        <v>0</v>
      </c>
      <c r="E197" s="70">
        <f t="shared" si="13"/>
        <v>0</v>
      </c>
      <c r="F197" s="70">
        <f t="shared" si="14"/>
        <v>0</v>
      </c>
      <c r="G197" s="70">
        <f t="shared" si="15"/>
        <v>0</v>
      </c>
      <c r="H197" s="148"/>
      <c r="I197" s="70"/>
    </row>
    <row r="198" spans="2:9" x14ac:dyDescent="0.25">
      <c r="B198" s="2">
        <f t="shared" si="11"/>
        <v>182</v>
      </c>
      <c r="C198" s="15">
        <f t="shared" si="12"/>
        <v>0</v>
      </c>
      <c r="E198" s="70">
        <f t="shared" si="13"/>
        <v>0</v>
      </c>
      <c r="F198" s="70">
        <f t="shared" si="14"/>
        <v>0</v>
      </c>
      <c r="G198" s="70">
        <f t="shared" si="15"/>
        <v>0</v>
      </c>
      <c r="H198" s="148"/>
      <c r="I198" s="70"/>
    </row>
    <row r="199" spans="2:9" x14ac:dyDescent="0.25">
      <c r="B199" s="2">
        <f t="shared" si="11"/>
        <v>183</v>
      </c>
      <c r="C199" s="15">
        <f t="shared" si="12"/>
        <v>0</v>
      </c>
      <c r="E199" s="70">
        <f t="shared" si="13"/>
        <v>0</v>
      </c>
      <c r="F199" s="70">
        <f t="shared" si="14"/>
        <v>0</v>
      </c>
      <c r="G199" s="70">
        <f t="shared" si="15"/>
        <v>0</v>
      </c>
      <c r="H199" s="148"/>
      <c r="I199" s="70"/>
    </row>
    <row r="200" spans="2:9" x14ac:dyDescent="0.25">
      <c r="B200" s="2">
        <f t="shared" si="11"/>
        <v>184</v>
      </c>
      <c r="C200" s="15">
        <f t="shared" si="12"/>
        <v>0</v>
      </c>
      <c r="E200" s="70">
        <f t="shared" si="13"/>
        <v>0</v>
      </c>
      <c r="F200" s="70">
        <f t="shared" si="14"/>
        <v>0</v>
      </c>
      <c r="G200" s="70">
        <f t="shared" si="15"/>
        <v>0</v>
      </c>
      <c r="H200" s="148"/>
      <c r="I200" s="70"/>
    </row>
    <row r="201" spans="2:9" x14ac:dyDescent="0.25">
      <c r="B201" s="2">
        <f t="shared" si="11"/>
        <v>185</v>
      </c>
      <c r="C201" s="15">
        <f t="shared" si="12"/>
        <v>0</v>
      </c>
      <c r="E201" s="70">
        <f t="shared" si="13"/>
        <v>0</v>
      </c>
      <c r="F201" s="70">
        <f t="shared" si="14"/>
        <v>0</v>
      </c>
      <c r="G201" s="70">
        <f t="shared" si="15"/>
        <v>0</v>
      </c>
      <c r="H201" s="148"/>
      <c r="I201" s="70"/>
    </row>
    <row r="202" spans="2:9" x14ac:dyDescent="0.25">
      <c r="B202" s="2">
        <f t="shared" si="11"/>
        <v>186</v>
      </c>
      <c r="C202" s="15">
        <f t="shared" si="12"/>
        <v>0</v>
      </c>
      <c r="E202" s="70">
        <f t="shared" si="13"/>
        <v>0</v>
      </c>
      <c r="F202" s="70">
        <f t="shared" si="14"/>
        <v>0</v>
      </c>
      <c r="G202" s="70">
        <f t="shared" si="15"/>
        <v>0</v>
      </c>
      <c r="H202" s="148"/>
      <c r="I202" s="70"/>
    </row>
    <row r="203" spans="2:9" x14ac:dyDescent="0.25">
      <c r="B203" s="2">
        <f t="shared" si="11"/>
        <v>187</v>
      </c>
      <c r="C203" s="15">
        <f t="shared" si="12"/>
        <v>0</v>
      </c>
      <c r="E203" s="70">
        <f t="shared" si="13"/>
        <v>0</v>
      </c>
      <c r="F203" s="70">
        <f t="shared" si="14"/>
        <v>0</v>
      </c>
      <c r="G203" s="70">
        <f t="shared" si="15"/>
        <v>0</v>
      </c>
      <c r="H203" s="148"/>
      <c r="I203" s="70"/>
    </row>
    <row r="204" spans="2:9" x14ac:dyDescent="0.25">
      <c r="B204" s="2">
        <f t="shared" si="11"/>
        <v>188</v>
      </c>
      <c r="C204" s="15">
        <f t="shared" si="12"/>
        <v>0</v>
      </c>
      <c r="E204" s="70">
        <f t="shared" si="13"/>
        <v>0</v>
      </c>
      <c r="F204" s="70">
        <f t="shared" si="14"/>
        <v>0</v>
      </c>
      <c r="G204" s="70">
        <f t="shared" si="15"/>
        <v>0</v>
      </c>
      <c r="H204" s="148"/>
      <c r="I204" s="70"/>
    </row>
    <row r="205" spans="2:9" x14ac:dyDescent="0.25">
      <c r="B205" s="2">
        <f t="shared" si="11"/>
        <v>189</v>
      </c>
      <c r="C205" s="15">
        <f t="shared" si="12"/>
        <v>0</v>
      </c>
      <c r="E205" s="70">
        <f t="shared" si="13"/>
        <v>0</v>
      </c>
      <c r="F205" s="70">
        <f t="shared" si="14"/>
        <v>0</v>
      </c>
      <c r="G205" s="70">
        <f t="shared" si="15"/>
        <v>0</v>
      </c>
      <c r="H205" s="148"/>
      <c r="I205" s="70"/>
    </row>
    <row r="206" spans="2:9" x14ac:dyDescent="0.25">
      <c r="B206" s="2">
        <f t="shared" si="11"/>
        <v>190</v>
      </c>
      <c r="C206" s="15">
        <f t="shared" si="12"/>
        <v>0</v>
      </c>
      <c r="E206" s="70">
        <f t="shared" si="13"/>
        <v>0</v>
      </c>
      <c r="F206" s="70">
        <f t="shared" si="14"/>
        <v>0</v>
      </c>
      <c r="G206" s="70">
        <f t="shared" si="15"/>
        <v>0</v>
      </c>
      <c r="H206" s="148"/>
      <c r="I206" s="70"/>
    </row>
    <row r="207" spans="2:9" x14ac:dyDescent="0.25">
      <c r="B207" s="2">
        <f t="shared" si="11"/>
        <v>191</v>
      </c>
      <c r="C207" s="15">
        <f t="shared" si="12"/>
        <v>0</v>
      </c>
      <c r="E207" s="70">
        <f t="shared" si="13"/>
        <v>0</v>
      </c>
      <c r="F207" s="70">
        <f t="shared" si="14"/>
        <v>0</v>
      </c>
      <c r="G207" s="70">
        <f t="shared" si="15"/>
        <v>0</v>
      </c>
      <c r="H207" s="148"/>
      <c r="I207" s="70"/>
    </row>
    <row r="208" spans="2:9" x14ac:dyDescent="0.25">
      <c r="B208" s="2">
        <f t="shared" si="11"/>
        <v>192</v>
      </c>
      <c r="C208" s="15">
        <f t="shared" si="12"/>
        <v>0</v>
      </c>
      <c r="E208" s="70">
        <f t="shared" si="13"/>
        <v>0</v>
      </c>
      <c r="F208" s="70">
        <f t="shared" si="14"/>
        <v>0</v>
      </c>
      <c r="G208" s="70">
        <f t="shared" si="15"/>
        <v>0</v>
      </c>
      <c r="H208" s="148"/>
      <c r="I208" s="70"/>
    </row>
    <row r="209" spans="2:9" x14ac:dyDescent="0.25">
      <c r="B209" s="2">
        <f t="shared" si="11"/>
        <v>193</v>
      </c>
      <c r="C209" s="15">
        <f t="shared" si="12"/>
        <v>0</v>
      </c>
      <c r="E209" s="70">
        <f t="shared" si="13"/>
        <v>0</v>
      </c>
      <c r="F209" s="70">
        <f t="shared" si="14"/>
        <v>0</v>
      </c>
      <c r="G209" s="70">
        <f t="shared" si="15"/>
        <v>0</v>
      </c>
      <c r="H209" s="148"/>
      <c r="I209" s="70"/>
    </row>
    <row r="210" spans="2:9" x14ac:dyDescent="0.25">
      <c r="B210" s="2">
        <f t="shared" ref="B210:B256" si="16">B209+1</f>
        <v>194</v>
      </c>
      <c r="C210" s="15">
        <f t="shared" ref="C210:C256" si="17">$E$8</f>
        <v>0</v>
      </c>
      <c r="E210" s="70">
        <f t="shared" ref="E210:E256" si="18">G209*$E$9/12</f>
        <v>0</v>
      </c>
      <c r="F210" s="70">
        <f t="shared" ref="F210:F256" si="19">C210-E210</f>
        <v>0</v>
      </c>
      <c r="G210" s="70">
        <f t="shared" ref="G210:G256" si="20">G209-F210</f>
        <v>0</v>
      </c>
      <c r="H210" s="148"/>
      <c r="I210" s="70"/>
    </row>
    <row r="211" spans="2:9" x14ac:dyDescent="0.25">
      <c r="B211" s="2">
        <f t="shared" si="16"/>
        <v>195</v>
      </c>
      <c r="C211" s="15">
        <f t="shared" si="17"/>
        <v>0</v>
      </c>
      <c r="E211" s="70">
        <f t="shared" si="18"/>
        <v>0</v>
      </c>
      <c r="F211" s="70">
        <f t="shared" si="19"/>
        <v>0</v>
      </c>
      <c r="G211" s="70">
        <f t="shared" si="20"/>
        <v>0</v>
      </c>
      <c r="H211" s="148"/>
      <c r="I211" s="70"/>
    </row>
    <row r="212" spans="2:9" x14ac:dyDescent="0.25">
      <c r="B212" s="2">
        <f t="shared" si="16"/>
        <v>196</v>
      </c>
      <c r="C212" s="15">
        <f t="shared" si="17"/>
        <v>0</v>
      </c>
      <c r="E212" s="70">
        <f t="shared" si="18"/>
        <v>0</v>
      </c>
      <c r="F212" s="70">
        <f t="shared" si="19"/>
        <v>0</v>
      </c>
      <c r="G212" s="70">
        <f t="shared" si="20"/>
        <v>0</v>
      </c>
      <c r="H212" s="148"/>
      <c r="I212" s="70"/>
    </row>
    <row r="213" spans="2:9" x14ac:dyDescent="0.25">
      <c r="B213" s="2">
        <f t="shared" si="16"/>
        <v>197</v>
      </c>
      <c r="C213" s="15">
        <f t="shared" si="17"/>
        <v>0</v>
      </c>
      <c r="E213" s="70">
        <f t="shared" si="18"/>
        <v>0</v>
      </c>
      <c r="F213" s="70">
        <f t="shared" si="19"/>
        <v>0</v>
      </c>
      <c r="G213" s="70">
        <f t="shared" si="20"/>
        <v>0</v>
      </c>
      <c r="H213" s="148"/>
      <c r="I213" s="70"/>
    </row>
    <row r="214" spans="2:9" x14ac:dyDescent="0.25">
      <c r="B214" s="2">
        <f t="shared" si="16"/>
        <v>198</v>
      </c>
      <c r="C214" s="15">
        <f t="shared" si="17"/>
        <v>0</v>
      </c>
      <c r="E214" s="70">
        <f t="shared" si="18"/>
        <v>0</v>
      </c>
      <c r="F214" s="70">
        <f t="shared" si="19"/>
        <v>0</v>
      </c>
      <c r="G214" s="70">
        <f t="shared" si="20"/>
        <v>0</v>
      </c>
      <c r="H214" s="148"/>
      <c r="I214" s="70"/>
    </row>
    <row r="215" spans="2:9" x14ac:dyDescent="0.25">
      <c r="B215" s="2">
        <f t="shared" si="16"/>
        <v>199</v>
      </c>
      <c r="C215" s="15">
        <f t="shared" si="17"/>
        <v>0</v>
      </c>
      <c r="E215" s="70">
        <f t="shared" si="18"/>
        <v>0</v>
      </c>
      <c r="F215" s="70">
        <f t="shared" si="19"/>
        <v>0</v>
      </c>
      <c r="G215" s="70">
        <f t="shared" si="20"/>
        <v>0</v>
      </c>
      <c r="H215" s="148"/>
      <c r="I215" s="70"/>
    </row>
    <row r="216" spans="2:9" x14ac:dyDescent="0.25">
      <c r="B216" s="2">
        <f t="shared" si="16"/>
        <v>200</v>
      </c>
      <c r="C216" s="15">
        <f t="shared" si="17"/>
        <v>0</v>
      </c>
      <c r="E216" s="70">
        <f t="shared" si="18"/>
        <v>0</v>
      </c>
      <c r="F216" s="70">
        <f t="shared" si="19"/>
        <v>0</v>
      </c>
      <c r="G216" s="70">
        <f t="shared" si="20"/>
        <v>0</v>
      </c>
      <c r="H216" s="148"/>
      <c r="I216" s="70"/>
    </row>
    <row r="217" spans="2:9" x14ac:dyDescent="0.25">
      <c r="B217" s="2">
        <f t="shared" si="16"/>
        <v>201</v>
      </c>
      <c r="C217" s="15">
        <f t="shared" si="17"/>
        <v>0</v>
      </c>
      <c r="E217" s="70">
        <f t="shared" si="18"/>
        <v>0</v>
      </c>
      <c r="F217" s="70">
        <f t="shared" si="19"/>
        <v>0</v>
      </c>
      <c r="G217" s="70">
        <f t="shared" si="20"/>
        <v>0</v>
      </c>
      <c r="H217" s="148"/>
      <c r="I217" s="70"/>
    </row>
    <row r="218" spans="2:9" x14ac:dyDescent="0.25">
      <c r="B218" s="2">
        <f t="shared" si="16"/>
        <v>202</v>
      </c>
      <c r="C218" s="15">
        <f t="shared" si="17"/>
        <v>0</v>
      </c>
      <c r="E218" s="70">
        <f t="shared" si="18"/>
        <v>0</v>
      </c>
      <c r="F218" s="70">
        <f t="shared" si="19"/>
        <v>0</v>
      </c>
      <c r="G218" s="70">
        <f t="shared" si="20"/>
        <v>0</v>
      </c>
      <c r="H218" s="148"/>
      <c r="I218" s="70"/>
    </row>
    <row r="219" spans="2:9" x14ac:dyDescent="0.25">
      <c r="B219" s="2">
        <f t="shared" si="16"/>
        <v>203</v>
      </c>
      <c r="C219" s="15">
        <f t="shared" si="17"/>
        <v>0</v>
      </c>
      <c r="E219" s="70">
        <f t="shared" si="18"/>
        <v>0</v>
      </c>
      <c r="F219" s="70">
        <f t="shared" si="19"/>
        <v>0</v>
      </c>
      <c r="G219" s="70">
        <f t="shared" si="20"/>
        <v>0</v>
      </c>
      <c r="H219" s="148"/>
      <c r="I219" s="70"/>
    </row>
    <row r="220" spans="2:9" x14ac:dyDescent="0.25">
      <c r="B220" s="2">
        <f t="shared" si="16"/>
        <v>204</v>
      </c>
      <c r="C220" s="15">
        <f t="shared" si="17"/>
        <v>0</v>
      </c>
      <c r="E220" s="70">
        <f t="shared" si="18"/>
        <v>0</v>
      </c>
      <c r="F220" s="70">
        <f t="shared" si="19"/>
        <v>0</v>
      </c>
      <c r="G220" s="70">
        <f t="shared" si="20"/>
        <v>0</v>
      </c>
      <c r="H220" s="148"/>
      <c r="I220" s="70"/>
    </row>
    <row r="221" spans="2:9" x14ac:dyDescent="0.25">
      <c r="B221" s="2">
        <f t="shared" si="16"/>
        <v>205</v>
      </c>
      <c r="C221" s="15">
        <f t="shared" si="17"/>
        <v>0</v>
      </c>
      <c r="E221" s="70">
        <f t="shared" si="18"/>
        <v>0</v>
      </c>
      <c r="F221" s="70">
        <f t="shared" si="19"/>
        <v>0</v>
      </c>
      <c r="G221" s="70">
        <f t="shared" si="20"/>
        <v>0</v>
      </c>
      <c r="H221" s="148"/>
      <c r="I221" s="70"/>
    </row>
    <row r="222" spans="2:9" x14ac:dyDescent="0.25">
      <c r="B222" s="2">
        <f t="shared" si="16"/>
        <v>206</v>
      </c>
      <c r="C222" s="15">
        <f t="shared" si="17"/>
        <v>0</v>
      </c>
      <c r="E222" s="70">
        <f t="shared" si="18"/>
        <v>0</v>
      </c>
      <c r="F222" s="70">
        <f t="shared" si="19"/>
        <v>0</v>
      </c>
      <c r="G222" s="70">
        <f t="shared" si="20"/>
        <v>0</v>
      </c>
      <c r="H222" s="148"/>
      <c r="I222" s="70"/>
    </row>
    <row r="223" spans="2:9" x14ac:dyDescent="0.25">
      <c r="B223" s="2">
        <f t="shared" si="16"/>
        <v>207</v>
      </c>
      <c r="C223" s="15">
        <f t="shared" si="17"/>
        <v>0</v>
      </c>
      <c r="E223" s="70">
        <f t="shared" si="18"/>
        <v>0</v>
      </c>
      <c r="F223" s="70">
        <f t="shared" si="19"/>
        <v>0</v>
      </c>
      <c r="G223" s="70">
        <f t="shared" si="20"/>
        <v>0</v>
      </c>
      <c r="H223" s="148"/>
      <c r="I223" s="70"/>
    </row>
    <row r="224" spans="2:9" x14ac:dyDescent="0.25">
      <c r="B224" s="2">
        <f t="shared" si="16"/>
        <v>208</v>
      </c>
      <c r="C224" s="15">
        <f t="shared" si="17"/>
        <v>0</v>
      </c>
      <c r="E224" s="70">
        <f t="shared" si="18"/>
        <v>0</v>
      </c>
      <c r="F224" s="70">
        <f t="shared" si="19"/>
        <v>0</v>
      </c>
      <c r="G224" s="70">
        <f t="shared" si="20"/>
        <v>0</v>
      </c>
      <c r="H224" s="148"/>
      <c r="I224" s="70"/>
    </row>
    <row r="225" spans="2:9" x14ac:dyDescent="0.25">
      <c r="B225" s="2">
        <f t="shared" si="16"/>
        <v>209</v>
      </c>
      <c r="C225" s="15">
        <f t="shared" si="17"/>
        <v>0</v>
      </c>
      <c r="E225" s="70">
        <f t="shared" si="18"/>
        <v>0</v>
      </c>
      <c r="F225" s="70">
        <f t="shared" si="19"/>
        <v>0</v>
      </c>
      <c r="G225" s="70">
        <f t="shared" si="20"/>
        <v>0</v>
      </c>
      <c r="H225" s="148"/>
      <c r="I225" s="70"/>
    </row>
    <row r="226" spans="2:9" x14ac:dyDescent="0.25">
      <c r="B226" s="2">
        <f t="shared" si="16"/>
        <v>210</v>
      </c>
      <c r="C226" s="15">
        <f t="shared" si="17"/>
        <v>0</v>
      </c>
      <c r="E226" s="70">
        <f t="shared" si="18"/>
        <v>0</v>
      </c>
      <c r="F226" s="70">
        <f t="shared" si="19"/>
        <v>0</v>
      </c>
      <c r="G226" s="70">
        <f t="shared" si="20"/>
        <v>0</v>
      </c>
      <c r="H226" s="148"/>
      <c r="I226" s="70"/>
    </row>
    <row r="227" spans="2:9" x14ac:dyDescent="0.25">
      <c r="B227" s="2">
        <f t="shared" si="16"/>
        <v>211</v>
      </c>
      <c r="C227" s="15">
        <f t="shared" si="17"/>
        <v>0</v>
      </c>
      <c r="E227" s="70">
        <f t="shared" si="18"/>
        <v>0</v>
      </c>
      <c r="F227" s="70">
        <f t="shared" si="19"/>
        <v>0</v>
      </c>
      <c r="G227" s="70">
        <f t="shared" si="20"/>
        <v>0</v>
      </c>
      <c r="H227" s="148"/>
      <c r="I227" s="70"/>
    </row>
    <row r="228" spans="2:9" x14ac:dyDescent="0.25">
      <c r="B228" s="2">
        <f t="shared" si="16"/>
        <v>212</v>
      </c>
      <c r="C228" s="15">
        <f t="shared" si="17"/>
        <v>0</v>
      </c>
      <c r="E228" s="70">
        <f t="shared" si="18"/>
        <v>0</v>
      </c>
      <c r="F228" s="70">
        <f t="shared" si="19"/>
        <v>0</v>
      </c>
      <c r="G228" s="70">
        <f t="shared" si="20"/>
        <v>0</v>
      </c>
      <c r="H228" s="148"/>
      <c r="I228" s="70"/>
    </row>
    <row r="229" spans="2:9" x14ac:dyDescent="0.25">
      <c r="B229" s="2">
        <f t="shared" si="16"/>
        <v>213</v>
      </c>
      <c r="C229" s="15">
        <f t="shared" si="17"/>
        <v>0</v>
      </c>
      <c r="E229" s="70">
        <f t="shared" si="18"/>
        <v>0</v>
      </c>
      <c r="F229" s="70">
        <f t="shared" si="19"/>
        <v>0</v>
      </c>
      <c r="G229" s="70">
        <f t="shared" si="20"/>
        <v>0</v>
      </c>
      <c r="H229" s="148"/>
      <c r="I229" s="70"/>
    </row>
    <row r="230" spans="2:9" x14ac:dyDescent="0.25">
      <c r="B230" s="2">
        <f t="shared" si="16"/>
        <v>214</v>
      </c>
      <c r="C230" s="15">
        <f t="shared" si="17"/>
        <v>0</v>
      </c>
      <c r="E230" s="70">
        <f t="shared" si="18"/>
        <v>0</v>
      </c>
      <c r="F230" s="70">
        <f t="shared" si="19"/>
        <v>0</v>
      </c>
      <c r="G230" s="70">
        <f t="shared" si="20"/>
        <v>0</v>
      </c>
      <c r="H230" s="148"/>
      <c r="I230" s="70"/>
    </row>
    <row r="231" spans="2:9" x14ac:dyDescent="0.25">
      <c r="B231" s="2">
        <f t="shared" si="16"/>
        <v>215</v>
      </c>
      <c r="C231" s="15">
        <f t="shared" si="17"/>
        <v>0</v>
      </c>
      <c r="E231" s="70">
        <f t="shared" si="18"/>
        <v>0</v>
      </c>
      <c r="F231" s="70">
        <f t="shared" si="19"/>
        <v>0</v>
      </c>
      <c r="G231" s="70">
        <f t="shared" si="20"/>
        <v>0</v>
      </c>
      <c r="H231" s="148"/>
      <c r="I231" s="70"/>
    </row>
    <row r="232" spans="2:9" x14ac:dyDescent="0.25">
      <c r="B232" s="2">
        <f t="shared" si="16"/>
        <v>216</v>
      </c>
      <c r="C232" s="15">
        <f t="shared" si="17"/>
        <v>0</v>
      </c>
      <c r="E232" s="70">
        <f t="shared" si="18"/>
        <v>0</v>
      </c>
      <c r="F232" s="70">
        <f t="shared" si="19"/>
        <v>0</v>
      </c>
      <c r="G232" s="70">
        <f t="shared" si="20"/>
        <v>0</v>
      </c>
      <c r="H232" s="148"/>
      <c r="I232" s="70"/>
    </row>
    <row r="233" spans="2:9" x14ac:dyDescent="0.25">
      <c r="B233" s="2">
        <f t="shared" si="16"/>
        <v>217</v>
      </c>
      <c r="C233" s="15">
        <f t="shared" si="17"/>
        <v>0</v>
      </c>
      <c r="E233" s="70">
        <f t="shared" si="18"/>
        <v>0</v>
      </c>
      <c r="F233" s="70">
        <f t="shared" si="19"/>
        <v>0</v>
      </c>
      <c r="G233" s="70">
        <f t="shared" si="20"/>
        <v>0</v>
      </c>
      <c r="H233" s="148"/>
      <c r="I233" s="70"/>
    </row>
    <row r="234" spans="2:9" x14ac:dyDescent="0.25">
      <c r="B234" s="2">
        <f t="shared" si="16"/>
        <v>218</v>
      </c>
      <c r="C234" s="15">
        <f t="shared" si="17"/>
        <v>0</v>
      </c>
      <c r="E234" s="70">
        <f t="shared" si="18"/>
        <v>0</v>
      </c>
      <c r="F234" s="70">
        <f t="shared" si="19"/>
        <v>0</v>
      </c>
      <c r="G234" s="70">
        <f t="shared" si="20"/>
        <v>0</v>
      </c>
      <c r="H234" s="148"/>
      <c r="I234" s="70"/>
    </row>
    <row r="235" spans="2:9" x14ac:dyDescent="0.25">
      <c r="B235" s="2">
        <f t="shared" si="16"/>
        <v>219</v>
      </c>
      <c r="C235" s="15">
        <f t="shared" si="17"/>
        <v>0</v>
      </c>
      <c r="E235" s="70">
        <f t="shared" si="18"/>
        <v>0</v>
      </c>
      <c r="F235" s="70">
        <f t="shared" si="19"/>
        <v>0</v>
      </c>
      <c r="G235" s="70">
        <f t="shared" si="20"/>
        <v>0</v>
      </c>
      <c r="H235" s="148"/>
      <c r="I235" s="70"/>
    </row>
    <row r="236" spans="2:9" x14ac:dyDescent="0.25">
      <c r="B236" s="2">
        <f t="shared" si="16"/>
        <v>220</v>
      </c>
      <c r="C236" s="15">
        <f t="shared" si="17"/>
        <v>0</v>
      </c>
      <c r="E236" s="70">
        <f t="shared" si="18"/>
        <v>0</v>
      </c>
      <c r="F236" s="70">
        <f t="shared" si="19"/>
        <v>0</v>
      </c>
      <c r="G236" s="70">
        <f t="shared" si="20"/>
        <v>0</v>
      </c>
      <c r="H236" s="148"/>
      <c r="I236" s="70"/>
    </row>
    <row r="237" spans="2:9" x14ac:dyDescent="0.25">
      <c r="B237" s="2">
        <f t="shared" si="16"/>
        <v>221</v>
      </c>
      <c r="C237" s="15">
        <f t="shared" si="17"/>
        <v>0</v>
      </c>
      <c r="E237" s="70">
        <f t="shared" si="18"/>
        <v>0</v>
      </c>
      <c r="F237" s="70">
        <f t="shared" si="19"/>
        <v>0</v>
      </c>
      <c r="G237" s="70">
        <f t="shared" si="20"/>
        <v>0</v>
      </c>
      <c r="H237" s="148"/>
      <c r="I237" s="70"/>
    </row>
    <row r="238" spans="2:9" x14ac:dyDescent="0.25">
      <c r="B238" s="2">
        <f t="shared" si="16"/>
        <v>222</v>
      </c>
      <c r="C238" s="15">
        <f t="shared" si="17"/>
        <v>0</v>
      </c>
      <c r="E238" s="70">
        <f t="shared" si="18"/>
        <v>0</v>
      </c>
      <c r="F238" s="70">
        <f t="shared" si="19"/>
        <v>0</v>
      </c>
      <c r="G238" s="70">
        <f t="shared" si="20"/>
        <v>0</v>
      </c>
      <c r="H238" s="148"/>
      <c r="I238" s="70"/>
    </row>
    <row r="239" spans="2:9" x14ac:dyDescent="0.25">
      <c r="B239" s="2">
        <f t="shared" si="16"/>
        <v>223</v>
      </c>
      <c r="C239" s="15">
        <f t="shared" si="17"/>
        <v>0</v>
      </c>
      <c r="E239" s="70">
        <f t="shared" si="18"/>
        <v>0</v>
      </c>
      <c r="F239" s="70">
        <f t="shared" si="19"/>
        <v>0</v>
      </c>
      <c r="G239" s="70">
        <f t="shared" si="20"/>
        <v>0</v>
      </c>
      <c r="H239" s="148"/>
      <c r="I239" s="70"/>
    </row>
    <row r="240" spans="2:9" x14ac:dyDescent="0.25">
      <c r="B240" s="2">
        <f t="shared" si="16"/>
        <v>224</v>
      </c>
      <c r="C240" s="15">
        <f t="shared" si="17"/>
        <v>0</v>
      </c>
      <c r="E240" s="70">
        <f t="shared" si="18"/>
        <v>0</v>
      </c>
      <c r="F240" s="70">
        <f t="shared" si="19"/>
        <v>0</v>
      </c>
      <c r="G240" s="70">
        <f t="shared" si="20"/>
        <v>0</v>
      </c>
      <c r="H240" s="148"/>
      <c r="I240" s="70"/>
    </row>
    <row r="241" spans="2:9" x14ac:dyDescent="0.25">
      <c r="B241" s="2">
        <f t="shared" si="16"/>
        <v>225</v>
      </c>
      <c r="C241" s="15">
        <f t="shared" si="17"/>
        <v>0</v>
      </c>
      <c r="E241" s="70">
        <f t="shared" si="18"/>
        <v>0</v>
      </c>
      <c r="F241" s="70">
        <f t="shared" si="19"/>
        <v>0</v>
      </c>
      <c r="G241" s="70">
        <f t="shared" si="20"/>
        <v>0</v>
      </c>
      <c r="H241" s="148"/>
      <c r="I241" s="70"/>
    </row>
    <row r="242" spans="2:9" x14ac:dyDescent="0.25">
      <c r="B242" s="2">
        <f t="shared" si="16"/>
        <v>226</v>
      </c>
      <c r="C242" s="15">
        <f t="shared" si="17"/>
        <v>0</v>
      </c>
      <c r="E242" s="70">
        <f t="shared" si="18"/>
        <v>0</v>
      </c>
      <c r="F242" s="70">
        <f t="shared" si="19"/>
        <v>0</v>
      </c>
      <c r="G242" s="70">
        <f t="shared" si="20"/>
        <v>0</v>
      </c>
      <c r="H242" s="148"/>
      <c r="I242" s="70"/>
    </row>
    <row r="243" spans="2:9" x14ac:dyDescent="0.25">
      <c r="B243" s="2">
        <f t="shared" si="16"/>
        <v>227</v>
      </c>
      <c r="C243" s="15">
        <f t="shared" si="17"/>
        <v>0</v>
      </c>
      <c r="E243" s="70">
        <f t="shared" si="18"/>
        <v>0</v>
      </c>
      <c r="F243" s="70">
        <f t="shared" si="19"/>
        <v>0</v>
      </c>
      <c r="G243" s="70">
        <f t="shared" si="20"/>
        <v>0</v>
      </c>
      <c r="H243" s="148"/>
      <c r="I243" s="70"/>
    </row>
    <row r="244" spans="2:9" x14ac:dyDescent="0.25">
      <c r="B244" s="2">
        <f t="shared" si="16"/>
        <v>228</v>
      </c>
      <c r="C244" s="15">
        <f t="shared" si="17"/>
        <v>0</v>
      </c>
      <c r="E244" s="70">
        <f t="shared" si="18"/>
        <v>0</v>
      </c>
      <c r="F244" s="70">
        <f t="shared" si="19"/>
        <v>0</v>
      </c>
      <c r="G244" s="70">
        <f t="shared" si="20"/>
        <v>0</v>
      </c>
      <c r="H244" s="148"/>
      <c r="I244" s="70"/>
    </row>
    <row r="245" spans="2:9" x14ac:dyDescent="0.25">
      <c r="B245" s="2">
        <f t="shared" si="16"/>
        <v>229</v>
      </c>
      <c r="C245" s="15">
        <f t="shared" si="17"/>
        <v>0</v>
      </c>
      <c r="E245" s="70">
        <f t="shared" si="18"/>
        <v>0</v>
      </c>
      <c r="F245" s="70">
        <f t="shared" si="19"/>
        <v>0</v>
      </c>
      <c r="G245" s="70">
        <f t="shared" si="20"/>
        <v>0</v>
      </c>
      <c r="H245" s="148"/>
      <c r="I245" s="70"/>
    </row>
    <row r="246" spans="2:9" x14ac:dyDescent="0.25">
      <c r="B246" s="2">
        <f t="shared" si="16"/>
        <v>230</v>
      </c>
      <c r="C246" s="15">
        <f t="shared" si="17"/>
        <v>0</v>
      </c>
      <c r="E246" s="70">
        <f t="shared" si="18"/>
        <v>0</v>
      </c>
      <c r="F246" s="70">
        <f t="shared" si="19"/>
        <v>0</v>
      </c>
      <c r="G246" s="70">
        <f t="shared" si="20"/>
        <v>0</v>
      </c>
      <c r="H246" s="148"/>
      <c r="I246" s="70"/>
    </row>
    <row r="247" spans="2:9" x14ac:dyDescent="0.25">
      <c r="B247" s="2">
        <f t="shared" si="16"/>
        <v>231</v>
      </c>
      <c r="C247" s="15">
        <f t="shared" si="17"/>
        <v>0</v>
      </c>
      <c r="E247" s="70">
        <f t="shared" si="18"/>
        <v>0</v>
      </c>
      <c r="F247" s="70">
        <f t="shared" si="19"/>
        <v>0</v>
      </c>
      <c r="G247" s="70">
        <f t="shared" si="20"/>
        <v>0</v>
      </c>
      <c r="H247" s="148"/>
      <c r="I247" s="70"/>
    </row>
    <row r="248" spans="2:9" x14ac:dyDescent="0.25">
      <c r="B248" s="2">
        <f t="shared" si="16"/>
        <v>232</v>
      </c>
      <c r="C248" s="15">
        <f t="shared" si="17"/>
        <v>0</v>
      </c>
      <c r="E248" s="70">
        <f t="shared" si="18"/>
        <v>0</v>
      </c>
      <c r="F248" s="70">
        <f t="shared" si="19"/>
        <v>0</v>
      </c>
      <c r="G248" s="70">
        <f t="shared" si="20"/>
        <v>0</v>
      </c>
      <c r="H248" s="148"/>
      <c r="I248" s="70"/>
    </row>
    <row r="249" spans="2:9" x14ac:dyDescent="0.25">
      <c r="B249" s="2">
        <f t="shared" si="16"/>
        <v>233</v>
      </c>
      <c r="C249" s="15">
        <f t="shared" si="17"/>
        <v>0</v>
      </c>
      <c r="E249" s="70">
        <f t="shared" si="18"/>
        <v>0</v>
      </c>
      <c r="F249" s="70">
        <f t="shared" si="19"/>
        <v>0</v>
      </c>
      <c r="G249" s="70">
        <f t="shared" si="20"/>
        <v>0</v>
      </c>
      <c r="H249" s="148"/>
      <c r="I249" s="70"/>
    </row>
    <row r="250" spans="2:9" x14ac:dyDescent="0.25">
      <c r="B250" s="2">
        <f t="shared" si="16"/>
        <v>234</v>
      </c>
      <c r="C250" s="15">
        <f t="shared" si="17"/>
        <v>0</v>
      </c>
      <c r="E250" s="70">
        <f t="shared" si="18"/>
        <v>0</v>
      </c>
      <c r="F250" s="70">
        <f t="shared" si="19"/>
        <v>0</v>
      </c>
      <c r="G250" s="70">
        <f t="shared" si="20"/>
        <v>0</v>
      </c>
      <c r="H250" s="148"/>
      <c r="I250" s="70"/>
    </row>
    <row r="251" spans="2:9" x14ac:dyDescent="0.25">
      <c r="B251" s="2">
        <f t="shared" si="16"/>
        <v>235</v>
      </c>
      <c r="C251" s="15">
        <f t="shared" si="17"/>
        <v>0</v>
      </c>
      <c r="E251" s="70">
        <f t="shared" si="18"/>
        <v>0</v>
      </c>
      <c r="F251" s="70">
        <f t="shared" si="19"/>
        <v>0</v>
      </c>
      <c r="G251" s="70">
        <f t="shared" si="20"/>
        <v>0</v>
      </c>
      <c r="H251" s="148"/>
      <c r="I251" s="70"/>
    </row>
    <row r="252" spans="2:9" x14ac:dyDescent="0.25">
      <c r="B252" s="2">
        <f t="shared" si="16"/>
        <v>236</v>
      </c>
      <c r="C252" s="15">
        <f t="shared" si="17"/>
        <v>0</v>
      </c>
      <c r="E252" s="70">
        <f t="shared" si="18"/>
        <v>0</v>
      </c>
      <c r="F252" s="70">
        <f t="shared" si="19"/>
        <v>0</v>
      </c>
      <c r="G252" s="70">
        <f t="shared" si="20"/>
        <v>0</v>
      </c>
      <c r="H252" s="148"/>
      <c r="I252" s="70"/>
    </row>
    <row r="253" spans="2:9" x14ac:dyDescent="0.25">
      <c r="B253" s="2">
        <f t="shared" si="16"/>
        <v>237</v>
      </c>
      <c r="C253" s="15">
        <f t="shared" si="17"/>
        <v>0</v>
      </c>
      <c r="E253" s="70">
        <f t="shared" si="18"/>
        <v>0</v>
      </c>
      <c r="F253" s="70">
        <f t="shared" si="19"/>
        <v>0</v>
      </c>
      <c r="G253" s="70">
        <f t="shared" si="20"/>
        <v>0</v>
      </c>
      <c r="H253" s="148"/>
      <c r="I253" s="70"/>
    </row>
    <row r="254" spans="2:9" x14ac:dyDescent="0.25">
      <c r="B254" s="2">
        <f t="shared" si="16"/>
        <v>238</v>
      </c>
      <c r="C254" s="15">
        <f t="shared" si="17"/>
        <v>0</v>
      </c>
      <c r="E254" s="70">
        <f t="shared" si="18"/>
        <v>0</v>
      </c>
      <c r="F254" s="70">
        <f t="shared" si="19"/>
        <v>0</v>
      </c>
      <c r="G254" s="70">
        <f t="shared" si="20"/>
        <v>0</v>
      </c>
      <c r="H254" s="148"/>
      <c r="I254" s="70"/>
    </row>
    <row r="255" spans="2:9" x14ac:dyDescent="0.25">
      <c r="B255" s="2">
        <f t="shared" si="16"/>
        <v>239</v>
      </c>
      <c r="C255" s="15">
        <f t="shared" si="17"/>
        <v>0</v>
      </c>
      <c r="E255" s="70">
        <f t="shared" si="18"/>
        <v>0</v>
      </c>
      <c r="F255" s="70">
        <f t="shared" si="19"/>
        <v>0</v>
      </c>
      <c r="G255" s="70">
        <f t="shared" si="20"/>
        <v>0</v>
      </c>
      <c r="H255" s="148"/>
      <c r="I255" s="70"/>
    </row>
    <row r="256" spans="2:9" x14ac:dyDescent="0.25">
      <c r="B256" s="2">
        <f t="shared" si="16"/>
        <v>240</v>
      </c>
      <c r="C256" s="15">
        <f t="shared" si="17"/>
        <v>0</v>
      </c>
      <c r="E256" s="70">
        <f t="shared" si="18"/>
        <v>0</v>
      </c>
      <c r="F256" s="70">
        <f t="shared" si="19"/>
        <v>0</v>
      </c>
      <c r="G256" s="70">
        <f t="shared" si="20"/>
        <v>0</v>
      </c>
      <c r="H256" s="148"/>
      <c r="I256" s="70"/>
    </row>
    <row r="257" spans="3:9" x14ac:dyDescent="0.25">
      <c r="E257" s="70"/>
      <c r="F257" s="70"/>
      <c r="G257" s="70"/>
      <c r="H257" s="148"/>
      <c r="I257" s="70"/>
    </row>
    <row r="258" spans="3:9" ht="16.5" thickBot="1" x14ac:dyDescent="0.3">
      <c r="C258" s="30">
        <f>SUM(C17:C257)</f>
        <v>0</v>
      </c>
      <c r="D258" s="43"/>
      <c r="E258" s="30">
        <f>SUM(E17:E257)</f>
        <v>0</v>
      </c>
      <c r="F258" s="30">
        <f>SUM(F17:F257)</f>
        <v>0</v>
      </c>
      <c r="G258" s="70"/>
      <c r="H258" s="148"/>
      <c r="I258" s="70"/>
    </row>
    <row r="259" spans="3:9" ht="16.5" thickTop="1" x14ac:dyDescent="0.25">
      <c r="E259" s="70"/>
      <c r="F259" s="70"/>
      <c r="G259" s="70"/>
      <c r="H259" s="148"/>
      <c r="I259" s="70"/>
    </row>
    <row r="260" spans="3:9" x14ac:dyDescent="0.25">
      <c r="E260" s="70"/>
      <c r="F260" s="70"/>
      <c r="G260" s="70"/>
      <c r="H260" s="148"/>
      <c r="I260" s="70"/>
    </row>
    <row r="261" spans="3:9" x14ac:dyDescent="0.25">
      <c r="E261" s="70"/>
      <c r="F261" s="70"/>
      <c r="G261" s="70"/>
      <c r="H261" s="148"/>
      <c r="I261" s="70"/>
    </row>
    <row r="262" spans="3:9" x14ac:dyDescent="0.25">
      <c r="F262" s="70"/>
      <c r="G262" s="70"/>
      <c r="H262" s="70"/>
      <c r="I262" s="70"/>
    </row>
    <row r="263" spans="3:9" x14ac:dyDescent="0.25">
      <c r="F263" s="70"/>
      <c r="G263" s="70"/>
      <c r="H263" s="70"/>
      <c r="I263" s="70"/>
    </row>
    <row r="264" spans="3:9" x14ac:dyDescent="0.25">
      <c r="F264" s="70"/>
      <c r="G264" s="70"/>
      <c r="H264" s="70"/>
      <c r="I264" s="70"/>
    </row>
    <row r="265" spans="3:9" x14ac:dyDescent="0.25">
      <c r="F265" s="70"/>
      <c r="G265" s="70"/>
      <c r="H265" s="70"/>
      <c r="I265" s="70"/>
    </row>
    <row r="266" spans="3:9" x14ac:dyDescent="0.25">
      <c r="F266" s="70"/>
      <c r="G266" s="70"/>
      <c r="H266" s="70"/>
      <c r="I266" s="70"/>
    </row>
    <row r="267" spans="3:9" x14ac:dyDescent="0.25">
      <c r="F267" s="70"/>
      <c r="G267" s="70"/>
      <c r="H267" s="70"/>
      <c r="I267" s="70"/>
    </row>
    <row r="268" spans="3:9" x14ac:dyDescent="0.25">
      <c r="F268" s="70"/>
      <c r="G268" s="70"/>
      <c r="H268" s="70"/>
      <c r="I268" s="70"/>
    </row>
    <row r="269" spans="3:9" x14ac:dyDescent="0.25">
      <c r="F269" s="70"/>
      <c r="G269" s="70"/>
      <c r="H269" s="70"/>
      <c r="I269" s="70"/>
    </row>
    <row r="270" spans="3:9" x14ac:dyDescent="0.25">
      <c r="F270" s="70"/>
      <c r="G270" s="70"/>
      <c r="H270" s="70"/>
      <c r="I270" s="70"/>
    </row>
    <row r="271" spans="3:9" x14ac:dyDescent="0.25">
      <c r="G271" s="2"/>
      <c r="H271" s="2"/>
    </row>
    <row r="272" spans="3:9" x14ac:dyDescent="0.25">
      <c r="G272" s="2"/>
      <c r="H272" s="2"/>
    </row>
    <row r="273" spans="7:8" x14ac:dyDescent="0.25">
      <c r="G273" s="2"/>
      <c r="H273" s="2"/>
    </row>
    <row r="274" spans="7:8" x14ac:dyDescent="0.25">
      <c r="G274" s="2"/>
      <c r="H274" s="2"/>
    </row>
    <row r="275" spans="7:8" x14ac:dyDescent="0.25">
      <c r="G275" s="2"/>
      <c r="H275" s="2"/>
    </row>
    <row r="276" spans="7:8" x14ac:dyDescent="0.25">
      <c r="G276" s="2"/>
      <c r="H276" s="2"/>
    </row>
    <row r="277" spans="7:8" x14ac:dyDescent="0.25">
      <c r="G277" s="2"/>
      <c r="H277" s="2"/>
    </row>
    <row r="278" spans="7:8" x14ac:dyDescent="0.25">
      <c r="G278" s="2"/>
      <c r="H278" s="2"/>
    </row>
    <row r="279" spans="7:8" x14ac:dyDescent="0.25">
      <c r="G279" s="2"/>
      <c r="H279" s="2"/>
    </row>
    <row r="280" spans="7:8" x14ac:dyDescent="0.25">
      <c r="G280" s="2"/>
      <c r="H280" s="2"/>
    </row>
    <row r="281" spans="7:8" x14ac:dyDescent="0.25">
      <c r="G281" s="2"/>
      <c r="H281" s="2"/>
    </row>
    <row r="282" spans="7:8" x14ac:dyDescent="0.25">
      <c r="G282" s="2"/>
      <c r="H282" s="2"/>
    </row>
    <row r="283" spans="7:8" x14ac:dyDescent="0.25">
      <c r="G283" s="2"/>
      <c r="H283" s="2"/>
    </row>
    <row r="284" spans="7:8" x14ac:dyDescent="0.25">
      <c r="G284" s="2"/>
      <c r="H284" s="2"/>
    </row>
    <row r="285" spans="7:8" x14ac:dyDescent="0.25">
      <c r="G285" s="2"/>
      <c r="H285" s="2"/>
    </row>
    <row r="286" spans="7:8" x14ac:dyDescent="0.25">
      <c r="G286" s="2"/>
      <c r="H286" s="2"/>
    </row>
    <row r="2604" spans="7:9" s="2" customFormat="1" x14ac:dyDescent="0.25">
      <c r="G2604" s="5"/>
      <c r="H2604" s="5"/>
      <c r="I2604" s="29"/>
    </row>
  </sheetData>
  <pageMargins left="0.75" right="0.75" top="1" bottom="1" header="0.5" footer="0.5"/>
  <pageSetup paperSize="9" scale="76" fitToHeight="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8C8B0-F98C-4E43-91A9-CD5CB95AC8CB}">
  <dimension ref="A1:R428"/>
  <sheetViews>
    <sheetView zoomScale="89" zoomScaleNormal="89" workbookViewId="0">
      <pane ySplit="3" topLeftCell="A4" activePane="bottomLeft" state="frozen"/>
      <selection pane="bottomLeft" activeCell="C1" sqref="C1"/>
    </sheetView>
  </sheetViews>
  <sheetFormatPr defaultRowHeight="12.75" x14ac:dyDescent="0.2"/>
  <cols>
    <col min="1" max="1" width="17.7109375" style="12" customWidth="1"/>
    <col min="3" max="3" width="46.42578125" style="13" bestFit="1" customWidth="1"/>
    <col min="4" max="5" width="15.42578125" style="14" bestFit="1" customWidth="1"/>
    <col min="6" max="6" width="15.42578125" style="14" customWidth="1"/>
    <col min="7" max="7" width="13.7109375" style="14" customWidth="1"/>
    <col min="8" max="8" width="15.85546875" style="14" bestFit="1" customWidth="1"/>
    <col min="9" max="9" width="16" style="209" customWidth="1"/>
    <col min="10" max="10" width="3.85546875" style="82" customWidth="1"/>
    <col min="11" max="11" width="16.140625" bestFit="1" customWidth="1"/>
    <col min="12" max="12" width="4.140625" customWidth="1"/>
    <col min="13" max="13" width="8.85546875" customWidth="1"/>
    <col min="14" max="14" width="15.85546875" style="48" bestFit="1" customWidth="1"/>
    <col min="15" max="15" width="15.85546875" bestFit="1" customWidth="1"/>
    <col min="16" max="17" width="13.140625" bestFit="1" customWidth="1"/>
    <col min="18" max="18" width="13.85546875" bestFit="1" customWidth="1"/>
  </cols>
  <sheetData>
    <row r="1" spans="1:18" x14ac:dyDescent="0.2">
      <c r="A1" s="333"/>
      <c r="B1" s="334"/>
      <c r="C1" s="349" t="str">
        <f>Criteria!E14</f>
        <v>SEAFRONT RESTAURANT</v>
      </c>
      <c r="D1" s="350"/>
      <c r="E1" s="350"/>
      <c r="F1" s="335"/>
      <c r="G1" s="336" t="s">
        <v>176</v>
      </c>
      <c r="H1" s="336"/>
      <c r="I1" s="337">
        <f>Criteria!E22</f>
        <v>2024</v>
      </c>
      <c r="J1" s="337"/>
      <c r="K1" s="337">
        <f>Criteria!E27</f>
        <v>2023</v>
      </c>
      <c r="L1" s="334"/>
      <c r="M1" s="334"/>
      <c r="N1" s="337">
        <f>Criteria!E22</f>
        <v>2024</v>
      </c>
      <c r="O1" s="337">
        <f>Criteria!E27</f>
        <v>2023</v>
      </c>
      <c r="P1" s="68"/>
    </row>
    <row r="2" spans="1:18" x14ac:dyDescent="0.2">
      <c r="A2" s="338" t="s">
        <v>1055</v>
      </c>
      <c r="B2" s="334"/>
      <c r="C2" s="334"/>
      <c r="D2" s="518">
        <f>D400-E400</f>
        <v>0</v>
      </c>
      <c r="E2" s="518"/>
      <c r="F2" s="340" t="s">
        <v>450</v>
      </c>
      <c r="G2" s="335">
        <f>G400</f>
        <v>0</v>
      </c>
      <c r="H2" s="335">
        <f>D2-E2</f>
        <v>0</v>
      </c>
      <c r="I2" s="342">
        <f>I400</f>
        <v>0</v>
      </c>
      <c r="J2" s="343"/>
      <c r="K2" s="344">
        <f>K400</f>
        <v>0</v>
      </c>
      <c r="L2" s="334"/>
      <c r="M2" s="334"/>
      <c r="N2" s="321" t="s">
        <v>347</v>
      </c>
      <c r="O2" s="321" t="s">
        <v>347</v>
      </c>
      <c r="P2" s="69"/>
    </row>
    <row r="3" spans="1:18" x14ac:dyDescent="0.2">
      <c r="A3" s="338" t="s">
        <v>596</v>
      </c>
      <c r="B3" s="351" t="s">
        <v>232</v>
      </c>
      <c r="C3" s="345" t="s">
        <v>233</v>
      </c>
      <c r="D3" s="338" t="s">
        <v>234</v>
      </c>
      <c r="E3" s="338" t="s">
        <v>235</v>
      </c>
      <c r="F3" s="346" t="s">
        <v>144</v>
      </c>
      <c r="G3" s="333"/>
      <c r="H3" s="333"/>
      <c r="I3" s="327"/>
      <c r="J3" s="348"/>
      <c r="K3" s="334"/>
      <c r="L3" s="334"/>
      <c r="M3" s="334"/>
      <c r="N3" s="344">
        <f>SUM(I6:I175)</f>
        <v>0</v>
      </c>
      <c r="O3" s="344">
        <f>SUM(K6:K175)</f>
        <v>0</v>
      </c>
    </row>
    <row r="4" spans="1:18" x14ac:dyDescent="0.2">
      <c r="A4" s="161"/>
      <c r="B4" s="164"/>
      <c r="C4" s="61" t="s">
        <v>946</v>
      </c>
      <c r="D4" s="161"/>
      <c r="E4" s="161"/>
      <c r="F4" s="83"/>
      <c r="G4" s="11"/>
      <c r="H4" s="11"/>
      <c r="I4" s="207"/>
      <c r="J4" s="65"/>
      <c r="N4" s="49"/>
    </row>
    <row r="5" spans="1:18" x14ac:dyDescent="0.2">
      <c r="A5" s="160"/>
      <c r="B5" s="60" t="s">
        <v>236</v>
      </c>
      <c r="C5" s="316" t="s">
        <v>237</v>
      </c>
      <c r="D5" s="90"/>
      <c r="E5" s="57"/>
      <c r="F5" s="57"/>
      <c r="G5" s="44"/>
      <c r="H5" s="44"/>
      <c r="I5" s="207"/>
      <c r="J5" s="65"/>
      <c r="K5" s="52" t="s">
        <v>233</v>
      </c>
      <c r="N5" s="49"/>
    </row>
    <row r="6" spans="1:18" x14ac:dyDescent="0.2">
      <c r="A6" s="315"/>
      <c r="B6" s="10" t="s">
        <v>238</v>
      </c>
      <c r="C6" s="317" t="s">
        <v>164</v>
      </c>
      <c r="D6" s="356"/>
      <c r="E6" s="356"/>
      <c r="F6" s="86"/>
      <c r="G6" s="53">
        <f>SUMIF(JournalsA!D$14:D$920,TrialBalanceA!M6,JournalsA!J$14:J$920)+SUMIF(JournalsA!E$14:E$920,TrialBalanceA!M6,JournalsA!J$14:J$920)</f>
        <v>0</v>
      </c>
      <c r="H6" s="363"/>
      <c r="I6" s="332">
        <f t="shared" ref="I6:I38" si="0">ROUND(D6-E6+G6+F6,0)</f>
        <v>0</v>
      </c>
      <c r="J6" s="81"/>
      <c r="K6" s="54">
        <f t="shared" ref="K6:K69" si="1">ROUND(SUM(A6),0)</f>
        <v>0</v>
      </c>
      <c r="M6" s="192" t="str">
        <f t="shared" ref="M6:M69" si="2">CONCATENATE(B6,C6)</f>
        <v>1000/001Sales</v>
      </c>
      <c r="N6" s="76"/>
      <c r="P6" s="77"/>
      <c r="Q6" s="57"/>
      <c r="R6" s="31"/>
    </row>
    <row r="7" spans="1:18" x14ac:dyDescent="0.2">
      <c r="A7" s="315"/>
      <c r="B7" s="60" t="s">
        <v>239</v>
      </c>
      <c r="C7" s="317" t="s">
        <v>240</v>
      </c>
      <c r="D7" s="357"/>
      <c r="E7" s="356"/>
      <c r="F7" s="86"/>
      <c r="G7" s="53">
        <f>SUMIF(JournalsA!D$14:D$920,TrialBalanceA!M7,JournalsA!J$14:J$920)+SUMIF(JournalsA!E$14:E$920,TrialBalanceA!M7,JournalsA!J$14:J$920)</f>
        <v>0</v>
      </c>
      <c r="H7" s="363"/>
      <c r="I7" s="332">
        <f t="shared" si="0"/>
        <v>0</v>
      </c>
      <c r="J7" s="81"/>
      <c r="K7" s="54">
        <f t="shared" si="1"/>
        <v>0</v>
      </c>
      <c r="M7" s="192" t="str">
        <f t="shared" si="2"/>
        <v>1000/002Sales 2</v>
      </c>
      <c r="N7" s="76"/>
      <c r="P7" s="77"/>
      <c r="Q7" s="57"/>
      <c r="R7" s="31"/>
    </row>
    <row r="8" spans="1:18" x14ac:dyDescent="0.2">
      <c r="A8" s="315"/>
      <c r="B8" s="60" t="s">
        <v>241</v>
      </c>
      <c r="C8" s="318" t="s">
        <v>365</v>
      </c>
      <c r="D8" s="348"/>
      <c r="E8" s="356"/>
      <c r="F8" s="86"/>
      <c r="G8" s="53">
        <f>SUMIF(JournalsA!D$14:D$920,TrialBalanceA!M8,JournalsA!J$14:J$920)+SUMIF(JournalsA!E$14:E$920,TrialBalanceA!M8,JournalsA!J$14:J$920)</f>
        <v>0</v>
      </c>
      <c r="H8" s="363"/>
      <c r="I8" s="332">
        <f t="shared" si="0"/>
        <v>0</v>
      </c>
      <c r="J8" s="81"/>
      <c r="K8" s="54">
        <f t="shared" si="1"/>
        <v>0</v>
      </c>
      <c r="M8" s="192" t="str">
        <f t="shared" si="2"/>
        <v>1000/003Rent received</v>
      </c>
      <c r="N8" s="76"/>
      <c r="P8" s="77"/>
      <c r="Q8" s="57"/>
      <c r="R8" s="31"/>
    </row>
    <row r="9" spans="1:18" x14ac:dyDescent="0.2">
      <c r="A9" s="315"/>
      <c r="B9" s="60" t="s">
        <v>242</v>
      </c>
      <c r="C9" s="316" t="s">
        <v>121</v>
      </c>
      <c r="D9" s="358"/>
      <c r="E9" s="356"/>
      <c r="F9" s="86"/>
      <c r="G9" s="53">
        <f>SUMIF(JournalsA!D$14:D$920,TrialBalanceA!M9,JournalsA!J$14:J$920)+SUMIF(JournalsA!E$14:E$920,TrialBalanceA!M9,JournalsA!J$14:J$920)</f>
        <v>0</v>
      </c>
      <c r="H9" s="363"/>
      <c r="I9" s="332">
        <f t="shared" si="0"/>
        <v>0</v>
      </c>
      <c r="J9" s="81"/>
      <c r="K9" s="54">
        <f t="shared" si="1"/>
        <v>0</v>
      </c>
      <c r="M9" s="192" t="str">
        <f t="shared" si="2"/>
        <v>2000/000COST OF SALES</v>
      </c>
      <c r="N9" s="76"/>
      <c r="P9" s="77"/>
      <c r="Q9" s="57"/>
      <c r="R9" s="31"/>
    </row>
    <row r="10" spans="1:18" x14ac:dyDescent="0.2">
      <c r="A10" s="315"/>
      <c r="B10" s="60" t="s">
        <v>243</v>
      </c>
      <c r="C10" s="319" t="s">
        <v>629</v>
      </c>
      <c r="D10" s="359"/>
      <c r="E10" s="356"/>
      <c r="F10" s="86"/>
      <c r="G10" s="53">
        <f>SUMIF(JournalsA!D$14:D$920,TrialBalanceA!M10,JournalsA!J$14:J$920)+SUMIF(JournalsA!E$14:E$920,TrialBalanceA!M10,JournalsA!J$14:J$920)</f>
        <v>0</v>
      </c>
      <c r="H10" s="363"/>
      <c r="I10" s="332">
        <f t="shared" si="0"/>
        <v>0</v>
      </c>
      <c r="J10" s="81"/>
      <c r="K10" s="54">
        <f t="shared" si="1"/>
        <v>0</v>
      </c>
      <c r="M10" s="192" t="str">
        <f t="shared" si="2"/>
        <v>2000/001Opening stock - Raw materials</v>
      </c>
      <c r="N10" s="76"/>
      <c r="P10" s="77"/>
      <c r="Q10" s="57"/>
      <c r="R10" s="31"/>
    </row>
    <row r="11" spans="1:18" x14ac:dyDescent="0.2">
      <c r="A11" s="315"/>
      <c r="B11" s="60" t="s">
        <v>393</v>
      </c>
      <c r="C11" s="317" t="s">
        <v>394</v>
      </c>
      <c r="D11" s="357"/>
      <c r="E11" s="356"/>
      <c r="F11" s="86"/>
      <c r="G11" s="53">
        <f>SUMIF(JournalsA!D$14:D$920,TrialBalanceA!M11,JournalsA!J$14:J$920)+SUMIF(JournalsA!E$14:E$920,TrialBalanceA!M11,JournalsA!J$14:J$920)</f>
        <v>0</v>
      </c>
      <c r="H11" s="363"/>
      <c r="I11" s="332">
        <f t="shared" si="0"/>
        <v>0</v>
      </c>
      <c r="J11" s="81"/>
      <c r="K11" s="54">
        <f t="shared" si="1"/>
        <v>0</v>
      </c>
      <c r="M11" s="192" t="str">
        <f t="shared" si="2"/>
        <v>2000/002Opening stock - WIP</v>
      </c>
      <c r="N11" s="76"/>
      <c r="P11" s="77"/>
      <c r="Q11" s="57"/>
      <c r="R11" s="31"/>
    </row>
    <row r="12" spans="1:18" x14ac:dyDescent="0.2">
      <c r="A12" s="315"/>
      <c r="B12" s="60" t="s">
        <v>395</v>
      </c>
      <c r="C12" s="317" t="s">
        <v>396</v>
      </c>
      <c r="D12" s="357"/>
      <c r="E12" s="356"/>
      <c r="F12" s="86"/>
      <c r="G12" s="53">
        <f>SUMIF(JournalsA!D$14:D$920,TrialBalanceA!M12,JournalsA!J$14:J$920)+SUMIF(JournalsA!E$14:E$920,TrialBalanceA!M12,JournalsA!J$14:J$920)</f>
        <v>0</v>
      </c>
      <c r="H12" s="363"/>
      <c r="I12" s="332">
        <f t="shared" si="0"/>
        <v>0</v>
      </c>
      <c r="J12" s="81"/>
      <c r="K12" s="54">
        <f t="shared" si="1"/>
        <v>0</v>
      </c>
      <c r="M12" s="192" t="str">
        <f t="shared" si="2"/>
        <v>2000/003Opening stock - Finished goods</v>
      </c>
      <c r="N12" s="76"/>
      <c r="P12" s="77"/>
      <c r="Q12" s="57"/>
      <c r="R12" s="31"/>
    </row>
    <row r="13" spans="1:18" x14ac:dyDescent="0.2">
      <c r="A13" s="315"/>
      <c r="B13" s="60" t="s">
        <v>397</v>
      </c>
      <c r="C13" s="317" t="s">
        <v>398</v>
      </c>
      <c r="D13" s="357"/>
      <c r="E13" s="356"/>
      <c r="F13" s="86"/>
      <c r="G13" s="53">
        <f>SUMIF(JournalsA!D$14:D$920,TrialBalanceA!M13,JournalsA!J$14:J$920)+SUMIF(JournalsA!E$14:E$920,TrialBalanceA!M13,JournalsA!J$14:J$920)</f>
        <v>0</v>
      </c>
      <c r="H13" s="363"/>
      <c r="I13" s="332">
        <f t="shared" si="0"/>
        <v>0</v>
      </c>
      <c r="J13" s="81"/>
      <c r="K13" s="54">
        <f t="shared" si="1"/>
        <v>0</v>
      </c>
      <c r="M13" s="192" t="str">
        <f t="shared" si="2"/>
        <v>2000/004Opening stock - Trading stock</v>
      </c>
      <c r="N13" s="76"/>
      <c r="P13" s="77"/>
      <c r="Q13" s="57"/>
      <c r="R13" s="31"/>
    </row>
    <row r="14" spans="1:18" x14ac:dyDescent="0.2">
      <c r="A14" s="315"/>
      <c r="B14" s="10" t="s">
        <v>399</v>
      </c>
      <c r="C14" s="317" t="s">
        <v>276</v>
      </c>
      <c r="D14" s="357"/>
      <c r="E14" s="356"/>
      <c r="F14" s="86"/>
      <c r="G14" s="53">
        <f>SUMIF(JournalsA!D$14:D$920,TrialBalanceA!M14,JournalsA!J$14:J$920)+SUMIF(JournalsA!E$14:E$920,TrialBalanceA!M14,JournalsA!J$14:J$920)</f>
        <v>0</v>
      </c>
      <c r="H14" s="363"/>
      <c r="I14" s="332">
        <f t="shared" si="0"/>
        <v>0</v>
      </c>
      <c r="J14" s="81"/>
      <c r="K14" s="54">
        <f t="shared" si="1"/>
        <v>0</v>
      </c>
      <c r="M14" s="192" t="str">
        <f t="shared" si="2"/>
        <v>2000/010Purchases</v>
      </c>
      <c r="N14" s="76"/>
      <c r="P14" s="77"/>
      <c r="Q14" s="57"/>
      <c r="R14" s="31"/>
    </row>
    <row r="15" spans="1:18" x14ac:dyDescent="0.2">
      <c r="A15" s="315"/>
      <c r="B15" s="10" t="s">
        <v>400</v>
      </c>
      <c r="C15" s="352"/>
      <c r="D15" s="348"/>
      <c r="E15" s="356"/>
      <c r="F15" s="86"/>
      <c r="G15" s="53">
        <f>SUMIF(JournalsA!D$14:D$920,TrialBalanceA!M15,JournalsA!J$14:J$920)+SUMIF(JournalsA!E$14:E$920,TrialBalanceA!M15,JournalsA!J$14:J$920)</f>
        <v>0</v>
      </c>
      <c r="H15" s="363"/>
      <c r="I15" s="332">
        <f t="shared" si="0"/>
        <v>0</v>
      </c>
      <c r="J15" s="81"/>
      <c r="K15" s="54">
        <f t="shared" si="1"/>
        <v>0</v>
      </c>
      <c r="M15" s="192" t="str">
        <f t="shared" si="2"/>
        <v>2000/011</v>
      </c>
      <c r="N15" s="76"/>
      <c r="O15" s="31"/>
      <c r="P15" s="77"/>
      <c r="Q15" s="57"/>
      <c r="R15" s="31"/>
    </row>
    <row r="16" spans="1:18" x14ac:dyDescent="0.2">
      <c r="A16" s="315"/>
      <c r="B16" s="60" t="s">
        <v>401</v>
      </c>
      <c r="C16" s="352"/>
      <c r="D16" s="348"/>
      <c r="E16" s="356"/>
      <c r="F16" s="86"/>
      <c r="G16" s="53">
        <f>SUMIF(JournalsA!D$14:D$920,TrialBalanceA!M16,JournalsA!J$14:J$920)+SUMIF(JournalsA!E$14:E$920,TrialBalanceA!M16,JournalsA!J$14:J$920)</f>
        <v>0</v>
      </c>
      <c r="H16" s="363"/>
      <c r="I16" s="332">
        <f t="shared" si="0"/>
        <v>0</v>
      </c>
      <c r="J16" s="81"/>
      <c r="K16" s="54">
        <f t="shared" si="1"/>
        <v>0</v>
      </c>
      <c r="M16" s="192" t="str">
        <f t="shared" si="2"/>
        <v>2000/012</v>
      </c>
      <c r="N16" s="76"/>
      <c r="P16" s="77"/>
      <c r="Q16" s="57"/>
      <c r="R16" s="31"/>
    </row>
    <row r="17" spans="1:18" x14ac:dyDescent="0.2">
      <c r="A17" s="315"/>
      <c r="B17" s="60" t="s">
        <v>402</v>
      </c>
      <c r="C17" s="353"/>
      <c r="D17" s="348"/>
      <c r="E17" s="356"/>
      <c r="F17" s="86"/>
      <c r="G17" s="53">
        <f>SUMIF(JournalsA!D$14:D$920,TrialBalanceA!M17,JournalsA!J$14:J$920)+SUMIF(JournalsA!E$14:E$920,TrialBalanceA!M17,JournalsA!J$14:J$920)</f>
        <v>0</v>
      </c>
      <c r="H17" s="363"/>
      <c r="I17" s="332">
        <f t="shared" si="0"/>
        <v>0</v>
      </c>
      <c r="J17" s="81"/>
      <c r="K17" s="54">
        <f t="shared" si="1"/>
        <v>0</v>
      </c>
      <c r="M17" s="192" t="str">
        <f t="shared" si="2"/>
        <v>2000/013</v>
      </c>
      <c r="N17" s="76"/>
      <c r="P17" s="77"/>
      <c r="Q17" s="57"/>
      <c r="R17" s="31"/>
    </row>
    <row r="18" spans="1:18" x14ac:dyDescent="0.2">
      <c r="A18" s="315"/>
      <c r="B18" s="60" t="s">
        <v>403</v>
      </c>
      <c r="C18" s="353"/>
      <c r="D18" s="348"/>
      <c r="E18" s="356"/>
      <c r="F18" s="86"/>
      <c r="G18" s="53">
        <f>SUMIF(JournalsA!D$14:D$920,TrialBalanceA!M18,JournalsA!J$14:J$920)+SUMIF(JournalsA!E$14:E$920,TrialBalanceA!M18,JournalsA!J$14:J$920)</f>
        <v>0</v>
      </c>
      <c r="H18" s="363"/>
      <c r="I18" s="332">
        <f t="shared" si="0"/>
        <v>0</v>
      </c>
      <c r="J18" s="81"/>
      <c r="K18" s="54">
        <f t="shared" si="1"/>
        <v>0</v>
      </c>
      <c r="M18" s="192" t="str">
        <f t="shared" si="2"/>
        <v>2000/014</v>
      </c>
      <c r="N18" s="76"/>
      <c r="P18" s="77"/>
      <c r="Q18" s="57"/>
      <c r="R18" s="31"/>
    </row>
    <row r="19" spans="1:18" x14ac:dyDescent="0.2">
      <c r="A19" s="315"/>
      <c r="B19" s="60" t="s">
        <v>404</v>
      </c>
      <c r="C19" s="353"/>
      <c r="D19" s="348"/>
      <c r="E19" s="356"/>
      <c r="F19" s="86"/>
      <c r="G19" s="53">
        <f>SUMIF(JournalsA!D$14:D$920,TrialBalanceA!M19,JournalsA!J$14:J$920)+SUMIF(JournalsA!E$14:E$920,TrialBalanceA!M19,JournalsA!J$14:J$920)</f>
        <v>0</v>
      </c>
      <c r="H19" s="363"/>
      <c r="I19" s="332">
        <f t="shared" si="0"/>
        <v>0</v>
      </c>
      <c r="J19" s="81"/>
      <c r="K19" s="54">
        <f t="shared" si="1"/>
        <v>0</v>
      </c>
      <c r="M19" s="192" t="str">
        <f t="shared" si="2"/>
        <v>2000/015</v>
      </c>
      <c r="N19" s="76"/>
      <c r="P19" s="77"/>
      <c r="Q19" s="57"/>
      <c r="R19" s="31"/>
    </row>
    <row r="20" spans="1:18" x14ac:dyDescent="0.2">
      <c r="A20" s="315"/>
      <c r="B20" s="60" t="s">
        <v>405</v>
      </c>
      <c r="C20" s="317" t="s">
        <v>406</v>
      </c>
      <c r="D20" s="357"/>
      <c r="E20" s="356"/>
      <c r="F20" s="86"/>
      <c r="G20" s="53">
        <f>SUMIF(JournalsA!D$14:D$920,TrialBalanceA!M20,JournalsA!J$14:J$920)+SUMIF(JournalsA!E$14:E$920,TrialBalanceA!M20,JournalsA!J$14:J$920)</f>
        <v>0</v>
      </c>
      <c r="H20" s="363"/>
      <c r="I20" s="332">
        <f t="shared" si="0"/>
        <v>0</v>
      </c>
      <c r="J20" s="81"/>
      <c r="K20" s="54">
        <f t="shared" si="1"/>
        <v>0</v>
      </c>
      <c r="M20" s="192" t="str">
        <f t="shared" si="2"/>
        <v>2000/050Closing stock - Raw materials</v>
      </c>
      <c r="N20" s="76"/>
      <c r="P20" s="77"/>
      <c r="Q20" s="57"/>
      <c r="R20" s="31"/>
    </row>
    <row r="21" spans="1:18" x14ac:dyDescent="0.2">
      <c r="A21" s="315"/>
      <c r="B21" s="60" t="s">
        <v>407</v>
      </c>
      <c r="C21" s="317" t="s">
        <v>408</v>
      </c>
      <c r="D21" s="357"/>
      <c r="E21" s="356"/>
      <c r="F21" s="86"/>
      <c r="G21" s="53">
        <f>SUMIF(JournalsA!D$14:D$920,TrialBalanceA!M21,JournalsA!J$14:J$920)+SUMIF(JournalsA!E$14:E$920,TrialBalanceA!M21,JournalsA!J$14:J$920)</f>
        <v>0</v>
      </c>
      <c r="H21" s="363"/>
      <c r="I21" s="332">
        <f t="shared" si="0"/>
        <v>0</v>
      </c>
      <c r="J21" s="81"/>
      <c r="K21" s="54">
        <f t="shared" si="1"/>
        <v>0</v>
      </c>
      <c r="M21" s="192" t="str">
        <f t="shared" si="2"/>
        <v>2000/051Closing stock - WIP</v>
      </c>
      <c r="N21" s="76"/>
      <c r="P21" s="77"/>
      <c r="Q21" s="57"/>
      <c r="R21" s="31"/>
    </row>
    <row r="22" spans="1:18" x14ac:dyDescent="0.2">
      <c r="A22" s="315"/>
      <c r="B22" s="60" t="s">
        <v>409</v>
      </c>
      <c r="C22" s="317" t="s">
        <v>410</v>
      </c>
      <c r="D22" s="357"/>
      <c r="E22" s="356"/>
      <c r="F22" s="86"/>
      <c r="G22" s="53">
        <f>SUMIF(JournalsA!D$14:D$920,TrialBalanceA!M22,JournalsA!J$14:J$920)+SUMIF(JournalsA!E$14:E$920,TrialBalanceA!M22,JournalsA!J$14:J$920)</f>
        <v>0</v>
      </c>
      <c r="H22" s="363"/>
      <c r="I22" s="332">
        <f t="shared" si="0"/>
        <v>0</v>
      </c>
      <c r="J22" s="81"/>
      <c r="K22" s="54">
        <f t="shared" si="1"/>
        <v>0</v>
      </c>
      <c r="M22" s="192" t="str">
        <f t="shared" si="2"/>
        <v>2000/052Closing stock - Finished goods</v>
      </c>
      <c r="N22" s="76"/>
      <c r="P22" s="77"/>
      <c r="Q22" s="57"/>
      <c r="R22" s="31"/>
    </row>
    <row r="23" spans="1:18" x14ac:dyDescent="0.2">
      <c r="A23" s="315"/>
      <c r="B23" s="60" t="s">
        <v>411</v>
      </c>
      <c r="C23" s="317" t="s">
        <v>412</v>
      </c>
      <c r="D23" s="357"/>
      <c r="E23" s="356"/>
      <c r="F23" s="86"/>
      <c r="G23" s="53">
        <f>SUMIF(JournalsA!D$14:D$920,TrialBalanceA!M23,JournalsA!J$14:J$920)+SUMIF(JournalsA!E$14:E$920,TrialBalanceA!M23,JournalsA!J$14:J$920)</f>
        <v>0</v>
      </c>
      <c r="H23" s="363"/>
      <c r="I23" s="332">
        <f t="shared" si="0"/>
        <v>0</v>
      </c>
      <c r="J23" s="81"/>
      <c r="K23" s="54">
        <f t="shared" si="1"/>
        <v>0</v>
      </c>
      <c r="M23" s="192" t="str">
        <f t="shared" si="2"/>
        <v>2000/053Closing stock - Trading stock</v>
      </c>
      <c r="N23" s="76"/>
      <c r="P23" s="77"/>
      <c r="Q23" s="57"/>
      <c r="R23" s="31"/>
    </row>
    <row r="24" spans="1:18" x14ac:dyDescent="0.2">
      <c r="A24" s="315"/>
      <c r="B24" s="62" t="s">
        <v>320</v>
      </c>
      <c r="C24" s="321" t="s">
        <v>319</v>
      </c>
      <c r="D24" s="346"/>
      <c r="E24" s="356"/>
      <c r="F24" s="86"/>
      <c r="G24" s="53">
        <f>SUMIF(JournalsA!D$14:D$920,TrialBalanceA!M24,JournalsA!J$14:J$920)+SUMIF(JournalsA!E$14:E$920,TrialBalanceA!M24,JournalsA!J$14:J$920)</f>
        <v>0</v>
      </c>
      <c r="H24" s="363"/>
      <c r="I24" s="332">
        <f t="shared" si="0"/>
        <v>0</v>
      </c>
      <c r="J24" s="81"/>
      <c r="K24" s="54">
        <f t="shared" si="1"/>
        <v>0</v>
      </c>
      <c r="M24" s="192" t="str">
        <f t="shared" si="2"/>
        <v>2050/000OTHER OPERATING INCOME</v>
      </c>
      <c r="N24" s="76"/>
      <c r="P24" s="77"/>
      <c r="Q24" s="57"/>
      <c r="R24" s="31"/>
    </row>
    <row r="25" spans="1:18" x14ac:dyDescent="0.2">
      <c r="A25" s="315"/>
      <c r="B25" s="62" t="s">
        <v>321</v>
      </c>
      <c r="C25" s="318" t="str">
        <f>CONCATENATE("Insurance claims - ",Criteria!H14)</f>
        <v>Insurance claims - Seafront Restaurant</v>
      </c>
      <c r="D25" s="356"/>
      <c r="E25" s="356"/>
      <c r="F25" s="86"/>
      <c r="G25" s="53">
        <f>SUMIF(JournalsA!D$14:D$920,TrialBalanceA!M25,JournalsA!J$14:J$920)+SUMIF(JournalsA!E$14:E$920,TrialBalanceA!M25,JournalsA!J$14:J$920)</f>
        <v>0</v>
      </c>
      <c r="H25" s="363"/>
      <c r="I25" s="332">
        <f t="shared" si="0"/>
        <v>0</v>
      </c>
      <c r="J25" s="81"/>
      <c r="K25" s="54">
        <f t="shared" si="1"/>
        <v>0</v>
      </c>
      <c r="M25" s="192" t="str">
        <f t="shared" si="2"/>
        <v>2050/001Insurance claims - Seafront Restaurant</v>
      </c>
      <c r="N25" s="76"/>
      <c r="P25" s="77"/>
      <c r="Q25" s="57"/>
      <c r="R25" s="31"/>
    </row>
    <row r="26" spans="1:18" x14ac:dyDescent="0.2">
      <c r="A26" s="315"/>
      <c r="B26" s="62" t="s">
        <v>322</v>
      </c>
      <c r="C26" s="318" t="s">
        <v>809</v>
      </c>
      <c r="D26" s="356"/>
      <c r="E26" s="356"/>
      <c r="F26" s="86"/>
      <c r="G26" s="53">
        <f>SUMIF(JournalsA!D$14:D$920,TrialBalanceA!M26,JournalsA!J$14:J$920)+SUMIF(JournalsA!E$14:E$920,TrialBalanceA!M26,JournalsA!J$14:J$920)</f>
        <v>0</v>
      </c>
      <c r="H26" s="363"/>
      <c r="I26" s="332">
        <f t="shared" si="0"/>
        <v>0</v>
      </c>
      <c r="J26" s="81"/>
      <c r="K26" s="54">
        <f t="shared" si="1"/>
        <v>0</v>
      </c>
      <c r="M26" s="192" t="str">
        <f t="shared" si="2"/>
        <v>2050/002Government grants received</v>
      </c>
      <c r="N26" s="76"/>
      <c r="P26" s="77"/>
      <c r="Q26" s="57"/>
      <c r="R26" s="31"/>
    </row>
    <row r="27" spans="1:18" x14ac:dyDescent="0.2">
      <c r="A27" s="315"/>
      <c r="B27" s="62" t="s">
        <v>323</v>
      </c>
      <c r="C27" s="353"/>
      <c r="D27" s="348"/>
      <c r="E27" s="356"/>
      <c r="F27" s="86"/>
      <c r="G27" s="53">
        <f>SUMIF(JournalsA!D$14:D$920,TrialBalanceA!M27,JournalsA!J$14:J$920)+SUMIF(JournalsA!E$14:E$920,TrialBalanceA!M27,JournalsA!J$14:J$920)</f>
        <v>0</v>
      </c>
      <c r="H27" s="363"/>
      <c r="I27" s="332">
        <f t="shared" si="0"/>
        <v>0</v>
      </c>
      <c r="J27" s="81"/>
      <c r="K27" s="54">
        <f t="shared" si="1"/>
        <v>0</v>
      </c>
      <c r="M27" s="192" t="str">
        <f t="shared" si="2"/>
        <v>2050/003</v>
      </c>
      <c r="N27" s="76"/>
      <c r="P27" s="77"/>
      <c r="Q27" s="57"/>
      <c r="R27" s="31"/>
    </row>
    <row r="28" spans="1:18" x14ac:dyDescent="0.2">
      <c r="A28" s="315"/>
      <c r="B28" s="62" t="s">
        <v>324</v>
      </c>
      <c r="C28" s="353"/>
      <c r="D28" s="348"/>
      <c r="E28" s="356"/>
      <c r="F28" s="86"/>
      <c r="G28" s="53">
        <f>SUMIF(JournalsA!D$14:D$920,TrialBalanceA!M28,JournalsA!J$14:J$920)+SUMIF(JournalsA!E$14:E$920,TrialBalanceA!M28,JournalsA!J$14:J$920)</f>
        <v>0</v>
      </c>
      <c r="H28" s="363"/>
      <c r="I28" s="332">
        <f t="shared" si="0"/>
        <v>0</v>
      </c>
      <c r="J28" s="81"/>
      <c r="K28" s="54">
        <f t="shared" si="1"/>
        <v>0</v>
      </c>
      <c r="M28" s="192" t="str">
        <f t="shared" si="2"/>
        <v>2050/004</v>
      </c>
      <c r="N28" s="76"/>
      <c r="P28" s="77"/>
      <c r="Q28" s="57"/>
      <c r="R28" s="31"/>
    </row>
    <row r="29" spans="1:18" x14ac:dyDescent="0.2">
      <c r="A29" s="315"/>
      <c r="B29" s="62" t="s">
        <v>325</v>
      </c>
      <c r="C29" s="353"/>
      <c r="D29" s="348"/>
      <c r="E29" s="356"/>
      <c r="F29" s="86"/>
      <c r="G29" s="53">
        <f>SUMIF(JournalsA!D$14:D$920,TrialBalanceA!M29,JournalsA!J$14:J$920)+SUMIF(JournalsA!E$14:E$920,TrialBalanceA!M29,JournalsA!J$14:J$920)</f>
        <v>0</v>
      </c>
      <c r="H29" s="363"/>
      <c r="I29" s="332">
        <f t="shared" si="0"/>
        <v>0</v>
      </c>
      <c r="J29" s="81"/>
      <c r="K29" s="54">
        <f t="shared" si="1"/>
        <v>0</v>
      </c>
      <c r="M29" s="192" t="str">
        <f t="shared" si="2"/>
        <v>2050/005</v>
      </c>
      <c r="N29" s="76"/>
      <c r="P29" s="77"/>
      <c r="Q29" s="57"/>
      <c r="R29" s="31"/>
    </row>
    <row r="30" spans="1:18" x14ac:dyDescent="0.2">
      <c r="A30" s="315"/>
      <c r="B30" s="49" t="s">
        <v>1156</v>
      </c>
      <c r="C30" s="318" t="s">
        <v>1157</v>
      </c>
      <c r="D30" s="348"/>
      <c r="E30" s="356"/>
      <c r="F30" s="86"/>
      <c r="G30" s="53">
        <f>SUMIF(JournalsA!D$14:D$920,TrialBalanceA!M30,JournalsA!J$14:J$920)+SUMIF(JournalsA!E$14:E$920,TrialBalanceA!M30,JournalsA!J$14:J$920)</f>
        <v>0</v>
      </c>
      <c r="H30" s="363"/>
      <c r="I30" s="332">
        <f t="shared" ref="I30" si="3">ROUND(D30-E30+G30+F30,0)</f>
        <v>0</v>
      </c>
      <c r="J30" s="81"/>
      <c r="K30" s="54">
        <f t="shared" ref="K30" si="4">ROUND(SUM(A30),0)</f>
        <v>0</v>
      </c>
      <c r="M30" s="192" t="str">
        <f t="shared" ref="M30" si="5">CONCATENATE(B30,C30)</f>
        <v>2050/006Recoupment of depreciation</v>
      </c>
      <c r="N30" s="76"/>
      <c r="P30" s="77"/>
      <c r="Q30" s="57"/>
      <c r="R30" s="31"/>
    </row>
    <row r="31" spans="1:18" x14ac:dyDescent="0.2">
      <c r="A31" s="315"/>
      <c r="B31" s="49" t="s">
        <v>631</v>
      </c>
      <c r="C31" s="321" t="s">
        <v>630</v>
      </c>
      <c r="D31" s="346"/>
      <c r="E31" s="356"/>
      <c r="F31" s="86"/>
      <c r="G31" s="53">
        <f>SUMIF(JournalsA!D$14:D$920,TrialBalanceA!M31,JournalsA!J$14:J$920)+SUMIF(JournalsA!E$14:E$920,TrialBalanceA!M31,JournalsA!J$14:J$920)</f>
        <v>0</v>
      </c>
      <c r="H31" s="363"/>
      <c r="I31" s="332">
        <f t="shared" si="0"/>
        <v>0</v>
      </c>
      <c r="J31" s="81"/>
      <c r="K31" s="54">
        <f t="shared" si="1"/>
        <v>0</v>
      </c>
      <c r="M31" s="192" t="str">
        <f t="shared" si="2"/>
        <v>2060/000NET (PROFIT)/LOSS OTHER</v>
      </c>
      <c r="N31" s="76"/>
      <c r="P31" s="77"/>
      <c r="Q31" s="57"/>
      <c r="R31" s="31"/>
    </row>
    <row r="32" spans="1:18" x14ac:dyDescent="0.2">
      <c r="A32" s="315"/>
      <c r="B32" s="49" t="s">
        <v>544</v>
      </c>
      <c r="C32" s="318"/>
      <c r="D32" s="360"/>
      <c r="E32" s="356"/>
      <c r="F32" s="86"/>
      <c r="G32" s="53">
        <f>SUMIF(JournalsA!D$14:D$920,TrialBalanceA!M32,JournalsA!J$14:J$920)+SUMIF(JournalsA!E$14:E$920,TrialBalanceA!M32,JournalsA!J$14:J$920)</f>
        <v>0</v>
      </c>
      <c r="H32" s="363"/>
      <c r="I32" s="332">
        <f t="shared" si="0"/>
        <v>0</v>
      </c>
      <c r="J32" s="81"/>
      <c r="K32" s="54">
        <f t="shared" si="1"/>
        <v>0</v>
      </c>
      <c r="M32" s="192" t="str">
        <f t="shared" si="2"/>
        <v>2060/001</v>
      </c>
      <c r="N32" s="76"/>
      <c r="P32" s="77"/>
      <c r="Q32" s="57"/>
      <c r="R32" s="31"/>
    </row>
    <row r="33" spans="1:18" x14ac:dyDescent="0.2">
      <c r="A33" s="315"/>
      <c r="B33" s="49" t="s">
        <v>545</v>
      </c>
      <c r="C33" s="323"/>
      <c r="D33" s="360"/>
      <c r="E33" s="356"/>
      <c r="F33" s="86"/>
      <c r="G33" s="53">
        <f>SUMIF(JournalsA!D$14:D$920,TrialBalanceA!M33,JournalsA!J$14:J$920)+SUMIF(JournalsA!E$14:E$920,TrialBalanceA!M33,JournalsA!J$14:J$920)</f>
        <v>0</v>
      </c>
      <c r="H33" s="363"/>
      <c r="I33" s="332">
        <f t="shared" si="0"/>
        <v>0</v>
      </c>
      <c r="J33" s="81"/>
      <c r="K33" s="54">
        <f t="shared" si="1"/>
        <v>0</v>
      </c>
      <c r="M33" s="192" t="str">
        <f t="shared" si="2"/>
        <v>2060/002</v>
      </c>
      <c r="N33" s="76"/>
      <c r="P33" s="77"/>
      <c r="Q33" s="57"/>
      <c r="R33" s="31"/>
    </row>
    <row r="34" spans="1:18" x14ac:dyDescent="0.2">
      <c r="A34" s="315"/>
      <c r="B34" s="49" t="s">
        <v>546</v>
      </c>
      <c r="C34" s="323"/>
      <c r="D34" s="360"/>
      <c r="E34" s="356"/>
      <c r="F34" s="86"/>
      <c r="G34" s="53">
        <f>SUMIF(JournalsA!D$14:D$920,TrialBalanceA!M34,JournalsA!J$14:J$920)+SUMIF(JournalsA!E$14:E$920,TrialBalanceA!M34,JournalsA!J$14:J$920)</f>
        <v>0</v>
      </c>
      <c r="H34" s="363"/>
      <c r="I34" s="332">
        <f t="shared" si="0"/>
        <v>0</v>
      </c>
      <c r="J34" s="81"/>
      <c r="K34" s="54">
        <f t="shared" si="1"/>
        <v>0</v>
      </c>
      <c r="M34" s="192" t="str">
        <f t="shared" si="2"/>
        <v>2060/003</v>
      </c>
      <c r="N34" s="76"/>
      <c r="P34" s="77"/>
      <c r="Q34" s="57"/>
      <c r="R34" s="31"/>
    </row>
    <row r="35" spans="1:18" x14ac:dyDescent="0.2">
      <c r="A35" s="315"/>
      <c r="B35" s="49" t="s">
        <v>547</v>
      </c>
      <c r="C35" s="323"/>
      <c r="D35" s="348"/>
      <c r="E35" s="356"/>
      <c r="F35" s="86"/>
      <c r="G35" s="53">
        <f>SUMIF(JournalsA!D$14:D$920,TrialBalanceA!M35,JournalsA!J$14:J$920)+SUMIF(JournalsA!E$14:E$920,TrialBalanceA!M35,JournalsA!J$14:J$920)</f>
        <v>0</v>
      </c>
      <c r="H35" s="363"/>
      <c r="I35" s="332">
        <f t="shared" si="0"/>
        <v>0</v>
      </c>
      <c r="J35" s="81"/>
      <c r="K35" s="54">
        <f t="shared" si="1"/>
        <v>0</v>
      </c>
      <c r="M35" s="192" t="str">
        <f t="shared" si="2"/>
        <v>2060/004</v>
      </c>
      <c r="N35" s="76"/>
      <c r="P35" s="77"/>
      <c r="Q35" s="57"/>
      <c r="R35" s="31"/>
    </row>
    <row r="36" spans="1:18" x14ac:dyDescent="0.2">
      <c r="A36" s="315"/>
      <c r="B36" s="60" t="s">
        <v>413</v>
      </c>
      <c r="C36" s="316" t="s">
        <v>1050</v>
      </c>
      <c r="D36" s="358"/>
      <c r="E36" s="356"/>
      <c r="F36" s="86"/>
      <c r="G36" s="53">
        <f>SUMIF(JournalsA!D$14:D$920,TrialBalanceA!M36,JournalsA!J$14:J$920)+SUMIF(JournalsA!E$14:E$920,TrialBalanceA!M36,JournalsA!J$14:J$920)</f>
        <v>0</v>
      </c>
      <c r="H36" s="363"/>
      <c r="I36" s="332">
        <f t="shared" si="0"/>
        <v>0</v>
      </c>
      <c r="J36" s="81"/>
      <c r="K36" s="54">
        <f t="shared" si="1"/>
        <v>0</v>
      </c>
      <c r="M36" s="192" t="str">
        <f t="shared" si="2"/>
        <v>2100/000OPERATING EXPENSES</v>
      </c>
      <c r="N36" s="76"/>
      <c r="P36" s="77"/>
      <c r="Q36" s="57"/>
      <c r="R36" s="31"/>
    </row>
    <row r="37" spans="1:18" x14ac:dyDescent="0.2">
      <c r="A37" s="315"/>
      <c r="B37" s="60" t="s">
        <v>414</v>
      </c>
      <c r="C37" s="317" t="s">
        <v>277</v>
      </c>
      <c r="D37" s="357"/>
      <c r="E37" s="356"/>
      <c r="F37" s="86"/>
      <c r="G37" s="53">
        <f>SUMIF(JournalsA!D$14:D$920,TrialBalanceA!M37,JournalsA!J$14:J$920)+SUMIF(JournalsA!E$14:E$920,TrialBalanceA!M37,JournalsA!J$14:J$920)</f>
        <v>0</v>
      </c>
      <c r="H37" s="363"/>
      <c r="I37" s="332">
        <f t="shared" si="0"/>
        <v>0</v>
      </c>
      <c r="J37" s="81"/>
      <c r="K37" s="54">
        <f t="shared" si="1"/>
        <v>0</v>
      </c>
      <c r="M37" s="192" t="str">
        <f t="shared" si="2"/>
        <v>2100/001Advertising</v>
      </c>
      <c r="N37" s="76"/>
      <c r="P37" s="77"/>
      <c r="Q37" s="57"/>
      <c r="R37" s="31"/>
    </row>
    <row r="38" spans="1:18" x14ac:dyDescent="0.2">
      <c r="A38" s="315"/>
      <c r="B38" s="60" t="s">
        <v>415</v>
      </c>
      <c r="C38" s="319" t="s">
        <v>702</v>
      </c>
      <c r="D38" s="359"/>
      <c r="E38" s="356"/>
      <c r="F38" s="86"/>
      <c r="G38" s="53">
        <f>SUMIF(JournalsA!D$14:D$920,TrialBalanceA!M38,JournalsA!J$14:J$920)+SUMIF(JournalsA!E$14:E$920,TrialBalanceA!M38,JournalsA!J$14:J$920)</f>
        <v>0</v>
      </c>
      <c r="H38" s="363"/>
      <c r="I38" s="332">
        <f t="shared" si="0"/>
        <v>0</v>
      </c>
      <c r="J38" s="81"/>
      <c r="K38" s="54">
        <f t="shared" si="1"/>
        <v>0</v>
      </c>
      <c r="M38" s="192" t="str">
        <f t="shared" si="2"/>
        <v>2100/010Assets less than R7,000</v>
      </c>
      <c r="N38" s="76"/>
      <c r="P38" s="77"/>
      <c r="Q38" s="57"/>
      <c r="R38" s="31"/>
    </row>
    <row r="39" spans="1:18" x14ac:dyDescent="0.2">
      <c r="A39" s="315"/>
      <c r="B39" s="60" t="s">
        <v>416</v>
      </c>
      <c r="C39" s="317" t="s">
        <v>278</v>
      </c>
      <c r="D39" s="357"/>
      <c r="E39" s="356"/>
      <c r="F39" s="86"/>
      <c r="G39" s="53">
        <f>SUMIF(JournalsA!D$14:D$920,TrialBalanceA!M39,JournalsA!J$14:J$920)+SUMIF(JournalsA!E$14:E$920,TrialBalanceA!M39,JournalsA!J$14:J$920)</f>
        <v>0</v>
      </c>
      <c r="H39" s="363"/>
      <c r="I39" s="332">
        <f t="shared" ref="I39:I69" si="6">ROUND(D39-E39+G39+F39,0)</f>
        <v>0</v>
      </c>
      <c r="J39" s="81"/>
      <c r="K39" s="54">
        <f t="shared" si="1"/>
        <v>0</v>
      </c>
      <c r="M39" s="192" t="str">
        <f t="shared" si="2"/>
        <v>2100/020Consumables</v>
      </c>
      <c r="N39" s="76"/>
      <c r="P39" s="77"/>
      <c r="Q39" s="57"/>
      <c r="R39" s="31"/>
    </row>
    <row r="40" spans="1:18" x14ac:dyDescent="0.2">
      <c r="A40" s="315"/>
      <c r="B40" s="60" t="s">
        <v>417</v>
      </c>
      <c r="C40" s="316" t="s">
        <v>613</v>
      </c>
      <c r="D40" s="358"/>
      <c r="E40" s="356"/>
      <c r="F40" s="86"/>
      <c r="G40" s="53">
        <f>SUMIF(JournalsA!D$14:D$920,TrialBalanceA!M40,JournalsA!J$14:J$920)+SUMIF(JournalsA!E$14:E$920,TrialBalanceA!M40,JournalsA!J$14:J$920)</f>
        <v>0</v>
      </c>
      <c r="H40" s="363"/>
      <c r="I40" s="332">
        <f t="shared" si="6"/>
        <v>0</v>
      </c>
      <c r="J40" s="81"/>
      <c r="K40" s="54">
        <f t="shared" si="1"/>
        <v>0</v>
      </c>
      <c r="M40" s="192" t="str">
        <f t="shared" si="2"/>
        <v>2100/030Depreciation--------------------------------------------------</v>
      </c>
      <c r="N40" s="76"/>
      <c r="P40" s="77"/>
      <c r="Q40" s="57"/>
      <c r="R40" s="31"/>
    </row>
    <row r="41" spans="1:18" x14ac:dyDescent="0.2">
      <c r="A41" s="315"/>
      <c r="B41" s="60" t="s">
        <v>419</v>
      </c>
      <c r="C41" s="319" t="s">
        <v>1128</v>
      </c>
      <c r="D41" s="357"/>
      <c r="E41" s="356"/>
      <c r="F41" s="86"/>
      <c r="G41" s="53">
        <f>SUMIF(JournalsA!D$14:D$920,TrialBalanceA!M41,JournalsA!J$14:J$920)+SUMIF(JournalsA!E$14:E$920,TrialBalanceA!M41,JournalsA!J$14:J$920)</f>
        <v>0</v>
      </c>
      <c r="H41" s="363"/>
      <c r="I41" s="332">
        <f t="shared" si="6"/>
        <v>0</v>
      </c>
      <c r="J41" s="81"/>
      <c r="K41" s="54">
        <f t="shared" si="1"/>
        <v>0</v>
      </c>
      <c r="M41" s="192" t="str">
        <f t="shared" si="2"/>
        <v>2100/031Depr - Property</v>
      </c>
      <c r="N41" s="76"/>
      <c r="P41" s="77"/>
      <c r="Q41" s="57"/>
      <c r="R41" s="31"/>
    </row>
    <row r="42" spans="1:18" x14ac:dyDescent="0.2">
      <c r="A42" s="315"/>
      <c r="B42" s="60" t="s">
        <v>420</v>
      </c>
      <c r="C42" s="319" t="s">
        <v>762</v>
      </c>
      <c r="D42" s="357"/>
      <c r="E42" s="356"/>
      <c r="F42" s="86"/>
      <c r="G42" s="53">
        <f>SUMIF(JournalsA!D$14:D$920,TrialBalanceA!M42,JournalsA!J$14:J$920)+SUMIF(JournalsA!E$14:E$920,TrialBalanceA!M42,JournalsA!J$14:J$920)</f>
        <v>0</v>
      </c>
      <c r="H42" s="363"/>
      <c r="I42" s="332">
        <f t="shared" si="6"/>
        <v>0</v>
      </c>
      <c r="J42" s="81"/>
      <c r="K42" s="54">
        <f t="shared" si="1"/>
        <v>0</v>
      </c>
      <c r="M42" s="192" t="str">
        <f t="shared" si="2"/>
        <v>2100/032Depr - Plant and machinery</v>
      </c>
      <c r="N42" s="76"/>
      <c r="P42" s="77"/>
      <c r="Q42" s="57"/>
      <c r="R42" s="31"/>
    </row>
    <row r="43" spans="1:18" x14ac:dyDescent="0.2">
      <c r="A43" s="315"/>
      <c r="B43" s="60" t="s">
        <v>58</v>
      </c>
      <c r="C43" s="317" t="s">
        <v>59</v>
      </c>
      <c r="D43" s="357"/>
      <c r="E43" s="356"/>
      <c r="F43" s="86"/>
      <c r="G43" s="53">
        <f>SUMIF(JournalsA!D$14:D$920,TrialBalanceA!M43,JournalsA!J$14:J$920)+SUMIF(JournalsA!E$14:E$920,TrialBalanceA!M43,JournalsA!J$14:J$920)</f>
        <v>0</v>
      </c>
      <c r="H43" s="363"/>
      <c r="I43" s="332">
        <f t="shared" si="6"/>
        <v>0</v>
      </c>
      <c r="J43" s="81"/>
      <c r="K43" s="54">
        <f t="shared" si="1"/>
        <v>0</v>
      </c>
      <c r="M43" s="192" t="str">
        <f t="shared" si="2"/>
        <v>2100/033Depr - Motor vehicles</v>
      </c>
      <c r="N43" s="76"/>
      <c r="P43" s="77"/>
      <c r="Q43" s="57"/>
      <c r="R43" s="31"/>
    </row>
    <row r="44" spans="1:18" x14ac:dyDescent="0.2">
      <c r="A44" s="315"/>
      <c r="B44" s="60" t="s">
        <v>61</v>
      </c>
      <c r="C44" s="317" t="s">
        <v>62</v>
      </c>
      <c r="D44" s="357"/>
      <c r="E44" s="356"/>
      <c r="F44" s="86"/>
      <c r="G44" s="53">
        <f>SUMIF(JournalsA!D$14:D$920,TrialBalanceA!M44,JournalsA!J$14:J$920)+SUMIF(JournalsA!E$14:E$920,TrialBalanceA!M44,JournalsA!J$14:J$920)</f>
        <v>0</v>
      </c>
      <c r="H44" s="363"/>
      <c r="I44" s="332">
        <f t="shared" si="6"/>
        <v>0</v>
      </c>
      <c r="J44" s="81"/>
      <c r="K44" s="54">
        <f t="shared" si="1"/>
        <v>0</v>
      </c>
      <c r="M44" s="192" t="str">
        <f t="shared" si="2"/>
        <v>2100/040Discounts allowed</v>
      </c>
      <c r="N44" s="76"/>
      <c r="P44" s="77"/>
      <c r="Q44" s="57"/>
      <c r="R44" s="31"/>
    </row>
    <row r="45" spans="1:18" x14ac:dyDescent="0.2">
      <c r="A45" s="315"/>
      <c r="B45" s="60" t="s">
        <v>63</v>
      </c>
      <c r="C45" s="319" t="s">
        <v>733</v>
      </c>
      <c r="D45" s="357"/>
      <c r="E45" s="356"/>
      <c r="F45" s="86"/>
      <c r="G45" s="53">
        <f>SUMIF(JournalsA!D$14:D$920,TrialBalanceA!M45,JournalsA!J$14:J$920)+SUMIF(JournalsA!E$14:E$920,TrialBalanceA!M45,JournalsA!J$14:J$920)</f>
        <v>0</v>
      </c>
      <c r="H45" s="363"/>
      <c r="I45" s="332">
        <f t="shared" si="6"/>
        <v>0</v>
      </c>
      <c r="J45" s="81"/>
      <c r="K45" s="54">
        <f t="shared" si="1"/>
        <v>0</v>
      </c>
      <c r="M45" s="192" t="str">
        <f t="shared" si="2"/>
        <v>2100/050Electricity and water</v>
      </c>
      <c r="N45" s="76"/>
      <c r="P45" s="77"/>
      <c r="Q45" s="57"/>
      <c r="R45" s="31"/>
    </row>
    <row r="46" spans="1:18" x14ac:dyDescent="0.2">
      <c r="A46" s="315"/>
      <c r="B46" s="60" t="s">
        <v>64</v>
      </c>
      <c r="C46" s="317" t="s">
        <v>68</v>
      </c>
      <c r="D46" s="357"/>
      <c r="E46" s="356"/>
      <c r="F46" s="86"/>
      <c r="G46" s="53">
        <f>SUMIF(JournalsA!D$14:D$920,TrialBalanceA!M46,JournalsA!J$14:J$920)+SUMIF(JournalsA!E$14:E$920,TrialBalanceA!M46,JournalsA!J$14:J$920)</f>
        <v>0</v>
      </c>
      <c r="H46" s="363"/>
      <c r="I46" s="332">
        <f t="shared" si="6"/>
        <v>0</v>
      </c>
      <c r="J46" s="81"/>
      <c r="K46" s="54">
        <f t="shared" si="1"/>
        <v>0</v>
      </c>
      <c r="M46" s="192" t="str">
        <f t="shared" si="2"/>
        <v>2100/055Equipment lease</v>
      </c>
      <c r="N46" s="76"/>
      <c r="P46" s="77"/>
      <c r="Q46" s="57"/>
      <c r="R46" s="31"/>
    </row>
    <row r="47" spans="1:18" x14ac:dyDescent="0.2">
      <c r="A47" s="315"/>
      <c r="B47" s="60" t="s">
        <v>69</v>
      </c>
      <c r="C47" s="317" t="s">
        <v>280</v>
      </c>
      <c r="D47" s="357"/>
      <c r="E47" s="356"/>
      <c r="F47" s="86"/>
      <c r="G47" s="53">
        <f>SUMIF(JournalsA!D$14:D$920,TrialBalanceA!M47,JournalsA!J$14:J$920)+SUMIF(JournalsA!E$14:E$920,TrialBalanceA!M47,JournalsA!J$14:J$920)</f>
        <v>0</v>
      </c>
      <c r="H47" s="363"/>
      <c r="I47" s="332">
        <f t="shared" si="6"/>
        <v>0</v>
      </c>
      <c r="J47" s="81"/>
      <c r="K47" s="54">
        <f t="shared" si="1"/>
        <v>0</v>
      </c>
      <c r="M47" s="192" t="str">
        <f t="shared" si="2"/>
        <v>2100/060Insurance</v>
      </c>
      <c r="N47" s="76"/>
      <c r="P47" s="57"/>
      <c r="Q47" s="57"/>
      <c r="R47" s="31"/>
    </row>
    <row r="48" spans="1:18" x14ac:dyDescent="0.2">
      <c r="A48" s="315"/>
      <c r="B48" s="60" t="s">
        <v>451</v>
      </c>
      <c r="C48" s="317" t="s">
        <v>184</v>
      </c>
      <c r="D48" s="357"/>
      <c r="E48" s="356"/>
      <c r="F48" s="86"/>
      <c r="G48" s="53">
        <f>SUMIF(JournalsA!D$14:D$920,TrialBalanceA!M48,JournalsA!J$14:J$920)+SUMIF(JournalsA!E$14:E$920,TrialBalanceA!M48,JournalsA!J$14:J$920)</f>
        <v>0</v>
      </c>
      <c r="H48" s="363"/>
      <c r="I48" s="332">
        <f t="shared" si="6"/>
        <v>0</v>
      </c>
      <c r="J48" s="81"/>
      <c r="K48" s="54">
        <f t="shared" si="1"/>
        <v>0</v>
      </c>
      <c r="M48" s="192" t="str">
        <f t="shared" si="2"/>
        <v>2100/071Levies - SDL</v>
      </c>
      <c r="N48" s="76"/>
      <c r="P48" s="77"/>
      <c r="Q48" s="57"/>
      <c r="R48" s="31"/>
    </row>
    <row r="49" spans="1:18" x14ac:dyDescent="0.2">
      <c r="A49" s="315"/>
      <c r="B49" s="60" t="s">
        <v>185</v>
      </c>
      <c r="C49" s="317" t="s">
        <v>186</v>
      </c>
      <c r="D49" s="357"/>
      <c r="E49" s="356"/>
      <c r="F49" s="86"/>
      <c r="G49" s="53">
        <f>SUMIF(JournalsA!D$14:D$920,TrialBalanceA!M49,JournalsA!J$14:J$920)+SUMIF(JournalsA!E$14:E$920,TrialBalanceA!M49,JournalsA!J$14:J$920)</f>
        <v>0</v>
      </c>
      <c r="H49" s="363"/>
      <c r="I49" s="332">
        <f t="shared" si="6"/>
        <v>0</v>
      </c>
      <c r="J49" s="81"/>
      <c r="K49" s="54">
        <f t="shared" si="1"/>
        <v>0</v>
      </c>
      <c r="M49" s="192" t="str">
        <f t="shared" si="2"/>
        <v>2100/072Levies - other</v>
      </c>
      <c r="N49" s="76"/>
      <c r="P49" s="77"/>
      <c r="Q49" s="57"/>
      <c r="R49" s="31"/>
    </row>
    <row r="50" spans="1:18" x14ac:dyDescent="0.2">
      <c r="A50" s="315"/>
      <c r="B50" s="60" t="s">
        <v>187</v>
      </c>
      <c r="C50" s="323" t="s">
        <v>354</v>
      </c>
      <c r="D50" s="348"/>
      <c r="E50" s="356"/>
      <c r="F50" s="86"/>
      <c r="G50" s="53">
        <f>SUMIF(JournalsA!D$14:D$920,TrialBalanceA!M50,JournalsA!J$14:J$920)+SUMIF(JournalsA!E$14:E$920,TrialBalanceA!M50,JournalsA!J$14:J$920)</f>
        <v>0</v>
      </c>
      <c r="H50" s="363"/>
      <c r="I50" s="332">
        <f t="shared" si="6"/>
        <v>0</v>
      </c>
      <c r="J50" s="81"/>
      <c r="K50" s="54">
        <f t="shared" si="1"/>
        <v>0</v>
      </c>
      <c r="M50" s="192" t="str">
        <f t="shared" si="2"/>
        <v>2100/080Trade licenses</v>
      </c>
      <c r="N50" s="76"/>
      <c r="P50" s="77"/>
      <c r="Q50" s="57"/>
      <c r="R50" s="31"/>
    </row>
    <row r="51" spans="1:18" x14ac:dyDescent="0.2">
      <c r="A51" s="315"/>
      <c r="B51" s="60" t="s">
        <v>188</v>
      </c>
      <c r="C51" s="316" t="s">
        <v>641</v>
      </c>
      <c r="D51" s="358"/>
      <c r="E51" s="356"/>
      <c r="F51" s="86"/>
      <c r="G51" s="53">
        <f>SUMIF(JournalsA!D$14:D$920,TrialBalanceA!M51,JournalsA!J$14:J$920)+SUMIF(JournalsA!E$14:E$920,TrialBalanceA!M51,JournalsA!J$14:J$920)</f>
        <v>0</v>
      </c>
      <c r="H51" s="363"/>
      <c r="I51" s="332">
        <f t="shared" si="6"/>
        <v>0</v>
      </c>
      <c r="J51" s="81"/>
      <c r="K51" s="54">
        <f t="shared" si="1"/>
        <v>0</v>
      </c>
      <c r="M51" s="192" t="str">
        <f t="shared" si="2"/>
        <v>2100/090Motor vehicle expenses----------------------------------</v>
      </c>
      <c r="N51" s="76"/>
      <c r="P51" s="77"/>
      <c r="Q51" s="57"/>
      <c r="R51" s="31"/>
    </row>
    <row r="52" spans="1:18" x14ac:dyDescent="0.2">
      <c r="A52" s="315"/>
      <c r="B52" s="60" t="s">
        <v>190</v>
      </c>
      <c r="C52" s="317" t="s">
        <v>191</v>
      </c>
      <c r="D52" s="357"/>
      <c r="E52" s="356"/>
      <c r="F52" s="86"/>
      <c r="G52" s="53">
        <f>SUMIF(JournalsA!D$14:D$920,TrialBalanceA!M52,JournalsA!J$14:J$920)+SUMIF(JournalsA!E$14:E$920,TrialBalanceA!M52,JournalsA!J$14:J$920)</f>
        <v>0</v>
      </c>
      <c r="H52" s="363"/>
      <c r="I52" s="332">
        <f t="shared" si="6"/>
        <v>0</v>
      </c>
      <c r="J52" s="81"/>
      <c r="K52" s="54">
        <f t="shared" si="1"/>
        <v>0</v>
      </c>
      <c r="M52" s="192" t="str">
        <f t="shared" si="2"/>
        <v>2100/091Motor vehicle expenses - Petrol and oil</v>
      </c>
      <c r="N52" s="76"/>
      <c r="P52" s="77"/>
      <c r="Q52" s="57"/>
      <c r="R52" s="31"/>
    </row>
    <row r="53" spans="1:18" x14ac:dyDescent="0.2">
      <c r="A53" s="315"/>
      <c r="B53" s="60" t="s">
        <v>192</v>
      </c>
      <c r="C53" s="317" t="s">
        <v>193</v>
      </c>
      <c r="D53" s="357"/>
      <c r="E53" s="356"/>
      <c r="F53" s="86"/>
      <c r="G53" s="53">
        <f>SUMIF(JournalsA!D$14:D$920,TrialBalanceA!M53,JournalsA!J$14:J$920)+SUMIF(JournalsA!E$14:E$920,TrialBalanceA!M53,JournalsA!J$14:J$920)</f>
        <v>0</v>
      </c>
      <c r="H53" s="363"/>
      <c r="I53" s="332">
        <f t="shared" si="6"/>
        <v>0</v>
      </c>
      <c r="J53" s="81"/>
      <c r="K53" s="54">
        <f t="shared" si="1"/>
        <v>0</v>
      </c>
      <c r="M53" s="192" t="str">
        <f t="shared" si="2"/>
        <v>2100/092Motor vehicle expenses - R&amp;M</v>
      </c>
      <c r="N53" s="76"/>
      <c r="P53" s="77"/>
      <c r="Q53" s="57"/>
      <c r="R53" s="31"/>
    </row>
    <row r="54" spans="1:18" x14ac:dyDescent="0.2">
      <c r="A54" s="315"/>
      <c r="B54" s="60" t="s">
        <v>194</v>
      </c>
      <c r="C54" s="317" t="s">
        <v>195</v>
      </c>
      <c r="D54" s="357"/>
      <c r="E54" s="356"/>
      <c r="F54" s="86"/>
      <c r="G54" s="53">
        <f>SUMIF(JournalsA!D$14:D$920,TrialBalanceA!M54,JournalsA!J$14:J$920)+SUMIF(JournalsA!E$14:E$920,TrialBalanceA!M54,JournalsA!J$14:J$920)</f>
        <v>0</v>
      </c>
      <c r="H54" s="363"/>
      <c r="I54" s="332">
        <f t="shared" si="6"/>
        <v>0</v>
      </c>
      <c r="J54" s="81"/>
      <c r="K54" s="54">
        <f t="shared" si="1"/>
        <v>0</v>
      </c>
      <c r="M54" s="192" t="str">
        <f t="shared" si="2"/>
        <v>2100/093Motor vehicle expenses - Insurance</v>
      </c>
      <c r="N54" s="76"/>
      <c r="P54" s="77"/>
      <c r="Q54" s="57"/>
      <c r="R54" s="31"/>
    </row>
    <row r="55" spans="1:18" x14ac:dyDescent="0.2">
      <c r="A55" s="315"/>
      <c r="B55" s="60" t="s">
        <v>196</v>
      </c>
      <c r="C55" s="318" t="s">
        <v>763</v>
      </c>
      <c r="D55" s="348"/>
      <c r="E55" s="356"/>
      <c r="F55" s="86"/>
      <c r="G55" s="53">
        <f>SUMIF(JournalsA!D$14:D$920,TrialBalanceA!M55,JournalsA!J$14:J$920)+SUMIF(JournalsA!E$14:E$920,TrialBalanceA!M55,JournalsA!J$14:J$920)</f>
        <v>0</v>
      </c>
      <c r="H55" s="363"/>
      <c r="I55" s="332">
        <f t="shared" si="6"/>
        <v>0</v>
      </c>
      <c r="J55" s="81"/>
      <c r="K55" s="54">
        <f t="shared" si="1"/>
        <v>0</v>
      </c>
      <c r="M55" s="192" t="str">
        <f t="shared" si="2"/>
        <v>2100/094Motor vehicle expenses - Licenses</v>
      </c>
      <c r="N55" s="76"/>
      <c r="P55" s="77"/>
      <c r="Q55" s="57"/>
      <c r="R55" s="31"/>
    </row>
    <row r="56" spans="1:18" x14ac:dyDescent="0.2">
      <c r="A56" s="315"/>
      <c r="B56" s="60" t="s">
        <v>197</v>
      </c>
      <c r="C56" s="319" t="s">
        <v>764</v>
      </c>
      <c r="D56" s="357"/>
      <c r="E56" s="356"/>
      <c r="F56" s="86"/>
      <c r="G56" s="53">
        <f>SUMIF(JournalsA!D$14:D$920,TrialBalanceA!M56,JournalsA!J$14:J$920)+SUMIF(JournalsA!E$14:E$920,TrialBalanceA!M56,JournalsA!J$14:J$920)</f>
        <v>0</v>
      </c>
      <c r="H56" s="363"/>
      <c r="I56" s="332">
        <f t="shared" si="6"/>
        <v>0</v>
      </c>
      <c r="J56" s="81"/>
      <c r="K56" s="54">
        <f t="shared" si="1"/>
        <v>0</v>
      </c>
      <c r="M56" s="192" t="str">
        <f t="shared" si="2"/>
        <v>2100/095Motor vehicle expenses - General</v>
      </c>
      <c r="N56" s="76"/>
      <c r="P56" s="77"/>
      <c r="Q56" s="57"/>
      <c r="R56" s="31"/>
    </row>
    <row r="57" spans="1:18" x14ac:dyDescent="0.2">
      <c r="A57" s="315"/>
      <c r="B57" s="60" t="s">
        <v>198</v>
      </c>
      <c r="C57" s="316" t="s">
        <v>199</v>
      </c>
      <c r="D57" s="358"/>
      <c r="E57" s="356"/>
      <c r="F57" s="86"/>
      <c r="G57" s="53">
        <f>SUMIF(JournalsA!D$14:D$920,TrialBalanceA!M57,JournalsA!J$14:J$920)+SUMIF(JournalsA!E$14:E$920,TrialBalanceA!M57,JournalsA!J$14:J$920)</f>
        <v>0</v>
      </c>
      <c r="H57" s="363"/>
      <c r="I57" s="332">
        <f t="shared" si="6"/>
        <v>0</v>
      </c>
      <c r="J57" s="81"/>
      <c r="K57" s="54">
        <f t="shared" si="1"/>
        <v>0</v>
      </c>
      <c r="M57" s="192" t="str">
        <f t="shared" si="2"/>
        <v>2100/100Rent paid-------------------------------</v>
      </c>
      <c r="N57" s="76"/>
      <c r="P57" s="77"/>
      <c r="Q57" s="57"/>
      <c r="R57" s="31"/>
    </row>
    <row r="58" spans="1:18" x14ac:dyDescent="0.2">
      <c r="A58" s="315"/>
      <c r="B58" s="60" t="s">
        <v>200</v>
      </c>
      <c r="C58" s="352"/>
      <c r="D58" s="356"/>
      <c r="E58" s="356"/>
      <c r="F58" s="86"/>
      <c r="G58" s="53">
        <f>SUMIF(JournalsA!D$14:D$920,TrialBalanceA!M58,JournalsA!J$14:J$920)+SUMIF(JournalsA!E$14:E$920,TrialBalanceA!M58,JournalsA!J$14:J$920)</f>
        <v>0</v>
      </c>
      <c r="H58" s="363"/>
      <c r="I58" s="332">
        <f t="shared" si="6"/>
        <v>0</v>
      </c>
      <c r="J58" s="81"/>
      <c r="K58" s="54">
        <f t="shared" si="1"/>
        <v>0</v>
      </c>
      <c r="M58" s="192" t="str">
        <f t="shared" si="2"/>
        <v>2100/101</v>
      </c>
      <c r="N58" s="76"/>
      <c r="P58" s="77"/>
      <c r="Q58" s="57"/>
      <c r="R58" s="31"/>
    </row>
    <row r="59" spans="1:18" x14ac:dyDescent="0.2">
      <c r="A59" s="315"/>
      <c r="B59" s="60" t="s">
        <v>201</v>
      </c>
      <c r="C59" s="353"/>
      <c r="D59" s="356"/>
      <c r="E59" s="356"/>
      <c r="F59" s="86"/>
      <c r="G59" s="53">
        <f>SUMIF(JournalsA!D$14:D$920,TrialBalanceA!M59,JournalsA!J$14:J$920)+SUMIF(JournalsA!E$14:E$920,TrialBalanceA!M59,JournalsA!J$14:J$920)</f>
        <v>0</v>
      </c>
      <c r="H59" s="363"/>
      <c r="I59" s="332">
        <f t="shared" si="6"/>
        <v>0</v>
      </c>
      <c r="J59" s="81"/>
      <c r="K59" s="54">
        <f t="shared" si="1"/>
        <v>0</v>
      </c>
      <c r="M59" s="192" t="str">
        <f t="shared" si="2"/>
        <v>2100/102</v>
      </c>
      <c r="N59" s="76"/>
      <c r="P59" s="77"/>
      <c r="Q59" s="57"/>
      <c r="R59" s="31"/>
    </row>
    <row r="60" spans="1:18" x14ac:dyDescent="0.2">
      <c r="A60" s="315"/>
      <c r="B60" s="60" t="s">
        <v>202</v>
      </c>
      <c r="C60" s="353"/>
      <c r="D60" s="348"/>
      <c r="E60" s="356"/>
      <c r="F60" s="86"/>
      <c r="G60" s="53">
        <f>SUMIF(JournalsA!D$14:D$920,TrialBalanceA!M60,JournalsA!J$14:J$920)+SUMIF(JournalsA!E$14:E$920,TrialBalanceA!M60,JournalsA!J$14:J$920)</f>
        <v>0</v>
      </c>
      <c r="H60" s="363"/>
      <c r="I60" s="332">
        <f t="shared" si="6"/>
        <v>0</v>
      </c>
      <c r="J60" s="81"/>
      <c r="K60" s="54">
        <f t="shared" si="1"/>
        <v>0</v>
      </c>
      <c r="M60" s="192" t="str">
        <f t="shared" si="2"/>
        <v>2100/103</v>
      </c>
      <c r="N60" s="76"/>
      <c r="P60" s="77"/>
      <c r="Q60" s="57"/>
      <c r="R60" s="31"/>
    </row>
    <row r="61" spans="1:18" x14ac:dyDescent="0.2">
      <c r="A61" s="315"/>
      <c r="B61" s="60" t="s">
        <v>203</v>
      </c>
      <c r="C61" s="317" t="s">
        <v>76</v>
      </c>
      <c r="D61" s="357"/>
      <c r="E61" s="356"/>
      <c r="F61" s="86"/>
      <c r="G61" s="53">
        <f>SUMIF(JournalsA!D$14:D$920,TrialBalanceA!M61,JournalsA!J$14:J$920)+SUMIF(JournalsA!E$14:E$920,TrialBalanceA!M61,JournalsA!J$14:J$920)</f>
        <v>0</v>
      </c>
      <c r="H61" s="363"/>
      <c r="I61" s="332">
        <f t="shared" si="6"/>
        <v>0</v>
      </c>
      <c r="J61" s="81"/>
      <c r="K61" s="54">
        <f t="shared" si="1"/>
        <v>0</v>
      </c>
      <c r="M61" s="192" t="str">
        <f t="shared" si="2"/>
        <v>2100/110Repairs and maintenance</v>
      </c>
      <c r="N61" s="76"/>
      <c r="P61" s="77"/>
      <c r="Q61" s="57"/>
      <c r="R61" s="31"/>
    </row>
    <row r="62" spans="1:18" x14ac:dyDescent="0.2">
      <c r="A62" s="315"/>
      <c r="B62" s="60" t="s">
        <v>77</v>
      </c>
      <c r="C62" s="317" t="s">
        <v>78</v>
      </c>
      <c r="D62" s="357"/>
      <c r="E62" s="356"/>
      <c r="F62" s="86"/>
      <c r="G62" s="53">
        <f>SUMIF(JournalsA!D$14:D$920,TrialBalanceA!M62,JournalsA!J$14:J$920)+SUMIF(JournalsA!E$14:E$920,TrialBalanceA!M62,JournalsA!J$14:J$920)</f>
        <v>0</v>
      </c>
      <c r="H62" s="363"/>
      <c r="I62" s="332">
        <f t="shared" si="6"/>
        <v>0</v>
      </c>
      <c r="J62" s="81"/>
      <c r="K62" s="54">
        <f t="shared" si="1"/>
        <v>0</v>
      </c>
      <c r="M62" s="192" t="str">
        <f t="shared" si="2"/>
        <v>2100/120Salaries</v>
      </c>
      <c r="N62" s="76"/>
      <c r="P62" s="77"/>
      <c r="Q62" s="57"/>
      <c r="R62" s="31"/>
    </row>
    <row r="63" spans="1:18" x14ac:dyDescent="0.2">
      <c r="A63" s="315"/>
      <c r="B63" s="60" t="s">
        <v>79</v>
      </c>
      <c r="C63" s="317" t="s">
        <v>80</v>
      </c>
      <c r="D63" s="357"/>
      <c r="E63" s="356"/>
      <c r="F63" s="86"/>
      <c r="G63" s="53">
        <f>SUMIF(JournalsA!D$14:D$920,TrialBalanceA!M63,JournalsA!J$14:J$920)+SUMIF(JournalsA!E$14:E$920,TrialBalanceA!M63,JournalsA!J$14:J$920)</f>
        <v>0</v>
      </c>
      <c r="H63" s="363"/>
      <c r="I63" s="332">
        <f t="shared" si="6"/>
        <v>0</v>
      </c>
      <c r="J63" s="81"/>
      <c r="K63" s="54">
        <f t="shared" si="1"/>
        <v>0</v>
      </c>
      <c r="M63" s="192" t="str">
        <f t="shared" si="2"/>
        <v>2100/121UIF - Employer</v>
      </c>
      <c r="N63" s="76"/>
      <c r="P63" s="77"/>
      <c r="Q63" s="57"/>
      <c r="R63" s="31"/>
    </row>
    <row r="64" spans="1:18" x14ac:dyDescent="0.2">
      <c r="A64" s="315"/>
      <c r="B64" s="60" t="s">
        <v>81</v>
      </c>
      <c r="C64" s="317" t="s">
        <v>82</v>
      </c>
      <c r="D64" s="357"/>
      <c r="E64" s="356"/>
      <c r="F64" s="86"/>
      <c r="G64" s="53">
        <f>SUMIF(JournalsA!D$14:D$920,TrialBalanceA!M64,JournalsA!J$14:J$920)+SUMIF(JournalsA!E$14:E$920,TrialBalanceA!M64,JournalsA!J$14:J$920)</f>
        <v>0</v>
      </c>
      <c r="H64" s="363"/>
      <c r="I64" s="332">
        <f t="shared" si="6"/>
        <v>0</v>
      </c>
      <c r="J64" s="81"/>
      <c r="K64" s="54">
        <f t="shared" si="1"/>
        <v>0</v>
      </c>
      <c r="M64" s="192" t="str">
        <f t="shared" si="2"/>
        <v>2100/122Casual wages</v>
      </c>
      <c r="N64" s="76"/>
      <c r="P64" s="77"/>
      <c r="Q64" s="57"/>
      <c r="R64" s="31"/>
    </row>
    <row r="65" spans="1:18" x14ac:dyDescent="0.2">
      <c r="A65" s="315"/>
      <c r="B65" s="60" t="s">
        <v>83</v>
      </c>
      <c r="C65" s="317" t="s">
        <v>84</v>
      </c>
      <c r="D65" s="357"/>
      <c r="E65" s="356"/>
      <c r="F65" s="86"/>
      <c r="G65" s="53">
        <f>SUMIF(JournalsA!D$14:D$920,TrialBalanceA!M65,JournalsA!J$14:J$920)+SUMIF(JournalsA!E$14:E$920,TrialBalanceA!M65,JournalsA!J$14:J$920)</f>
        <v>0</v>
      </c>
      <c r="H65" s="363"/>
      <c r="I65" s="332">
        <f t="shared" si="6"/>
        <v>0</v>
      </c>
      <c r="J65" s="81"/>
      <c r="K65" s="54">
        <f t="shared" si="1"/>
        <v>0</v>
      </c>
      <c r="M65" s="192" t="str">
        <f t="shared" si="2"/>
        <v>2100/130Telephone</v>
      </c>
      <c r="N65" s="76"/>
      <c r="P65" s="77"/>
      <c r="Q65" s="57"/>
      <c r="R65" s="31"/>
    </row>
    <row r="66" spans="1:18" x14ac:dyDescent="0.2">
      <c r="A66" s="315"/>
      <c r="B66" s="60" t="s">
        <v>85</v>
      </c>
      <c r="C66" s="317" t="s">
        <v>479</v>
      </c>
      <c r="D66" s="357"/>
      <c r="E66" s="356"/>
      <c r="F66" s="86"/>
      <c r="G66" s="53">
        <f>SUMIF(JournalsA!D$14:D$920,TrialBalanceA!M66,JournalsA!J$14:J$920)+SUMIF(JournalsA!E$14:E$920,TrialBalanceA!M66,JournalsA!J$14:J$920)</f>
        <v>0</v>
      </c>
      <c r="H66" s="363"/>
      <c r="I66" s="332">
        <f t="shared" si="6"/>
        <v>0</v>
      </c>
      <c r="J66" s="81"/>
      <c r="K66" s="54">
        <f t="shared" si="1"/>
        <v>0</v>
      </c>
      <c r="M66" s="192" t="str">
        <f t="shared" si="2"/>
        <v>2100/135Postage and courier</v>
      </c>
      <c r="N66" s="76"/>
      <c r="P66" s="77"/>
      <c r="Q66" s="57"/>
      <c r="R66" s="31"/>
    </row>
    <row r="67" spans="1:18" x14ac:dyDescent="0.2">
      <c r="A67" s="315"/>
      <c r="B67" s="60" t="s">
        <v>86</v>
      </c>
      <c r="C67" s="317" t="s">
        <v>255</v>
      </c>
      <c r="D67" s="357"/>
      <c r="E67" s="356"/>
      <c r="F67" s="86"/>
      <c r="G67" s="53">
        <f>SUMIF(JournalsA!D$14:D$920,TrialBalanceA!M67,JournalsA!J$14:J$920)+SUMIF(JournalsA!E$14:E$920,TrialBalanceA!M67,JournalsA!J$14:J$920)</f>
        <v>0</v>
      </c>
      <c r="H67" s="363"/>
      <c r="I67" s="332">
        <f t="shared" si="6"/>
        <v>0</v>
      </c>
      <c r="J67" s="81"/>
      <c r="K67" s="54">
        <f t="shared" si="1"/>
        <v>0</v>
      </c>
      <c r="M67" s="192" t="str">
        <f t="shared" si="2"/>
        <v>2100/140Training</v>
      </c>
      <c r="N67" s="76"/>
      <c r="P67" s="77"/>
      <c r="Q67" s="57"/>
      <c r="R67" s="31"/>
    </row>
    <row r="68" spans="1:18" x14ac:dyDescent="0.2">
      <c r="A68" s="315"/>
      <c r="B68" s="60" t="s">
        <v>87</v>
      </c>
      <c r="C68" s="318" t="s">
        <v>805</v>
      </c>
      <c r="D68" s="348"/>
      <c r="E68" s="356"/>
      <c r="F68" s="86"/>
      <c r="G68" s="53">
        <f>SUMIF(JournalsA!D$14:D$920,TrialBalanceA!M68,JournalsA!J$14:J$920)+SUMIF(JournalsA!E$14:E$920,TrialBalanceA!M68,JournalsA!J$14:J$920)</f>
        <v>0</v>
      </c>
      <c r="H68" s="363"/>
      <c r="I68" s="332">
        <f t="shared" si="6"/>
        <v>0</v>
      </c>
      <c r="J68" s="81"/>
      <c r="K68" s="54">
        <f t="shared" si="1"/>
        <v>0</v>
      </c>
      <c r="M68" s="192" t="str">
        <f t="shared" si="2"/>
        <v>2100/150Traveling and accommodation</v>
      </c>
      <c r="N68" s="76"/>
      <c r="P68" s="77"/>
      <c r="Q68" s="57"/>
      <c r="R68" s="31"/>
    </row>
    <row r="69" spans="1:18" x14ac:dyDescent="0.2">
      <c r="A69" s="315"/>
      <c r="B69" s="110" t="s">
        <v>597</v>
      </c>
      <c r="C69" s="352"/>
      <c r="D69" s="356"/>
      <c r="E69" s="356"/>
      <c r="F69" s="86"/>
      <c r="G69" s="53">
        <f>SUMIF(JournalsA!D$14:D$920,TrialBalanceA!M69,JournalsA!J$14:J$920)+SUMIF(JournalsA!E$14:E$920,TrialBalanceA!M69,JournalsA!J$14:J$920)</f>
        <v>0</v>
      </c>
      <c r="H69" s="363"/>
      <c r="I69" s="332">
        <f t="shared" si="6"/>
        <v>0</v>
      </c>
      <c r="J69" s="81"/>
      <c r="K69" s="54">
        <f t="shared" si="1"/>
        <v>0</v>
      </c>
      <c r="M69" s="192" t="str">
        <f t="shared" si="2"/>
        <v>2150/001</v>
      </c>
      <c r="N69" s="76"/>
      <c r="P69" s="77"/>
      <c r="Q69" s="57"/>
      <c r="R69" s="31"/>
    </row>
    <row r="70" spans="1:18" x14ac:dyDescent="0.2">
      <c r="A70" s="315"/>
      <c r="B70" s="110" t="s">
        <v>598</v>
      </c>
      <c r="C70" s="352"/>
      <c r="D70" s="356"/>
      <c r="E70" s="356"/>
      <c r="F70" s="86"/>
      <c r="G70" s="53">
        <f>SUMIF(JournalsA!D$14:D$920,TrialBalanceA!M70,JournalsA!J$14:J$920)+SUMIF(JournalsA!E$14:E$920,TrialBalanceA!M70,JournalsA!J$14:J$920)</f>
        <v>0</v>
      </c>
      <c r="H70" s="363"/>
      <c r="I70" s="332">
        <f t="shared" ref="I70:I88" si="7">ROUND(D70-E70+G70+F70,0)</f>
        <v>0</v>
      </c>
      <c r="J70" s="81"/>
      <c r="K70" s="54">
        <f t="shared" ref="K70:K123" si="8">ROUND(SUM(A70),0)</f>
        <v>0</v>
      </c>
      <c r="M70" s="192" t="str">
        <f t="shared" ref="M70:M123" si="9">CONCATENATE(B70,C70)</f>
        <v>2150/002</v>
      </c>
      <c r="N70" s="76"/>
      <c r="P70" s="77"/>
      <c r="Q70" s="57"/>
      <c r="R70" s="31"/>
    </row>
    <row r="71" spans="1:18" x14ac:dyDescent="0.2">
      <c r="A71" s="315"/>
      <c r="B71" s="110" t="s">
        <v>599</v>
      </c>
      <c r="C71" s="352"/>
      <c r="D71" s="356"/>
      <c r="E71" s="356"/>
      <c r="F71" s="86"/>
      <c r="G71" s="53">
        <f>SUMIF(JournalsA!D$14:D$920,TrialBalanceA!M71,JournalsA!J$14:J$920)+SUMIF(JournalsA!E$14:E$920,TrialBalanceA!M71,JournalsA!J$14:J$920)</f>
        <v>0</v>
      </c>
      <c r="H71" s="363"/>
      <c r="I71" s="332">
        <f t="shared" si="7"/>
        <v>0</v>
      </c>
      <c r="J71" s="81"/>
      <c r="K71" s="54">
        <f t="shared" si="8"/>
        <v>0</v>
      </c>
      <c r="M71" s="192" t="str">
        <f t="shared" si="9"/>
        <v>2150/003</v>
      </c>
      <c r="N71" s="76"/>
      <c r="P71" s="77"/>
      <c r="Q71" s="57"/>
      <c r="R71" s="31"/>
    </row>
    <row r="72" spans="1:18" x14ac:dyDescent="0.2">
      <c r="A72" s="315"/>
      <c r="B72" s="110" t="s">
        <v>600</v>
      </c>
      <c r="C72" s="352"/>
      <c r="D72" s="356"/>
      <c r="E72" s="356"/>
      <c r="F72" s="86"/>
      <c r="G72" s="53">
        <f>SUMIF(JournalsA!D$14:D$920,TrialBalanceA!M72,JournalsA!J$14:J$920)+SUMIF(JournalsA!E$14:E$920,TrialBalanceA!M72,JournalsA!J$14:J$920)</f>
        <v>0</v>
      </c>
      <c r="H72" s="363"/>
      <c r="I72" s="332">
        <f t="shared" si="7"/>
        <v>0</v>
      </c>
      <c r="J72" s="81"/>
      <c r="K72" s="54">
        <f t="shared" si="8"/>
        <v>0</v>
      </c>
      <c r="M72" s="192" t="str">
        <f t="shared" si="9"/>
        <v>2150/004</v>
      </c>
      <c r="N72" s="76"/>
      <c r="P72" s="77"/>
      <c r="Q72" s="57"/>
      <c r="R72" s="31"/>
    </row>
    <row r="73" spans="1:18" x14ac:dyDescent="0.2">
      <c r="A73" s="315"/>
      <c r="B73" s="110" t="s">
        <v>601</v>
      </c>
      <c r="C73" s="352"/>
      <c r="D73" s="356"/>
      <c r="E73" s="356"/>
      <c r="F73" s="86"/>
      <c r="G73" s="53">
        <f>SUMIF(JournalsA!D$14:D$920,TrialBalanceA!M73,JournalsA!J$14:J$920)+SUMIF(JournalsA!E$14:E$920,TrialBalanceA!M73,JournalsA!J$14:J$920)</f>
        <v>0</v>
      </c>
      <c r="H73" s="363"/>
      <c r="I73" s="332">
        <f t="shared" si="7"/>
        <v>0</v>
      </c>
      <c r="J73" s="81"/>
      <c r="K73" s="54">
        <f t="shared" si="8"/>
        <v>0</v>
      </c>
      <c r="M73" s="192" t="str">
        <f t="shared" si="9"/>
        <v>2150/005</v>
      </c>
      <c r="N73" s="76"/>
      <c r="P73" s="77"/>
      <c r="Q73" s="57"/>
      <c r="R73" s="31"/>
    </row>
    <row r="74" spans="1:18" x14ac:dyDescent="0.2">
      <c r="A74" s="315"/>
      <c r="B74" s="110" t="s">
        <v>602</v>
      </c>
      <c r="C74" s="354"/>
      <c r="D74" s="350"/>
      <c r="E74" s="356"/>
      <c r="F74" s="86"/>
      <c r="G74" s="53">
        <f>SUMIF(JournalsA!D$14:D$920,TrialBalanceA!M74,JournalsA!J$14:J$920)+SUMIF(JournalsA!E$14:E$920,TrialBalanceA!M74,JournalsA!J$14:J$920)</f>
        <v>0</v>
      </c>
      <c r="H74" s="363"/>
      <c r="I74" s="332">
        <f t="shared" si="7"/>
        <v>0</v>
      </c>
      <c r="J74" s="81"/>
      <c r="K74" s="54">
        <f t="shared" si="8"/>
        <v>0</v>
      </c>
      <c r="M74" s="192" t="str">
        <f t="shared" si="9"/>
        <v>2150/006</v>
      </c>
      <c r="N74" s="76"/>
      <c r="P74" s="77"/>
      <c r="Q74" s="57"/>
      <c r="R74" s="31"/>
    </row>
    <row r="75" spans="1:18" x14ac:dyDescent="0.2">
      <c r="A75" s="315"/>
      <c r="B75" s="110" t="s">
        <v>603</v>
      </c>
      <c r="C75" s="354"/>
      <c r="D75" s="350"/>
      <c r="E75" s="356"/>
      <c r="F75" s="86"/>
      <c r="G75" s="53">
        <f>SUMIF(JournalsA!D$14:D$920,TrialBalanceA!M75,JournalsA!J$14:J$920)+SUMIF(JournalsA!E$14:E$920,TrialBalanceA!M75,JournalsA!J$14:J$920)</f>
        <v>0</v>
      </c>
      <c r="H75" s="363"/>
      <c r="I75" s="332">
        <f t="shared" si="7"/>
        <v>0</v>
      </c>
      <c r="J75" s="81"/>
      <c r="K75" s="54">
        <f t="shared" si="8"/>
        <v>0</v>
      </c>
      <c r="M75" s="192" t="str">
        <f t="shared" si="9"/>
        <v>2150/007</v>
      </c>
      <c r="N75" s="76"/>
      <c r="P75" s="77"/>
      <c r="Q75" s="57"/>
      <c r="R75" s="31"/>
    </row>
    <row r="76" spans="1:18" x14ac:dyDescent="0.2">
      <c r="A76" s="315"/>
      <c r="B76" s="110" t="s">
        <v>604</v>
      </c>
      <c r="C76" s="352"/>
      <c r="D76" s="350"/>
      <c r="E76" s="356"/>
      <c r="F76" s="86"/>
      <c r="G76" s="53">
        <f>SUMIF(JournalsA!D$14:D$920,TrialBalanceA!M76,JournalsA!J$14:J$920)+SUMIF(JournalsA!E$14:E$920,TrialBalanceA!M76,JournalsA!J$14:J$920)</f>
        <v>0</v>
      </c>
      <c r="H76" s="363"/>
      <c r="I76" s="332">
        <f t="shared" si="7"/>
        <v>0</v>
      </c>
      <c r="J76" s="81"/>
      <c r="K76" s="54">
        <f t="shared" si="8"/>
        <v>0</v>
      </c>
      <c r="M76" s="192" t="str">
        <f t="shared" si="9"/>
        <v>2150/008</v>
      </c>
      <c r="N76" s="76"/>
      <c r="P76" s="77"/>
      <c r="Q76" s="57"/>
      <c r="R76" s="31"/>
    </row>
    <row r="77" spans="1:18" x14ac:dyDescent="0.2">
      <c r="A77" s="315"/>
      <c r="B77" s="110" t="s">
        <v>605</v>
      </c>
      <c r="C77" s="352"/>
      <c r="D77" s="350"/>
      <c r="E77" s="356"/>
      <c r="F77" s="86"/>
      <c r="G77" s="53">
        <f>SUMIF(JournalsA!D$14:D$920,TrialBalanceA!M77,JournalsA!J$14:J$920)+SUMIF(JournalsA!E$14:E$920,TrialBalanceA!M77,JournalsA!J$14:J$920)</f>
        <v>0</v>
      </c>
      <c r="H77" s="363"/>
      <c r="I77" s="332">
        <f t="shared" si="7"/>
        <v>0</v>
      </c>
      <c r="J77" s="81"/>
      <c r="K77" s="54">
        <f t="shared" si="8"/>
        <v>0</v>
      </c>
      <c r="M77" s="192" t="str">
        <f t="shared" si="9"/>
        <v>2150/009</v>
      </c>
      <c r="N77" s="76"/>
      <c r="P77" s="77"/>
      <c r="Q77" s="57"/>
      <c r="R77" s="31"/>
    </row>
    <row r="78" spans="1:18" x14ac:dyDescent="0.2">
      <c r="A78" s="315"/>
      <c r="B78" s="110" t="s">
        <v>606</v>
      </c>
      <c r="C78" s="352"/>
      <c r="D78" s="348"/>
      <c r="E78" s="356"/>
      <c r="F78" s="86"/>
      <c r="G78" s="53">
        <f>SUMIF(JournalsA!D$14:D$920,TrialBalanceA!M78,JournalsA!J$14:J$920)+SUMIF(JournalsA!E$14:E$920,TrialBalanceA!M78,JournalsA!J$14:J$920)</f>
        <v>0</v>
      </c>
      <c r="H78" s="363"/>
      <c r="I78" s="332">
        <f t="shared" si="7"/>
        <v>0</v>
      </c>
      <c r="J78" s="81"/>
      <c r="K78" s="54">
        <f t="shared" si="8"/>
        <v>0</v>
      </c>
      <c r="M78" s="192" t="str">
        <f t="shared" si="9"/>
        <v>2150/010</v>
      </c>
      <c r="N78" s="76"/>
      <c r="P78" s="77"/>
      <c r="Q78" s="57"/>
      <c r="R78" s="31"/>
    </row>
    <row r="79" spans="1:18" x14ac:dyDescent="0.2">
      <c r="A79" s="315"/>
      <c r="B79" s="60" t="s">
        <v>21</v>
      </c>
      <c r="C79" s="316" t="s">
        <v>949</v>
      </c>
      <c r="D79" s="358"/>
      <c r="E79" s="356"/>
      <c r="F79" s="86"/>
      <c r="G79" s="53">
        <f>SUMIF(JournalsA!D$14:D$920,TrialBalanceA!M79,JournalsA!J$14:J$920)+SUMIF(JournalsA!E$14:E$920,TrialBalanceA!M79,JournalsA!J$14:J$920)</f>
        <v>0</v>
      </c>
      <c r="H79" s="363"/>
      <c r="I79" s="332">
        <f t="shared" si="7"/>
        <v>0</v>
      </c>
      <c r="J79" s="81"/>
      <c r="K79" s="54">
        <f t="shared" si="8"/>
        <v>0</v>
      </c>
      <c r="M79" s="192" t="str">
        <f t="shared" si="9"/>
        <v>2500/000OTHER INCOME (TRADING ACTIVITY)</v>
      </c>
      <c r="N79" s="76"/>
      <c r="P79" s="77"/>
      <c r="Q79" s="57"/>
      <c r="R79" s="31"/>
    </row>
    <row r="80" spans="1:18" x14ac:dyDescent="0.2">
      <c r="A80" s="315"/>
      <c r="B80" s="60" t="s">
        <v>364</v>
      </c>
      <c r="C80" s="318" t="s">
        <v>765</v>
      </c>
      <c r="D80" s="348"/>
      <c r="E80" s="356"/>
      <c r="F80" s="86"/>
      <c r="G80" s="53">
        <f>SUMIF(JournalsA!D$14:D$920,TrialBalanceA!M80,JournalsA!J$14:J$920)+SUMIF(JournalsA!E$14:E$920,TrialBalanceA!M80,JournalsA!J$14:J$920)</f>
        <v>0</v>
      </c>
      <c r="H80" s="363"/>
      <c r="I80" s="332">
        <f t="shared" si="7"/>
        <v>0</v>
      </c>
      <c r="J80" s="81"/>
      <c r="K80" s="54">
        <f t="shared" si="8"/>
        <v>0</v>
      </c>
      <c r="M80" s="192" t="str">
        <f t="shared" si="9"/>
        <v>2710/000Rent received (not main income)</v>
      </c>
      <c r="N80" s="76"/>
      <c r="P80" s="77"/>
      <c r="Q80" s="57"/>
      <c r="R80" s="31"/>
    </row>
    <row r="81" spans="1:18" x14ac:dyDescent="0.2">
      <c r="A81" s="315"/>
      <c r="B81" s="60" t="s">
        <v>206</v>
      </c>
      <c r="C81" s="319" t="s">
        <v>632</v>
      </c>
      <c r="D81" s="359"/>
      <c r="E81" s="356"/>
      <c r="F81" s="86"/>
      <c r="G81" s="53">
        <f>SUMIF(JournalsA!D$14:D$920,TrialBalanceA!M81,JournalsA!J$14:J$920)+SUMIF(JournalsA!E$14:E$920,TrialBalanceA!M81,JournalsA!J$14:J$920)</f>
        <v>0</v>
      </c>
      <c r="H81" s="363"/>
      <c r="I81" s="332">
        <f t="shared" si="7"/>
        <v>0</v>
      </c>
      <c r="J81" s="81"/>
      <c r="K81" s="54">
        <f t="shared" si="8"/>
        <v>0</v>
      </c>
      <c r="M81" s="192" t="str">
        <f t="shared" si="9"/>
        <v>2810/000(Profit)/Loss on sale of fixed assets</v>
      </c>
      <c r="N81" s="76"/>
      <c r="P81" s="77"/>
      <c r="Q81" s="57"/>
      <c r="R81" s="31"/>
    </row>
    <row r="82" spans="1:18" x14ac:dyDescent="0.2">
      <c r="A82" s="315"/>
      <c r="B82" s="60" t="s">
        <v>207</v>
      </c>
      <c r="C82" s="317" t="s">
        <v>208</v>
      </c>
      <c r="D82" s="357"/>
      <c r="E82" s="356"/>
      <c r="F82" s="86"/>
      <c r="G82" s="53">
        <f>SUMIF(JournalsA!D$14:D$920,TrialBalanceA!M82,JournalsA!J$14:J$920)+SUMIF(JournalsA!E$14:E$920,TrialBalanceA!M82,JournalsA!J$14:J$920)</f>
        <v>0</v>
      </c>
      <c r="H82" s="363"/>
      <c r="I82" s="332">
        <f t="shared" si="7"/>
        <v>0</v>
      </c>
      <c r="J82" s="81"/>
      <c r="K82" s="54">
        <f t="shared" si="8"/>
        <v>0</v>
      </c>
      <c r="M82" s="192" t="str">
        <f t="shared" si="9"/>
        <v>2820/000Bad debts recovered</v>
      </c>
      <c r="N82" s="76"/>
      <c r="P82" s="77"/>
      <c r="Q82" s="57"/>
      <c r="R82" s="31"/>
    </row>
    <row r="83" spans="1:18" x14ac:dyDescent="0.2">
      <c r="A83" s="315"/>
      <c r="B83" s="60" t="s">
        <v>209</v>
      </c>
      <c r="C83" s="317" t="s">
        <v>210</v>
      </c>
      <c r="D83" s="357"/>
      <c r="E83" s="356"/>
      <c r="F83" s="86"/>
      <c r="G83" s="53">
        <f>SUMIF(JournalsA!D$14:D$920,TrialBalanceA!M83,JournalsA!J$14:J$920)+SUMIF(JournalsA!E$14:E$920,TrialBalanceA!M83,JournalsA!J$14:J$920)</f>
        <v>0</v>
      </c>
      <c r="H83" s="363"/>
      <c r="I83" s="332">
        <f t="shared" si="7"/>
        <v>0</v>
      </c>
      <c r="J83" s="81"/>
      <c r="K83" s="54">
        <f t="shared" si="8"/>
        <v>0</v>
      </c>
      <c r="M83" s="192" t="str">
        <f t="shared" si="9"/>
        <v>2830/000Other income</v>
      </c>
      <c r="N83" s="76"/>
      <c r="P83" s="57"/>
      <c r="Q83" s="57"/>
      <c r="R83" s="31"/>
    </row>
    <row r="84" spans="1:18" x14ac:dyDescent="0.2">
      <c r="A84" s="315"/>
      <c r="B84" s="60" t="s">
        <v>211</v>
      </c>
      <c r="C84" s="316" t="s">
        <v>1043</v>
      </c>
      <c r="D84" s="358"/>
      <c r="E84" s="356"/>
      <c r="F84" s="86"/>
      <c r="G84" s="53">
        <f>SUMIF(JournalsA!D$14:D$920,TrialBalanceA!M84,JournalsA!J$14:J$920)+SUMIF(JournalsA!E$14:E$920,TrialBalanceA!M84,JournalsA!J$14:J$920)</f>
        <v>0</v>
      </c>
      <c r="H84" s="363"/>
      <c r="I84" s="332">
        <f t="shared" si="7"/>
        <v>0</v>
      </c>
      <c r="J84" s="81"/>
      <c r="K84" s="54">
        <f t="shared" si="8"/>
        <v>0</v>
      </c>
      <c r="M84" s="192" t="str">
        <f t="shared" si="9"/>
        <v>3000/000ADMINISTRATIVE EXPENSES</v>
      </c>
      <c r="N84" s="76"/>
      <c r="P84" s="77"/>
      <c r="Q84" s="57"/>
      <c r="R84" s="31"/>
    </row>
    <row r="85" spans="1:18" x14ac:dyDescent="0.2">
      <c r="A85" s="315"/>
      <c r="B85" s="60" t="s">
        <v>212</v>
      </c>
      <c r="C85" s="317" t="s">
        <v>213</v>
      </c>
      <c r="D85" s="357"/>
      <c r="E85" s="356"/>
      <c r="F85" s="86"/>
      <c r="G85" s="53">
        <f>SUMIF(JournalsA!D$14:D$920,TrialBalanceA!M85,JournalsA!J$14:J$920)+SUMIF(JournalsA!E$14:E$920,TrialBalanceA!M85,JournalsA!J$14:J$920)</f>
        <v>0</v>
      </c>
      <c r="H85" s="363"/>
      <c r="I85" s="332">
        <f t="shared" si="7"/>
        <v>0</v>
      </c>
      <c r="J85" s="81"/>
      <c r="K85" s="54">
        <f t="shared" si="8"/>
        <v>0</v>
      </c>
      <c r="M85" s="192" t="str">
        <f t="shared" si="9"/>
        <v>3000/011Audit fees for current year</v>
      </c>
      <c r="N85" s="76"/>
      <c r="P85" s="57"/>
      <c r="Q85" s="57"/>
      <c r="R85" s="31"/>
    </row>
    <row r="86" spans="1:18" x14ac:dyDescent="0.2">
      <c r="A86" s="315"/>
      <c r="B86" s="60" t="s">
        <v>214</v>
      </c>
      <c r="C86" s="323" t="s">
        <v>353</v>
      </c>
      <c r="D86" s="348"/>
      <c r="E86" s="356"/>
      <c r="F86" s="86"/>
      <c r="G86" s="53">
        <f>SUMIF(JournalsA!D$14:D$920,TrialBalanceA!M86,JournalsA!J$14:J$920)+SUMIF(JournalsA!E$14:E$920,TrialBalanceA!M86,JournalsA!J$14:J$920)</f>
        <v>0</v>
      </c>
      <c r="H86" s="363"/>
      <c r="I86" s="332">
        <f t="shared" si="7"/>
        <v>0</v>
      </c>
      <c r="J86" s="81"/>
      <c r="K86" s="54">
        <f t="shared" si="8"/>
        <v>0</v>
      </c>
      <c r="M86" s="192" t="str">
        <f t="shared" si="9"/>
        <v>3000/012Under provision previous year</v>
      </c>
      <c r="N86" s="76"/>
      <c r="P86" s="77"/>
      <c r="Q86" s="57"/>
      <c r="R86" s="31"/>
    </row>
    <row r="87" spans="1:18" x14ac:dyDescent="0.2">
      <c r="A87" s="315"/>
      <c r="B87" s="60" t="s">
        <v>215</v>
      </c>
      <c r="C87" s="317" t="s">
        <v>216</v>
      </c>
      <c r="D87" s="357"/>
      <c r="E87" s="356"/>
      <c r="F87" s="86"/>
      <c r="G87" s="53">
        <f>SUMIF(JournalsA!D$14:D$920,TrialBalanceA!M87,JournalsA!J$14:J$920)+SUMIF(JournalsA!E$14:E$920,TrialBalanceA!M87,JournalsA!J$14:J$920)</f>
        <v>0</v>
      </c>
      <c r="H87" s="363"/>
      <c r="I87" s="332">
        <f t="shared" si="7"/>
        <v>0</v>
      </c>
      <c r="J87" s="81"/>
      <c r="K87" s="54">
        <f t="shared" si="8"/>
        <v>0</v>
      </c>
      <c r="M87" s="192" t="str">
        <f t="shared" si="9"/>
        <v>3000/013Overprovision previous year</v>
      </c>
      <c r="N87" s="76"/>
      <c r="P87" s="77"/>
      <c r="Q87" s="57"/>
      <c r="R87" s="31"/>
    </row>
    <row r="88" spans="1:18" x14ac:dyDescent="0.2">
      <c r="A88" s="315"/>
      <c r="B88" s="60" t="s">
        <v>217</v>
      </c>
      <c r="C88" s="317" t="s">
        <v>218</v>
      </c>
      <c r="D88" s="357"/>
      <c r="E88" s="356"/>
      <c r="F88" s="86"/>
      <c r="G88" s="53">
        <f>SUMIF(JournalsA!D$14:D$920,TrialBalanceA!M88,JournalsA!J$14:J$920)+SUMIF(JournalsA!E$14:E$920,TrialBalanceA!M88,JournalsA!J$14:J$920)</f>
        <v>0</v>
      </c>
      <c r="H88" s="363"/>
      <c r="I88" s="332">
        <f t="shared" si="7"/>
        <v>0</v>
      </c>
      <c r="J88" s="81"/>
      <c r="K88" s="54">
        <f t="shared" si="8"/>
        <v>0</v>
      </c>
      <c r="M88" s="192" t="str">
        <f t="shared" si="9"/>
        <v>3000/014Accounting fees</v>
      </c>
      <c r="N88" s="76"/>
      <c r="P88" s="77"/>
      <c r="Q88" s="57"/>
      <c r="R88" s="31"/>
    </row>
    <row r="89" spans="1:18" x14ac:dyDescent="0.2">
      <c r="A89" s="315"/>
      <c r="B89" s="60" t="s">
        <v>219</v>
      </c>
      <c r="C89" s="317" t="s">
        <v>220</v>
      </c>
      <c r="D89" s="357"/>
      <c r="E89" s="356"/>
      <c r="F89" s="86"/>
      <c r="G89" s="53">
        <f>SUMIF(JournalsA!D$14:D$920,TrialBalanceA!M89,JournalsA!J$14:J$920)+SUMIF(JournalsA!E$14:E$920,TrialBalanceA!M89,JournalsA!J$14:J$920)</f>
        <v>0</v>
      </c>
      <c r="H89" s="363"/>
      <c r="I89" s="332">
        <f>ROUND(D89-E89+G89+F89,0)</f>
        <v>0</v>
      </c>
      <c r="J89" s="81"/>
      <c r="K89" s="54">
        <f t="shared" si="8"/>
        <v>0</v>
      </c>
      <c r="M89" s="192" t="str">
        <f t="shared" si="9"/>
        <v>3000/020Bank charges</v>
      </c>
      <c r="N89" s="76"/>
      <c r="P89" s="77"/>
      <c r="Q89" s="57"/>
      <c r="R89" s="31"/>
    </row>
    <row r="90" spans="1:18" x14ac:dyDescent="0.2">
      <c r="A90" s="315"/>
      <c r="B90" s="60" t="s">
        <v>221</v>
      </c>
      <c r="C90" s="317" t="s">
        <v>222</v>
      </c>
      <c r="D90" s="357"/>
      <c r="E90" s="356"/>
      <c r="F90" s="86"/>
      <c r="G90" s="53">
        <f>SUMIF(JournalsA!D$14:D$920,TrialBalanceA!M90,JournalsA!J$14:J$920)+SUMIF(JournalsA!E$14:E$920,TrialBalanceA!M90,JournalsA!J$14:J$920)</f>
        <v>0</v>
      </c>
      <c r="H90" s="363"/>
      <c r="I90" s="332">
        <f t="shared" ref="I90:I121" si="10">ROUND(D90-E90+G90+F90,0)</f>
        <v>0</v>
      </c>
      <c r="J90" s="81"/>
      <c r="K90" s="54">
        <f t="shared" si="8"/>
        <v>0</v>
      </c>
      <c r="M90" s="192" t="str">
        <f t="shared" si="9"/>
        <v>3000/030Bad debts</v>
      </c>
      <c r="N90" s="76"/>
      <c r="P90" s="77"/>
      <c r="Q90" s="57"/>
      <c r="R90" s="31"/>
    </row>
    <row r="91" spans="1:18" x14ac:dyDescent="0.2">
      <c r="A91" s="315"/>
      <c r="B91" s="60" t="s">
        <v>223</v>
      </c>
      <c r="C91" s="317" t="s">
        <v>259</v>
      </c>
      <c r="D91" s="357"/>
      <c r="E91" s="356"/>
      <c r="F91" s="86"/>
      <c r="G91" s="53">
        <f>SUMIF(JournalsA!D$14:D$920,TrialBalanceA!M91,JournalsA!J$14:J$920)+SUMIF(JournalsA!E$14:E$920,TrialBalanceA!M91,JournalsA!J$14:J$920)</f>
        <v>0</v>
      </c>
      <c r="H91" s="363"/>
      <c r="I91" s="332">
        <f t="shared" si="10"/>
        <v>0</v>
      </c>
      <c r="J91" s="81"/>
      <c r="K91" s="54">
        <f t="shared" si="8"/>
        <v>0</v>
      </c>
      <c r="M91" s="192" t="str">
        <f t="shared" si="9"/>
        <v>3000/040Cleaning</v>
      </c>
      <c r="N91" s="76"/>
      <c r="P91" s="77"/>
      <c r="Q91" s="57"/>
      <c r="R91" s="31"/>
    </row>
    <row r="92" spans="1:18" x14ac:dyDescent="0.2">
      <c r="A92" s="315"/>
      <c r="B92" s="60" t="s">
        <v>224</v>
      </c>
      <c r="C92" s="317" t="s">
        <v>225</v>
      </c>
      <c r="D92" s="357"/>
      <c r="E92" s="356"/>
      <c r="F92" s="86"/>
      <c r="G92" s="53">
        <f>SUMIF(JournalsA!D$14:D$920,TrialBalanceA!M92,JournalsA!J$14:J$920)+SUMIF(JournalsA!E$14:E$920,TrialBalanceA!M92,JournalsA!J$14:J$920)</f>
        <v>0</v>
      </c>
      <c r="H92" s="363"/>
      <c r="I92" s="332">
        <f t="shared" si="10"/>
        <v>0</v>
      </c>
      <c r="J92" s="81"/>
      <c r="K92" s="54">
        <f t="shared" si="8"/>
        <v>0</v>
      </c>
      <c r="M92" s="192" t="str">
        <f t="shared" si="9"/>
        <v>3000/050Computer expenses</v>
      </c>
      <c r="N92" s="76"/>
      <c r="P92" s="77"/>
      <c r="Q92" s="57"/>
      <c r="R92" s="31"/>
    </row>
    <row r="93" spans="1:18" x14ac:dyDescent="0.2">
      <c r="A93" s="315"/>
      <c r="B93" s="110" t="s">
        <v>659</v>
      </c>
      <c r="C93" s="319" t="s">
        <v>735</v>
      </c>
      <c r="D93" s="357"/>
      <c r="E93" s="356"/>
      <c r="F93" s="86"/>
      <c r="G93" s="53">
        <f>SUMIF(JournalsA!D$14:D$920,TrialBalanceA!M93,JournalsA!J$14:J$920)+SUMIF(JournalsA!E$14:E$920,TrialBalanceA!M93,JournalsA!J$14:J$920)</f>
        <v>0</v>
      </c>
      <c r="H93" s="363"/>
      <c r="I93" s="332">
        <f t="shared" ref="I93" si="11">ROUND(D93-E93+G93+F93,0)</f>
        <v>0</v>
      </c>
      <c r="J93" s="81"/>
      <c r="K93" s="54">
        <f t="shared" ref="K93" si="12">ROUND(SUM(A93),0)</f>
        <v>0</v>
      </c>
      <c r="M93" s="192" t="str">
        <f t="shared" ref="M93" si="13">CONCATENATE(B93,C93)</f>
        <v>3000/055Consulting and professional fees</v>
      </c>
      <c r="N93" s="76"/>
      <c r="P93" s="77"/>
      <c r="Q93" s="57"/>
      <c r="R93" s="31"/>
    </row>
    <row r="94" spans="1:18" x14ac:dyDescent="0.2">
      <c r="A94" s="315"/>
      <c r="B94" s="60" t="s">
        <v>226</v>
      </c>
      <c r="C94" s="316" t="s">
        <v>418</v>
      </c>
      <c r="D94" s="358"/>
      <c r="E94" s="356"/>
      <c r="F94" s="86"/>
      <c r="G94" s="53">
        <f>SUMIF(JournalsA!D$14:D$920,TrialBalanceA!M94,JournalsA!J$14:J$920)+SUMIF(JournalsA!E$14:E$920,TrialBalanceA!M94,JournalsA!J$14:J$920)</f>
        <v>0</v>
      </c>
      <c r="H94" s="363"/>
      <c r="I94" s="332">
        <f t="shared" si="10"/>
        <v>0</v>
      </c>
      <c r="J94" s="81"/>
      <c r="K94" s="54">
        <f t="shared" si="8"/>
        <v>0</v>
      </c>
      <c r="M94" s="192" t="str">
        <f t="shared" si="9"/>
        <v>3000/060Depreciation----------------------------</v>
      </c>
      <c r="N94" s="76"/>
      <c r="P94" s="77"/>
      <c r="Q94" s="57"/>
      <c r="R94" s="31"/>
    </row>
    <row r="95" spans="1:18" x14ac:dyDescent="0.2">
      <c r="A95" s="315"/>
      <c r="B95" s="110" t="s">
        <v>227</v>
      </c>
      <c r="C95" s="318" t="s">
        <v>60</v>
      </c>
      <c r="D95" s="356"/>
      <c r="E95" s="356"/>
      <c r="F95" s="86"/>
      <c r="G95" s="53">
        <f>SUMIF(JournalsA!D$14:D$920,TrialBalanceA!M95,JournalsA!J$14:J$920)+SUMIF(JournalsA!E$14:E$920,TrialBalanceA!M95,JournalsA!J$14:J$920)</f>
        <v>0</v>
      </c>
      <c r="H95" s="363"/>
      <c r="I95" s="332">
        <f t="shared" si="10"/>
        <v>0</v>
      </c>
      <c r="J95" s="81"/>
      <c r="K95" s="54">
        <f t="shared" si="8"/>
        <v>0</v>
      </c>
      <c r="M95" s="192" t="str">
        <f t="shared" si="9"/>
        <v>3000/061Depr - Electronic equipment</v>
      </c>
      <c r="N95" s="76"/>
      <c r="P95" s="77"/>
      <c r="Q95" s="57"/>
      <c r="R95" s="31"/>
    </row>
    <row r="96" spans="1:18" x14ac:dyDescent="0.2">
      <c r="A96" s="315"/>
      <c r="B96" s="110" t="s">
        <v>366</v>
      </c>
      <c r="C96" s="319" t="s">
        <v>770</v>
      </c>
      <c r="D96" s="357"/>
      <c r="E96" s="356"/>
      <c r="F96" s="86"/>
      <c r="G96" s="53">
        <f>SUMIF(JournalsA!D$14:D$920,TrialBalanceA!M96,JournalsA!J$14:J$920)+SUMIF(JournalsA!E$14:E$920,TrialBalanceA!M96,JournalsA!J$14:J$920)</f>
        <v>0</v>
      </c>
      <c r="H96" s="363"/>
      <c r="I96" s="332">
        <f t="shared" si="10"/>
        <v>0</v>
      </c>
      <c r="J96" s="81"/>
      <c r="K96" s="54">
        <f t="shared" si="8"/>
        <v>0</v>
      </c>
      <c r="M96" s="192" t="str">
        <f t="shared" si="9"/>
        <v>3000/063Depr - Furniture and fittings</v>
      </c>
      <c r="N96" s="76"/>
      <c r="P96" s="77"/>
      <c r="Q96" s="57"/>
      <c r="R96" s="31"/>
    </row>
    <row r="97" spans="1:18" x14ac:dyDescent="0.2">
      <c r="A97" s="315"/>
      <c r="B97" s="60" t="s">
        <v>367</v>
      </c>
      <c r="C97" s="316" t="s">
        <v>942</v>
      </c>
      <c r="D97" s="358"/>
      <c r="E97" s="356"/>
      <c r="F97" s="86"/>
      <c r="G97" s="53">
        <f>SUMIF(JournalsA!D$14:D$920,TrialBalanceA!M97,JournalsA!J$14:J$920)+SUMIF(JournalsA!E$14:E$920,TrialBalanceA!M97,JournalsA!J$14:J$920)</f>
        <v>0</v>
      </c>
      <c r="H97" s="363"/>
      <c r="I97" s="332">
        <f t="shared" si="10"/>
        <v>0</v>
      </c>
      <c r="J97" s="81"/>
      <c r="K97" s="54">
        <f t="shared" si="8"/>
        <v>0</v>
      </c>
      <c r="M97" s="192" t="str">
        <f t="shared" si="9"/>
        <v>3000/070Trustees' remuneration-----------------</v>
      </c>
      <c r="N97" s="76"/>
      <c r="P97" s="77"/>
      <c r="Q97" s="57"/>
      <c r="R97" s="31"/>
    </row>
    <row r="98" spans="1:18" x14ac:dyDescent="0.2">
      <c r="A98" s="315"/>
      <c r="B98" s="60" t="s">
        <v>368</v>
      </c>
      <c r="C98" s="352" t="str">
        <f>Criteria!E38</f>
        <v>A Trustee</v>
      </c>
      <c r="D98" s="356"/>
      <c r="E98" s="356"/>
      <c r="F98" s="86"/>
      <c r="G98" s="53">
        <f>SUMIF(JournalsA!D$14:D$920,TrialBalanceA!M98,JournalsA!J$14:J$920)+SUMIF(JournalsA!E$14:E$920,TrialBalanceA!M98,JournalsA!J$14:J$920)</f>
        <v>0</v>
      </c>
      <c r="H98" s="363"/>
      <c r="I98" s="332">
        <f t="shared" si="10"/>
        <v>0</v>
      </c>
      <c r="J98" s="81"/>
      <c r="K98" s="54">
        <f t="shared" si="8"/>
        <v>0</v>
      </c>
      <c r="M98" s="192" t="str">
        <f t="shared" si="9"/>
        <v>3000/071A Trustee</v>
      </c>
      <c r="N98" s="76"/>
      <c r="P98" s="77"/>
      <c r="Q98" s="57"/>
      <c r="R98" s="31"/>
    </row>
    <row r="99" spans="1:18" x14ac:dyDescent="0.2">
      <c r="A99" s="315"/>
      <c r="B99" s="60" t="s">
        <v>369</v>
      </c>
      <c r="C99" s="352" t="str">
        <f>Criteria!E39</f>
        <v>C Trustee</v>
      </c>
      <c r="D99" s="356"/>
      <c r="E99" s="356"/>
      <c r="F99" s="86"/>
      <c r="G99" s="53">
        <f>SUMIF(JournalsA!D$14:D$920,TrialBalanceA!M99,JournalsA!J$14:J$920)+SUMIF(JournalsA!E$14:E$920,TrialBalanceA!M99,JournalsA!J$14:J$920)</f>
        <v>0</v>
      </c>
      <c r="H99" s="363"/>
      <c r="I99" s="332">
        <f t="shared" si="10"/>
        <v>0</v>
      </c>
      <c r="J99" s="81"/>
      <c r="K99" s="54">
        <f t="shared" si="8"/>
        <v>0</v>
      </c>
      <c r="M99" s="192" t="str">
        <f t="shared" si="9"/>
        <v>3000/072C Trustee</v>
      </c>
      <c r="N99" s="76"/>
      <c r="P99" s="77"/>
      <c r="Q99" s="57"/>
      <c r="R99" s="31"/>
    </row>
    <row r="100" spans="1:18" x14ac:dyDescent="0.2">
      <c r="A100" s="315"/>
      <c r="B100" s="60" t="s">
        <v>370</v>
      </c>
      <c r="C100" s="352">
        <f>Criteria!E40</f>
        <v>0</v>
      </c>
      <c r="D100" s="356"/>
      <c r="E100" s="356"/>
      <c r="F100" s="86"/>
      <c r="G100" s="53">
        <f>SUMIF(JournalsA!D$14:D$920,TrialBalanceA!M100,JournalsA!J$14:J$920)+SUMIF(JournalsA!E$14:E$920,TrialBalanceA!M100,JournalsA!J$14:J$920)</f>
        <v>0</v>
      </c>
      <c r="H100" s="363"/>
      <c r="I100" s="332">
        <f t="shared" si="10"/>
        <v>0</v>
      </c>
      <c r="J100" s="81"/>
      <c r="K100" s="54">
        <f t="shared" si="8"/>
        <v>0</v>
      </c>
      <c r="M100" s="192" t="str">
        <f t="shared" si="9"/>
        <v>3000/0730</v>
      </c>
      <c r="N100" s="76"/>
      <c r="P100" s="77"/>
      <c r="Q100" s="57"/>
      <c r="R100" s="31"/>
    </row>
    <row r="101" spans="1:18" x14ac:dyDescent="0.2">
      <c r="A101" s="315"/>
      <c r="B101" s="60" t="s">
        <v>371</v>
      </c>
      <c r="C101" s="352">
        <f>Criteria!E41</f>
        <v>0</v>
      </c>
      <c r="D101" s="356"/>
      <c r="E101" s="356"/>
      <c r="F101" s="86"/>
      <c r="G101" s="53">
        <f>SUMIF(JournalsA!D$14:D$920,TrialBalanceA!M101,JournalsA!J$14:J$920)+SUMIF(JournalsA!E$14:E$920,TrialBalanceA!M101,JournalsA!J$14:J$920)</f>
        <v>0</v>
      </c>
      <c r="H101" s="363"/>
      <c r="I101" s="332">
        <f t="shared" si="10"/>
        <v>0</v>
      </c>
      <c r="J101" s="81"/>
      <c r="K101" s="54">
        <f t="shared" si="8"/>
        <v>0</v>
      </c>
      <c r="M101" s="192" t="str">
        <f t="shared" si="9"/>
        <v>3000/0740</v>
      </c>
      <c r="N101" s="76"/>
      <c r="P101" s="77"/>
      <c r="Q101" s="57"/>
      <c r="R101" s="31"/>
    </row>
    <row r="102" spans="1:18" x14ac:dyDescent="0.2">
      <c r="A102" s="315"/>
      <c r="B102" s="60" t="s">
        <v>372</v>
      </c>
      <c r="C102" s="352">
        <f>Criteria!E42</f>
        <v>0</v>
      </c>
      <c r="D102" s="357"/>
      <c r="E102" s="356"/>
      <c r="F102" s="86"/>
      <c r="G102" s="53">
        <f>SUMIF(JournalsA!D$14:D$920,TrialBalanceA!M102,JournalsA!J$14:J$920)+SUMIF(JournalsA!E$14:E$920,TrialBalanceA!M102,JournalsA!J$14:J$920)</f>
        <v>0</v>
      </c>
      <c r="H102" s="363"/>
      <c r="I102" s="332">
        <f t="shared" si="10"/>
        <v>0</v>
      </c>
      <c r="J102" s="81"/>
      <c r="K102" s="54">
        <f t="shared" si="8"/>
        <v>0</v>
      </c>
      <c r="M102" s="192" t="str">
        <f t="shared" si="9"/>
        <v>3000/0750</v>
      </c>
      <c r="N102" s="76"/>
      <c r="P102" s="77"/>
      <c r="Q102" s="57"/>
      <c r="R102" s="31"/>
    </row>
    <row r="103" spans="1:18" x14ac:dyDescent="0.2">
      <c r="A103" s="315"/>
      <c r="B103" s="60" t="s">
        <v>373</v>
      </c>
      <c r="C103" s="317" t="s">
        <v>260</v>
      </c>
      <c r="D103" s="357"/>
      <c r="E103" s="356"/>
      <c r="F103" s="86"/>
      <c r="G103" s="53">
        <f>SUMIF(JournalsA!D$14:D$920,TrialBalanceA!M103,JournalsA!J$14:J$920)+SUMIF(JournalsA!E$14:E$920,TrialBalanceA!M103,JournalsA!J$14:J$920)</f>
        <v>0</v>
      </c>
      <c r="H103" s="363"/>
      <c r="I103" s="332">
        <f t="shared" si="10"/>
        <v>0</v>
      </c>
      <c r="J103" s="81"/>
      <c r="K103" s="54">
        <f t="shared" si="8"/>
        <v>0</v>
      </c>
      <c r="M103" s="192" t="str">
        <f t="shared" si="9"/>
        <v>3000/080Donations</v>
      </c>
      <c r="N103" s="76"/>
      <c r="P103" s="77"/>
      <c r="Q103" s="57"/>
      <c r="R103" s="31"/>
    </row>
    <row r="104" spans="1:18" x14ac:dyDescent="0.2">
      <c r="A104" s="315"/>
      <c r="B104" s="60" t="s">
        <v>374</v>
      </c>
      <c r="C104" s="317" t="s">
        <v>375</v>
      </c>
      <c r="D104" s="357"/>
      <c r="E104" s="356"/>
      <c r="F104" s="86"/>
      <c r="G104" s="53">
        <f>SUMIF(JournalsA!D$14:D$920,TrialBalanceA!M104,JournalsA!J$14:J$920)+SUMIF(JournalsA!E$14:E$920,TrialBalanceA!M104,JournalsA!J$14:J$920)</f>
        <v>0</v>
      </c>
      <c r="H104" s="363"/>
      <c r="I104" s="332">
        <f t="shared" si="10"/>
        <v>0</v>
      </c>
      <c r="J104" s="81"/>
      <c r="K104" s="54">
        <f t="shared" si="8"/>
        <v>0</v>
      </c>
      <c r="M104" s="192" t="str">
        <f t="shared" si="9"/>
        <v>3000/090Entertainment expenses</v>
      </c>
      <c r="N104" s="76"/>
      <c r="P104" s="77"/>
      <c r="Q104" s="57"/>
      <c r="R104" s="31"/>
    </row>
    <row r="105" spans="1:18" x14ac:dyDescent="0.2">
      <c r="A105" s="315"/>
      <c r="B105" s="62" t="s">
        <v>70</v>
      </c>
      <c r="C105" s="323" t="s">
        <v>326</v>
      </c>
      <c r="D105" s="348"/>
      <c r="E105" s="356"/>
      <c r="F105" s="86"/>
      <c r="G105" s="53">
        <f>SUMIF(JournalsA!D$14:D$920,TrialBalanceA!M105,JournalsA!J$14:J$920)+SUMIF(JournalsA!E$14:E$920,TrialBalanceA!M105,JournalsA!J$14:J$920)</f>
        <v>0</v>
      </c>
      <c r="H105" s="363"/>
      <c r="I105" s="332">
        <f t="shared" si="10"/>
        <v>0</v>
      </c>
      <c r="J105" s="81"/>
      <c r="K105" s="54">
        <f t="shared" si="8"/>
        <v>0</v>
      </c>
      <c r="M105" s="192" t="str">
        <f t="shared" si="9"/>
        <v>3000/095Fines</v>
      </c>
      <c r="N105" s="76"/>
      <c r="P105" s="77"/>
      <c r="Q105" s="57"/>
      <c r="R105" s="31"/>
    </row>
    <row r="106" spans="1:18" x14ac:dyDescent="0.2">
      <c r="A106" s="315"/>
      <c r="B106" s="60" t="s">
        <v>376</v>
      </c>
      <c r="C106" s="317" t="s">
        <v>377</v>
      </c>
      <c r="D106" s="357"/>
      <c r="E106" s="356"/>
      <c r="F106" s="86"/>
      <c r="G106" s="53">
        <f>SUMIF(JournalsA!D$14:D$920,TrialBalanceA!M106,JournalsA!J$14:J$920)+SUMIF(JournalsA!E$14:E$920,TrialBalanceA!M106,JournalsA!J$14:J$920)</f>
        <v>0</v>
      </c>
      <c r="H106" s="363"/>
      <c r="I106" s="332">
        <f t="shared" si="10"/>
        <v>0</v>
      </c>
      <c r="J106" s="81"/>
      <c r="K106" s="54">
        <f t="shared" si="8"/>
        <v>0</v>
      </c>
      <c r="M106" s="192" t="str">
        <f t="shared" si="9"/>
        <v>3000/100General expenses</v>
      </c>
      <c r="N106" s="76"/>
      <c r="P106" s="77"/>
      <c r="Q106" s="57"/>
      <c r="R106" s="31"/>
    </row>
    <row r="107" spans="1:18" x14ac:dyDescent="0.2">
      <c r="A107" s="315"/>
      <c r="B107" s="60" t="s">
        <v>304</v>
      </c>
      <c r="C107" s="318" t="s">
        <v>767</v>
      </c>
      <c r="D107" s="348"/>
      <c r="E107" s="356"/>
      <c r="F107" s="86"/>
      <c r="G107" s="53">
        <f>SUMIF(JournalsA!D$14:D$920,TrialBalanceA!M107,JournalsA!J$14:J$920)+SUMIF(JournalsA!E$14:E$920,TrialBalanceA!M107,JournalsA!J$14:J$920)</f>
        <v>0</v>
      </c>
      <c r="H107" s="363"/>
      <c r="I107" s="332">
        <f t="shared" si="10"/>
        <v>0</v>
      </c>
      <c r="J107" s="81"/>
      <c r="K107" s="54">
        <f t="shared" si="8"/>
        <v>0</v>
      </c>
      <c r="M107" s="192" t="str">
        <f t="shared" si="9"/>
        <v>3000/110Legal expenses - tax deductible</v>
      </c>
      <c r="N107" s="76"/>
      <c r="P107" s="77"/>
      <c r="Q107" s="57"/>
      <c r="R107" s="31"/>
    </row>
    <row r="108" spans="1:18" x14ac:dyDescent="0.2">
      <c r="A108" s="315"/>
      <c r="B108" s="60" t="s">
        <v>452</v>
      </c>
      <c r="C108" s="318" t="s">
        <v>768</v>
      </c>
      <c r="D108" s="348"/>
      <c r="E108" s="356"/>
      <c r="F108" s="86"/>
      <c r="G108" s="53">
        <f>SUMIF(JournalsA!D$14:D$920,TrialBalanceA!M108,JournalsA!J$14:J$920)+SUMIF(JournalsA!E$14:E$920,TrialBalanceA!M108,JournalsA!J$14:J$920)</f>
        <v>0</v>
      </c>
      <c r="H108" s="363"/>
      <c r="I108" s="332">
        <f t="shared" si="10"/>
        <v>0</v>
      </c>
      <c r="J108" s="81"/>
      <c r="K108" s="54">
        <f t="shared" si="8"/>
        <v>0</v>
      </c>
      <c r="M108" s="192" t="str">
        <f t="shared" si="9"/>
        <v>3000/111Legal expenses - non deductible</v>
      </c>
      <c r="N108" s="76"/>
      <c r="P108" s="77"/>
      <c r="Q108" s="57"/>
      <c r="R108" s="31"/>
    </row>
    <row r="109" spans="1:18" x14ac:dyDescent="0.2">
      <c r="A109" s="315"/>
      <c r="B109" s="60" t="s">
        <v>305</v>
      </c>
      <c r="C109" s="317" t="s">
        <v>306</v>
      </c>
      <c r="D109" s="357"/>
      <c r="E109" s="356"/>
      <c r="F109" s="86"/>
      <c r="G109" s="53">
        <f>SUMIF(JournalsA!D$14:D$920,TrialBalanceA!M109,JournalsA!J$14:J$920)+SUMIF(JournalsA!E$14:E$920,TrialBalanceA!M109,JournalsA!J$14:J$920)</f>
        <v>0</v>
      </c>
      <c r="H109" s="363"/>
      <c r="I109" s="332">
        <f t="shared" si="10"/>
        <v>0</v>
      </c>
      <c r="J109" s="81"/>
      <c r="K109" s="54">
        <f t="shared" si="8"/>
        <v>0</v>
      </c>
      <c r="M109" s="192" t="str">
        <f t="shared" si="9"/>
        <v>3000/120Printing and stationary</v>
      </c>
      <c r="N109" s="76"/>
      <c r="P109" s="77"/>
      <c r="Q109" s="57"/>
      <c r="R109" s="31"/>
    </row>
    <row r="110" spans="1:18" x14ac:dyDescent="0.2">
      <c r="A110" s="315"/>
      <c r="B110" s="60" t="s">
        <v>307</v>
      </c>
      <c r="C110" s="317" t="s">
        <v>261</v>
      </c>
      <c r="D110" s="357"/>
      <c r="E110" s="356"/>
      <c r="F110" s="86"/>
      <c r="G110" s="53">
        <f>SUMIF(JournalsA!D$14:D$920,TrialBalanceA!M110,JournalsA!J$14:J$920)+SUMIF(JournalsA!E$14:E$920,TrialBalanceA!M110,JournalsA!J$14:J$920)</f>
        <v>0</v>
      </c>
      <c r="H110" s="363"/>
      <c r="I110" s="332">
        <f t="shared" si="10"/>
        <v>0</v>
      </c>
      <c r="J110" s="81"/>
      <c r="K110" s="54">
        <f t="shared" si="8"/>
        <v>0</v>
      </c>
      <c r="M110" s="192" t="str">
        <f t="shared" si="9"/>
        <v>3000/130Refreshments</v>
      </c>
      <c r="N110" s="76"/>
      <c r="P110" s="77"/>
      <c r="Q110" s="57"/>
      <c r="R110" s="31"/>
    </row>
    <row r="111" spans="1:18" x14ac:dyDescent="0.2">
      <c r="A111" s="315"/>
      <c r="B111" s="60" t="s">
        <v>308</v>
      </c>
      <c r="C111" s="317" t="s">
        <v>78</v>
      </c>
      <c r="D111" s="357"/>
      <c r="E111" s="356"/>
      <c r="F111" s="86"/>
      <c r="G111" s="53">
        <f>SUMIF(JournalsA!D$14:D$920,TrialBalanceA!M111,JournalsA!J$14:J$920)+SUMIF(JournalsA!E$14:E$920,TrialBalanceA!M111,JournalsA!J$14:J$920)</f>
        <v>0</v>
      </c>
      <c r="H111" s="363"/>
      <c r="I111" s="332">
        <f t="shared" si="10"/>
        <v>0</v>
      </c>
      <c r="J111" s="81"/>
      <c r="K111" s="54">
        <f t="shared" si="8"/>
        <v>0</v>
      </c>
      <c r="M111" s="192" t="str">
        <f t="shared" si="9"/>
        <v>3000/140Salaries</v>
      </c>
      <c r="N111" s="76"/>
      <c r="P111" s="77"/>
      <c r="Q111" s="57"/>
      <c r="R111" s="31"/>
    </row>
    <row r="112" spans="1:18" x14ac:dyDescent="0.2">
      <c r="A112" s="315"/>
      <c r="B112" s="110" t="s">
        <v>309</v>
      </c>
      <c r="C112" s="317" t="s">
        <v>82</v>
      </c>
      <c r="D112" s="357"/>
      <c r="E112" s="356"/>
      <c r="F112" s="86"/>
      <c r="G112" s="53">
        <f>SUMIF(JournalsA!D$14:D$920,TrialBalanceA!M112,JournalsA!J$14:J$920)+SUMIF(JournalsA!E$14:E$920,TrialBalanceA!M112,JournalsA!J$14:J$920)</f>
        <v>0</v>
      </c>
      <c r="H112" s="363"/>
      <c r="I112" s="332">
        <f t="shared" si="10"/>
        <v>0</v>
      </c>
      <c r="J112" s="81"/>
      <c r="K112" s="54">
        <f t="shared" si="8"/>
        <v>0</v>
      </c>
      <c r="M112" s="192" t="str">
        <f t="shared" si="9"/>
        <v>3000/141Casual wages</v>
      </c>
      <c r="N112" s="76"/>
      <c r="P112" s="77"/>
      <c r="Q112" s="57"/>
      <c r="R112" s="31"/>
    </row>
    <row r="113" spans="1:18" x14ac:dyDescent="0.2">
      <c r="A113" s="315"/>
      <c r="B113" s="60" t="s">
        <v>310</v>
      </c>
      <c r="C113" s="317" t="s">
        <v>262</v>
      </c>
      <c r="D113" s="357"/>
      <c r="E113" s="356"/>
      <c r="F113" s="86"/>
      <c r="G113" s="53">
        <f>SUMIF(JournalsA!D$14:D$920,TrialBalanceA!M113,JournalsA!J$14:J$920)+SUMIF(JournalsA!E$14:E$920,TrialBalanceA!M113,JournalsA!J$14:J$920)</f>
        <v>0</v>
      </c>
      <c r="H113" s="363"/>
      <c r="I113" s="332">
        <f t="shared" si="10"/>
        <v>0</v>
      </c>
      <c r="J113" s="81"/>
      <c r="K113" s="54">
        <f t="shared" si="8"/>
        <v>0</v>
      </c>
      <c r="M113" s="192" t="str">
        <f t="shared" si="9"/>
        <v>3000/150Security</v>
      </c>
      <c r="N113" s="76"/>
      <c r="P113" s="77"/>
      <c r="Q113" s="57"/>
      <c r="R113" s="31"/>
    </row>
    <row r="114" spans="1:18" x14ac:dyDescent="0.2">
      <c r="A114" s="315"/>
      <c r="B114" s="60" t="s">
        <v>311</v>
      </c>
      <c r="C114" s="319" t="s">
        <v>737</v>
      </c>
      <c r="D114" s="359"/>
      <c r="E114" s="356"/>
      <c r="F114" s="86"/>
      <c r="G114" s="53">
        <f>SUMIF(JournalsA!D$14:D$920,TrialBalanceA!M114,JournalsA!J$14:J$920)+SUMIF(JournalsA!E$14:E$920,TrialBalanceA!M114,JournalsA!J$14:J$920)</f>
        <v>0</v>
      </c>
      <c r="H114" s="363"/>
      <c r="I114" s="332">
        <f t="shared" si="10"/>
        <v>0</v>
      </c>
      <c r="J114" s="81"/>
      <c r="K114" s="54">
        <f t="shared" si="8"/>
        <v>0</v>
      </c>
      <c r="M114" s="192" t="str">
        <f t="shared" si="9"/>
        <v>3000/160Subscriptions and membership fees</v>
      </c>
      <c r="N114" s="76"/>
      <c r="P114" s="77"/>
      <c r="Q114" s="57"/>
      <c r="R114" s="31"/>
    </row>
    <row r="115" spans="1:18" x14ac:dyDescent="0.2">
      <c r="A115" s="315"/>
      <c r="B115" s="60" t="s">
        <v>330</v>
      </c>
      <c r="C115" s="319" t="s">
        <v>769</v>
      </c>
      <c r="D115" s="357"/>
      <c r="E115" s="356"/>
      <c r="F115" s="86"/>
      <c r="G115" s="53">
        <f>SUMIF(JournalsA!D$14:D$920,TrialBalanceA!M115,JournalsA!J$14:J$920)+SUMIF(JournalsA!E$14:E$920,TrialBalanceA!M115,JournalsA!J$14:J$920)</f>
        <v>0</v>
      </c>
      <c r="H115" s="363"/>
      <c r="I115" s="332">
        <f t="shared" si="10"/>
        <v>0</v>
      </c>
      <c r="J115" s="81"/>
      <c r="K115" s="54">
        <f t="shared" si="8"/>
        <v>0</v>
      </c>
      <c r="M115" s="192" t="str">
        <f t="shared" si="9"/>
        <v>3000/170Penalties and interest - SARS</v>
      </c>
      <c r="N115" s="76"/>
      <c r="P115" s="77"/>
      <c r="Q115" s="57"/>
      <c r="R115" s="31"/>
    </row>
    <row r="116" spans="1:18" x14ac:dyDescent="0.2">
      <c r="A116" s="315"/>
      <c r="B116" s="60" t="s">
        <v>281</v>
      </c>
      <c r="C116" s="352"/>
      <c r="D116" s="356"/>
      <c r="E116" s="356"/>
      <c r="F116" s="86"/>
      <c r="G116" s="53">
        <f>SUMIF(JournalsA!D$14:D$920,TrialBalanceA!M116,JournalsA!J$14:J$920)+SUMIF(JournalsA!E$14:E$920,TrialBalanceA!M116,JournalsA!J$14:J$920)</f>
        <v>0</v>
      </c>
      <c r="H116" s="363"/>
      <c r="I116" s="332">
        <f t="shared" si="10"/>
        <v>0</v>
      </c>
      <c r="J116" s="81"/>
      <c r="K116" s="54">
        <f t="shared" si="8"/>
        <v>0</v>
      </c>
      <c r="M116" s="192" t="str">
        <f t="shared" si="9"/>
        <v>3000/180</v>
      </c>
      <c r="N116" s="76"/>
      <c r="P116" s="77"/>
      <c r="Q116" s="57"/>
      <c r="R116" s="31"/>
    </row>
    <row r="117" spans="1:18" x14ac:dyDescent="0.2">
      <c r="A117" s="315"/>
      <c r="B117" s="60" t="s">
        <v>282</v>
      </c>
      <c r="C117" s="352"/>
      <c r="D117" s="356"/>
      <c r="E117" s="356"/>
      <c r="F117" s="86"/>
      <c r="G117" s="53">
        <f>SUMIF(JournalsA!D$14:D$920,TrialBalanceA!M117,JournalsA!J$14:J$920)+SUMIF(JournalsA!E$14:E$920,TrialBalanceA!M117,JournalsA!J$14:J$920)</f>
        <v>0</v>
      </c>
      <c r="H117" s="363"/>
      <c r="I117" s="332">
        <f t="shared" si="10"/>
        <v>0</v>
      </c>
      <c r="J117" s="81"/>
      <c r="K117" s="54">
        <f t="shared" si="8"/>
        <v>0</v>
      </c>
      <c r="M117" s="192" t="str">
        <f t="shared" si="9"/>
        <v>3000/190</v>
      </c>
      <c r="N117" s="76"/>
      <c r="P117" s="77"/>
      <c r="Q117" s="57"/>
      <c r="R117" s="31"/>
    </row>
    <row r="118" spans="1:18" x14ac:dyDescent="0.2">
      <c r="A118" s="315"/>
      <c r="B118" s="60" t="s">
        <v>283</v>
      </c>
      <c r="C118" s="352"/>
      <c r="D118" s="348"/>
      <c r="E118" s="356"/>
      <c r="F118" s="86"/>
      <c r="G118" s="53">
        <f>SUMIF(JournalsA!D$14:D$920,TrialBalanceA!M118,JournalsA!J$14:J$920)+SUMIF(JournalsA!E$14:E$920,TrialBalanceA!M118,JournalsA!J$14:J$920)</f>
        <v>0</v>
      </c>
      <c r="H118" s="363"/>
      <c r="I118" s="332">
        <f t="shared" si="10"/>
        <v>0</v>
      </c>
      <c r="J118" s="81"/>
      <c r="K118" s="54">
        <f t="shared" si="8"/>
        <v>0</v>
      </c>
      <c r="M118" s="192" t="str">
        <f t="shared" si="9"/>
        <v>3000/200</v>
      </c>
      <c r="N118" s="76"/>
      <c r="P118" s="77"/>
      <c r="Q118" s="57"/>
      <c r="R118" s="31"/>
    </row>
    <row r="119" spans="1:18" x14ac:dyDescent="0.2">
      <c r="A119" s="315"/>
      <c r="B119" s="60" t="s">
        <v>284</v>
      </c>
      <c r="C119" s="353"/>
      <c r="D119" s="348"/>
      <c r="E119" s="356"/>
      <c r="F119" s="86"/>
      <c r="G119" s="53">
        <f>SUMIF(JournalsA!D$14:D$920,TrialBalanceA!M119,JournalsA!J$14:J$920)+SUMIF(JournalsA!E$14:E$920,TrialBalanceA!M119,JournalsA!J$14:J$920)</f>
        <v>0</v>
      </c>
      <c r="H119" s="363"/>
      <c r="I119" s="332">
        <f t="shared" si="10"/>
        <v>0</v>
      </c>
      <c r="J119" s="81"/>
      <c r="K119" s="54">
        <f t="shared" si="8"/>
        <v>0</v>
      </c>
      <c r="M119" s="192" t="str">
        <f t="shared" si="9"/>
        <v>3000/210</v>
      </c>
      <c r="N119" s="76"/>
      <c r="P119" s="77"/>
      <c r="Q119" s="57"/>
      <c r="R119" s="31"/>
    </row>
    <row r="120" spans="1:18" x14ac:dyDescent="0.2">
      <c r="A120" s="315"/>
      <c r="B120" s="60" t="s">
        <v>285</v>
      </c>
      <c r="C120" s="352"/>
      <c r="D120" s="348"/>
      <c r="E120" s="356"/>
      <c r="F120" s="86"/>
      <c r="G120" s="53">
        <f>SUMIF(JournalsA!D$14:D$920,TrialBalanceA!M120,JournalsA!J$14:J$920)+SUMIF(JournalsA!E$14:E$920,TrialBalanceA!M120,JournalsA!J$14:J$920)</f>
        <v>0</v>
      </c>
      <c r="H120" s="363"/>
      <c r="I120" s="332">
        <f t="shared" si="10"/>
        <v>0</v>
      </c>
      <c r="J120" s="81"/>
      <c r="K120" s="54">
        <f t="shared" si="8"/>
        <v>0</v>
      </c>
      <c r="M120" s="192" t="str">
        <f t="shared" si="9"/>
        <v>3000/220</v>
      </c>
      <c r="N120" s="76"/>
      <c r="P120" s="77"/>
      <c r="Q120" s="57"/>
      <c r="R120" s="31"/>
    </row>
    <row r="121" spans="1:18" x14ac:dyDescent="0.2">
      <c r="A121" s="315"/>
      <c r="B121" s="110" t="s">
        <v>506</v>
      </c>
      <c r="C121" s="353"/>
      <c r="D121" s="348"/>
      <c r="E121" s="356"/>
      <c r="F121" s="86"/>
      <c r="G121" s="53">
        <f>SUMIF(JournalsA!D$14:D$920,TrialBalanceA!M121,JournalsA!J$14:J$920)+SUMIF(JournalsA!E$14:E$920,TrialBalanceA!M121,JournalsA!J$14:J$920)</f>
        <v>0</v>
      </c>
      <c r="H121" s="363"/>
      <c r="I121" s="332">
        <f t="shared" si="10"/>
        <v>0</v>
      </c>
      <c r="J121" s="81"/>
      <c r="K121" s="54">
        <f t="shared" si="8"/>
        <v>0</v>
      </c>
      <c r="M121" s="192" t="str">
        <f t="shared" si="9"/>
        <v>3000/230</v>
      </c>
      <c r="N121" s="76"/>
      <c r="P121" s="77"/>
      <c r="Q121" s="57"/>
      <c r="R121" s="31"/>
    </row>
    <row r="122" spans="1:18" x14ac:dyDescent="0.2">
      <c r="A122" s="315"/>
      <c r="B122" s="110" t="s">
        <v>507</v>
      </c>
      <c r="C122" s="353"/>
      <c r="D122" s="348"/>
      <c r="E122" s="356"/>
      <c r="F122" s="86"/>
      <c r="G122" s="53">
        <f>SUMIF(JournalsA!D$14:D$920,TrialBalanceA!M122,JournalsA!J$14:J$920)+SUMIF(JournalsA!E$14:E$920,TrialBalanceA!M122,JournalsA!J$14:J$920)</f>
        <v>0</v>
      </c>
      <c r="H122" s="363"/>
      <c r="I122" s="332">
        <f t="shared" ref="I122:I180" si="14">ROUND(D122-E122+G122+F122,0)</f>
        <v>0</v>
      </c>
      <c r="J122" s="81"/>
      <c r="K122" s="54">
        <f t="shared" si="8"/>
        <v>0</v>
      </c>
      <c r="M122" s="192" t="str">
        <f t="shared" si="9"/>
        <v>3000/240</v>
      </c>
      <c r="N122" s="76"/>
      <c r="P122" s="77"/>
      <c r="Q122" s="57"/>
      <c r="R122" s="31"/>
    </row>
    <row r="123" spans="1:18" x14ac:dyDescent="0.2">
      <c r="A123" s="315"/>
      <c r="B123" s="110" t="s">
        <v>508</v>
      </c>
      <c r="C123" s="353"/>
      <c r="D123" s="348"/>
      <c r="E123" s="356"/>
      <c r="F123" s="86"/>
      <c r="G123" s="53">
        <f>SUMIF(JournalsA!D$14:D$920,TrialBalanceA!M123,JournalsA!J$14:J$920)+SUMIF(JournalsA!E$14:E$920,TrialBalanceA!M123,JournalsA!J$14:J$920)</f>
        <v>0</v>
      </c>
      <c r="H123" s="363"/>
      <c r="I123" s="332">
        <f t="shared" si="14"/>
        <v>0</v>
      </c>
      <c r="J123" s="81"/>
      <c r="K123" s="54">
        <f t="shared" si="8"/>
        <v>0</v>
      </c>
      <c r="M123" s="192" t="str">
        <f t="shared" si="9"/>
        <v>3000/250</v>
      </c>
      <c r="N123" s="76"/>
      <c r="P123" s="77"/>
      <c r="Q123" s="57"/>
      <c r="R123" s="31"/>
    </row>
    <row r="124" spans="1:18" x14ac:dyDescent="0.2">
      <c r="A124" s="315"/>
      <c r="B124" s="110" t="s">
        <v>509</v>
      </c>
      <c r="C124" s="353"/>
      <c r="D124" s="348"/>
      <c r="E124" s="356"/>
      <c r="F124" s="86"/>
      <c r="G124" s="53">
        <f>SUMIF(JournalsA!D$14:D$920,TrialBalanceA!M124,JournalsA!J$14:J$920)+SUMIF(JournalsA!E$14:E$920,TrialBalanceA!M124,JournalsA!J$14:J$920)</f>
        <v>0</v>
      </c>
      <c r="H124" s="363"/>
      <c r="I124" s="332">
        <f t="shared" si="14"/>
        <v>0</v>
      </c>
      <c r="J124" s="81"/>
      <c r="K124" s="54">
        <f t="shared" ref="K124:K213" si="15">ROUND(SUM(A124),0)</f>
        <v>0</v>
      </c>
      <c r="M124" s="192" t="str">
        <f t="shared" ref="M124:M213" si="16">CONCATENATE(B124,C124)</f>
        <v>3000/260</v>
      </c>
      <c r="N124" s="76"/>
      <c r="P124" s="77"/>
      <c r="Q124" s="57"/>
      <c r="R124" s="31"/>
    </row>
    <row r="125" spans="1:18" x14ac:dyDescent="0.2">
      <c r="A125" s="315"/>
      <c r="B125" s="110" t="s">
        <v>510</v>
      </c>
      <c r="C125" s="318" t="s">
        <v>1056</v>
      </c>
      <c r="D125" s="356"/>
      <c r="E125" s="356"/>
      <c r="F125" s="86"/>
      <c r="G125" s="53">
        <f>SUMIF(JournalsA!D$14:D$920,TrialBalanceA!M125,JournalsA!J$14:J$920)+SUMIF(JournalsA!E$14:E$920,TrialBalanceA!M125,JournalsA!J$14:J$920)</f>
        <v>0</v>
      </c>
      <c r="H125" s="363"/>
      <c r="I125" s="332">
        <f t="shared" si="14"/>
        <v>0</v>
      </c>
      <c r="J125" s="81"/>
      <c r="K125" s="54">
        <f t="shared" si="15"/>
        <v>0</v>
      </c>
      <c r="M125" s="192" t="str">
        <f t="shared" si="16"/>
        <v>3000/270Amortisation of prepaid lease agreement</v>
      </c>
      <c r="N125" s="76"/>
      <c r="P125" s="77"/>
      <c r="Q125" s="57"/>
      <c r="R125" s="31"/>
    </row>
    <row r="126" spans="1:18" x14ac:dyDescent="0.2">
      <c r="A126" s="315"/>
      <c r="B126" s="110" t="s">
        <v>1082</v>
      </c>
      <c r="C126" s="319" t="s">
        <v>1083</v>
      </c>
      <c r="D126" s="356"/>
      <c r="E126" s="356"/>
      <c r="F126" s="86"/>
      <c r="G126" s="53">
        <f>SUMIF(JournalsA!D$14:D$920,TrialBalanceA!M126,JournalsA!J$14:J$920)+SUMIF(JournalsA!E$14:E$920,TrialBalanceA!M126,JournalsA!J$14:J$920)</f>
        <v>0</v>
      </c>
      <c r="H126" s="363"/>
      <c r="I126" s="332">
        <f t="shared" ref="I126" si="17">ROUND(D126-E126+G126+F126,0)</f>
        <v>0</v>
      </c>
      <c r="J126" s="81"/>
      <c r="K126" s="54">
        <f t="shared" ref="K126" si="18">ROUND(SUM(A126),0)</f>
        <v>0</v>
      </c>
      <c r="M126" s="192" t="str">
        <f t="shared" ref="M126" si="19">CONCATENATE(B126,C126)</f>
        <v>3000/280Amortisation of goodwill</v>
      </c>
      <c r="N126" s="76"/>
      <c r="P126" s="77"/>
      <c r="Q126" s="57"/>
      <c r="R126" s="31"/>
    </row>
    <row r="127" spans="1:18" x14ac:dyDescent="0.2">
      <c r="A127" s="315"/>
      <c r="B127" s="110" t="s">
        <v>967</v>
      </c>
      <c r="C127" s="316" t="s">
        <v>123</v>
      </c>
      <c r="D127" s="358"/>
      <c r="E127" s="356"/>
      <c r="F127" s="86"/>
      <c r="G127" s="53">
        <f>SUMIF(JournalsA!D$14:D$920,TrialBalanceA!M127,JournalsA!J$14:J$920)+SUMIF(JournalsA!E$14:E$920,TrialBalanceA!M127,JournalsA!J$14:J$920)</f>
        <v>0</v>
      </c>
      <c r="H127" s="363"/>
      <c r="I127" s="332">
        <f t="shared" si="14"/>
        <v>0</v>
      </c>
      <c r="J127" s="81"/>
      <c r="K127" s="54">
        <f t="shared" si="15"/>
        <v>0</v>
      </c>
      <c r="M127" s="192" t="str">
        <f t="shared" si="16"/>
        <v>3500/000FINANCE COSTS</v>
      </c>
      <c r="N127" s="76"/>
      <c r="P127" s="77"/>
      <c r="Q127" s="57"/>
      <c r="R127" s="31"/>
    </row>
    <row r="128" spans="1:18" x14ac:dyDescent="0.2">
      <c r="A128" s="315"/>
      <c r="B128" s="110" t="s">
        <v>968</v>
      </c>
      <c r="C128" s="316" t="s">
        <v>312</v>
      </c>
      <c r="D128" s="358"/>
      <c r="E128" s="356"/>
      <c r="F128" s="86"/>
      <c r="G128" s="53">
        <f>SUMIF(JournalsA!D$14:D$920,TrialBalanceA!M128,JournalsA!J$14:J$920)+SUMIF(JournalsA!E$14:E$920,TrialBalanceA!M128,JournalsA!J$14:J$920)</f>
        <v>0</v>
      </c>
      <c r="H128" s="363"/>
      <c r="I128" s="332">
        <f t="shared" si="14"/>
        <v>0</v>
      </c>
      <c r="J128" s="81"/>
      <c r="K128" s="54">
        <f t="shared" si="15"/>
        <v>0</v>
      </c>
      <c r="M128" s="192" t="str">
        <f t="shared" si="16"/>
        <v>3500/010Interest paid---------------------------</v>
      </c>
      <c r="N128" s="76"/>
      <c r="P128" s="77"/>
      <c r="Q128" s="57"/>
      <c r="R128" s="31"/>
    </row>
    <row r="129" spans="1:18" x14ac:dyDescent="0.2">
      <c r="A129" s="315"/>
      <c r="B129" s="110" t="s">
        <v>969</v>
      </c>
      <c r="C129" s="352"/>
      <c r="D129" s="356"/>
      <c r="E129" s="356"/>
      <c r="F129" s="86"/>
      <c r="G129" s="53">
        <f>SUMIF(JournalsA!D$14:D$920,TrialBalanceA!M129,JournalsA!J$14:J$920)+SUMIF(JournalsA!E$14:E$920,TrialBalanceA!M129,JournalsA!J$14:J$920)</f>
        <v>0</v>
      </c>
      <c r="H129" s="363"/>
      <c r="I129" s="332">
        <f t="shared" si="14"/>
        <v>0</v>
      </c>
      <c r="J129" s="81"/>
      <c r="K129" s="54">
        <f t="shared" si="15"/>
        <v>0</v>
      </c>
      <c r="M129" s="192" t="str">
        <f t="shared" si="16"/>
        <v>3500/011</v>
      </c>
      <c r="N129" s="76"/>
      <c r="P129" s="77"/>
      <c r="Q129" s="57"/>
      <c r="R129" s="31"/>
    </row>
    <row r="130" spans="1:18" x14ac:dyDescent="0.2">
      <c r="A130" s="315"/>
      <c r="B130" s="110" t="s">
        <v>970</v>
      </c>
      <c r="C130" s="353"/>
      <c r="D130" s="356"/>
      <c r="E130" s="356"/>
      <c r="F130" s="86"/>
      <c r="G130" s="53">
        <f>SUMIF(JournalsA!D$14:D$920,TrialBalanceA!M130,JournalsA!J$14:J$920)+SUMIF(JournalsA!E$14:E$920,TrialBalanceA!M130,JournalsA!J$14:J$920)</f>
        <v>0</v>
      </c>
      <c r="H130" s="363"/>
      <c r="I130" s="332">
        <f t="shared" si="14"/>
        <v>0</v>
      </c>
      <c r="J130" s="81"/>
      <c r="K130" s="54">
        <f t="shared" si="15"/>
        <v>0</v>
      </c>
      <c r="M130" s="192" t="str">
        <f t="shared" si="16"/>
        <v>3500/012</v>
      </c>
      <c r="N130" s="76"/>
      <c r="P130" s="77"/>
      <c r="Q130" s="57"/>
      <c r="R130" s="31"/>
    </row>
    <row r="131" spans="1:18" x14ac:dyDescent="0.2">
      <c r="A131" s="315"/>
      <c r="B131" s="110" t="s">
        <v>971</v>
      </c>
      <c r="C131" s="353"/>
      <c r="D131" s="356"/>
      <c r="E131" s="356"/>
      <c r="F131" s="86"/>
      <c r="G131" s="53">
        <f>SUMIF(JournalsA!D$14:D$920,TrialBalanceA!M131,JournalsA!J$14:J$920)+SUMIF(JournalsA!E$14:E$920,TrialBalanceA!M131,JournalsA!J$14:J$920)</f>
        <v>0</v>
      </c>
      <c r="H131" s="363"/>
      <c r="I131" s="332">
        <f t="shared" si="14"/>
        <v>0</v>
      </c>
      <c r="J131" s="81"/>
      <c r="K131" s="54">
        <f t="shared" si="15"/>
        <v>0</v>
      </c>
      <c r="M131" s="192" t="str">
        <f t="shared" si="16"/>
        <v>3500/013</v>
      </c>
      <c r="N131" s="76"/>
      <c r="P131" s="77"/>
      <c r="Q131" s="57"/>
      <c r="R131" s="31"/>
    </row>
    <row r="132" spans="1:18" x14ac:dyDescent="0.2">
      <c r="A132" s="315"/>
      <c r="B132" s="110" t="s">
        <v>972</v>
      </c>
      <c r="C132" s="353"/>
      <c r="D132" s="356"/>
      <c r="E132" s="356"/>
      <c r="F132" s="86"/>
      <c r="G132" s="53">
        <f>SUMIF(JournalsA!D$14:D$920,TrialBalanceA!M132,JournalsA!J$14:J$920)+SUMIF(JournalsA!E$14:E$920,TrialBalanceA!M132,JournalsA!J$14:J$920)</f>
        <v>0</v>
      </c>
      <c r="H132" s="363"/>
      <c r="I132" s="332">
        <f t="shared" si="14"/>
        <v>0</v>
      </c>
      <c r="J132" s="81"/>
      <c r="K132" s="54">
        <f t="shared" si="15"/>
        <v>0</v>
      </c>
      <c r="M132" s="192" t="str">
        <f t="shared" si="16"/>
        <v>3500/014</v>
      </c>
      <c r="N132" s="76"/>
      <c r="P132" s="77"/>
      <c r="Q132" s="57"/>
      <c r="R132" s="31"/>
    </row>
    <row r="133" spans="1:18" x14ac:dyDescent="0.2">
      <c r="A133" s="315"/>
      <c r="B133" s="110" t="s">
        <v>973</v>
      </c>
      <c r="C133" s="353"/>
      <c r="D133" s="356"/>
      <c r="E133" s="356"/>
      <c r="F133" s="86"/>
      <c r="G133" s="53">
        <f>SUMIF(JournalsA!D$14:D$920,TrialBalanceA!M133,JournalsA!J$14:J$920)+SUMIF(JournalsA!E$14:E$920,TrialBalanceA!M133,JournalsA!J$14:J$920)</f>
        <v>0</v>
      </c>
      <c r="H133" s="363"/>
      <c r="I133" s="332">
        <f t="shared" si="14"/>
        <v>0</v>
      </c>
      <c r="J133" s="81"/>
      <c r="K133" s="54">
        <f t="shared" si="15"/>
        <v>0</v>
      </c>
      <c r="M133" s="192" t="str">
        <f t="shared" si="16"/>
        <v>3500/015</v>
      </c>
      <c r="N133" s="76"/>
      <c r="P133" s="77"/>
      <c r="Q133" s="57"/>
      <c r="R133" s="31"/>
    </row>
    <row r="134" spans="1:18" x14ac:dyDescent="0.2">
      <c r="A134" s="315"/>
      <c r="B134" s="110" t="s">
        <v>974</v>
      </c>
      <c r="C134" s="353"/>
      <c r="D134" s="356"/>
      <c r="E134" s="356"/>
      <c r="F134" s="86"/>
      <c r="G134" s="53">
        <f>SUMIF(JournalsA!D$14:D$920,TrialBalanceA!M134,JournalsA!J$14:J$920)+SUMIF(JournalsA!E$14:E$920,TrialBalanceA!M134,JournalsA!J$14:J$920)</f>
        <v>0</v>
      </c>
      <c r="H134" s="363"/>
      <c r="I134" s="332">
        <f t="shared" si="14"/>
        <v>0</v>
      </c>
      <c r="J134" s="81"/>
      <c r="K134" s="54">
        <f t="shared" si="15"/>
        <v>0</v>
      </c>
      <c r="M134" s="192" t="str">
        <f t="shared" si="16"/>
        <v>3500/016</v>
      </c>
      <c r="N134" s="76"/>
      <c r="P134" s="77"/>
      <c r="Q134" s="57"/>
      <c r="R134" s="31"/>
    </row>
    <row r="135" spans="1:18" x14ac:dyDescent="0.2">
      <c r="A135" s="315"/>
      <c r="B135" s="110" t="s">
        <v>975</v>
      </c>
      <c r="C135" s="353"/>
      <c r="D135" s="356"/>
      <c r="E135" s="356"/>
      <c r="F135" s="86"/>
      <c r="G135" s="53">
        <f>SUMIF(JournalsA!D$14:D$920,TrialBalanceA!M135,JournalsA!J$14:J$920)+SUMIF(JournalsA!E$14:E$920,TrialBalanceA!M135,JournalsA!J$14:J$920)</f>
        <v>0</v>
      </c>
      <c r="H135" s="363"/>
      <c r="I135" s="332">
        <f t="shared" ref="I135:I137" si="20">ROUND(D135-E135+G135+F135,0)</f>
        <v>0</v>
      </c>
      <c r="J135" s="81"/>
      <c r="K135" s="54">
        <f t="shared" ref="K135:K137" si="21">ROUND(SUM(A135),0)</f>
        <v>0</v>
      </c>
      <c r="M135" s="192" t="str">
        <f t="shared" ref="M135:M137" si="22">CONCATENATE(B135,C135)</f>
        <v>3500/017</v>
      </c>
      <c r="N135" s="76"/>
      <c r="P135" s="77"/>
      <c r="Q135" s="57"/>
      <c r="R135" s="31"/>
    </row>
    <row r="136" spans="1:18" x14ac:dyDescent="0.2">
      <c r="A136" s="315"/>
      <c r="B136" s="110" t="s">
        <v>976</v>
      </c>
      <c r="C136" s="353"/>
      <c r="D136" s="356"/>
      <c r="E136" s="356"/>
      <c r="F136" s="86"/>
      <c r="G136" s="53">
        <f>SUMIF(JournalsA!D$14:D$920,TrialBalanceA!M136,JournalsA!J$14:J$920)+SUMIF(JournalsA!E$14:E$920,TrialBalanceA!M136,JournalsA!J$14:J$920)</f>
        <v>0</v>
      </c>
      <c r="H136" s="363"/>
      <c r="I136" s="332">
        <f t="shared" si="20"/>
        <v>0</v>
      </c>
      <c r="J136" s="81"/>
      <c r="K136" s="54">
        <f t="shared" si="21"/>
        <v>0</v>
      </c>
      <c r="M136" s="192" t="str">
        <f t="shared" si="22"/>
        <v>3500/018</v>
      </c>
      <c r="N136" s="76"/>
      <c r="P136" s="77"/>
      <c r="Q136" s="57"/>
      <c r="R136" s="31"/>
    </row>
    <row r="137" spans="1:18" x14ac:dyDescent="0.2">
      <c r="A137" s="315"/>
      <c r="B137" s="110" t="s">
        <v>977</v>
      </c>
      <c r="C137" s="353"/>
      <c r="D137" s="356"/>
      <c r="E137" s="356"/>
      <c r="F137" s="86"/>
      <c r="G137" s="53">
        <f>SUMIF(JournalsA!D$14:D$920,TrialBalanceA!M137,JournalsA!J$14:J$920)+SUMIF(JournalsA!E$14:E$920,TrialBalanceA!M137,JournalsA!J$14:J$920)</f>
        <v>0</v>
      </c>
      <c r="H137" s="363"/>
      <c r="I137" s="332">
        <f t="shared" si="20"/>
        <v>0</v>
      </c>
      <c r="J137" s="81"/>
      <c r="K137" s="54">
        <f t="shared" si="21"/>
        <v>0</v>
      </c>
      <c r="M137" s="192" t="str">
        <f t="shared" si="22"/>
        <v>3500/019</v>
      </c>
      <c r="N137" s="76"/>
      <c r="P137" s="77"/>
      <c r="Q137" s="57"/>
      <c r="R137" s="31"/>
    </row>
    <row r="138" spans="1:18" x14ac:dyDescent="0.2">
      <c r="A138" s="315"/>
      <c r="B138" s="110" t="s">
        <v>978</v>
      </c>
      <c r="C138" s="353"/>
      <c r="D138" s="356"/>
      <c r="E138" s="356"/>
      <c r="F138" s="86"/>
      <c r="G138" s="53">
        <f>SUMIF(JournalsA!D$14:D$920,TrialBalanceA!M138,JournalsA!J$14:J$920)+SUMIF(JournalsA!E$14:E$920,TrialBalanceA!M138,JournalsA!J$14:J$920)</f>
        <v>0</v>
      </c>
      <c r="H138" s="363"/>
      <c r="I138" s="332">
        <f t="shared" si="14"/>
        <v>0</v>
      </c>
      <c r="J138" s="81"/>
      <c r="K138" s="54">
        <f t="shared" si="15"/>
        <v>0</v>
      </c>
      <c r="M138" s="192" t="str">
        <f t="shared" si="16"/>
        <v>3500/020</v>
      </c>
      <c r="N138" s="76"/>
      <c r="P138" s="77"/>
      <c r="Q138" s="57"/>
      <c r="R138" s="31"/>
    </row>
    <row r="139" spans="1:18" x14ac:dyDescent="0.2">
      <c r="A139" s="315"/>
      <c r="B139" s="110" t="s">
        <v>979</v>
      </c>
      <c r="C139" s="317" t="str">
        <f>CONCATENATE("Interest on finance leases - ",Criteria!H14)</f>
        <v>Interest on finance leases - Seafront Restaurant</v>
      </c>
      <c r="D139" s="357"/>
      <c r="E139" s="356"/>
      <c r="F139" s="86"/>
      <c r="G139" s="53">
        <f>SUMIF(JournalsA!D$14:D$920,TrialBalanceA!M139,JournalsA!J$14:J$920)+SUMIF(JournalsA!E$14:E$920,TrialBalanceA!M139,JournalsA!J$14:J$920)</f>
        <v>0</v>
      </c>
      <c r="H139" s="363"/>
      <c r="I139" s="332">
        <f t="shared" si="14"/>
        <v>0</v>
      </c>
      <c r="J139" s="81"/>
      <c r="K139" s="54">
        <f t="shared" si="15"/>
        <v>0</v>
      </c>
      <c r="M139" s="192" t="str">
        <f t="shared" si="16"/>
        <v>3500/021Interest on finance leases - Seafront Restaurant</v>
      </c>
      <c r="N139" s="76"/>
      <c r="P139" s="77"/>
      <c r="Q139" s="57"/>
      <c r="R139" s="31"/>
    </row>
    <row r="140" spans="1:18" x14ac:dyDescent="0.2">
      <c r="A140" s="315"/>
      <c r="B140" s="110" t="s">
        <v>980</v>
      </c>
      <c r="C140" s="316" t="s">
        <v>348</v>
      </c>
      <c r="D140" s="358"/>
      <c r="E140" s="356"/>
      <c r="F140" s="86"/>
      <c r="G140" s="53">
        <f>SUMIF(JournalsA!D$14:D$920,TrialBalanceA!M140,JournalsA!J$14:J$920)+SUMIF(JournalsA!E$14:E$920,TrialBalanceA!M140,JournalsA!J$14:J$920)</f>
        <v>0</v>
      </c>
      <c r="H140" s="363"/>
      <c r="I140" s="332">
        <f t="shared" si="14"/>
        <v>0</v>
      </c>
      <c r="J140" s="81"/>
      <c r="K140" s="54">
        <f t="shared" si="15"/>
        <v>0</v>
      </c>
      <c r="M140" s="192" t="str">
        <f t="shared" si="16"/>
        <v>3550/000OTHER</v>
      </c>
      <c r="N140" s="76"/>
      <c r="P140" s="77"/>
      <c r="Q140" s="57"/>
      <c r="R140" s="31"/>
    </row>
    <row r="141" spans="1:18" x14ac:dyDescent="0.2">
      <c r="A141" s="315"/>
      <c r="B141" s="110" t="s">
        <v>981</v>
      </c>
      <c r="C141" s="318" t="s">
        <v>1081</v>
      </c>
      <c r="D141" s="356"/>
      <c r="E141" s="356"/>
      <c r="F141" s="86"/>
      <c r="G141" s="53">
        <f>SUMIF(JournalsA!D$14:D$920,TrialBalanceA!M141,JournalsA!J$14:J$920)+SUMIF(JournalsA!E$14:E$920,TrialBalanceA!M141,JournalsA!J$14:J$920)</f>
        <v>0</v>
      </c>
      <c r="H141" s="363"/>
      <c r="I141" s="332">
        <f>ROUND(D141-E141+G141+F141,0)</f>
        <v>0</v>
      </c>
      <c r="J141" s="81"/>
      <c r="K141" s="54">
        <f>ROUND(SUM(A141),0)</f>
        <v>0</v>
      </c>
      <c r="M141" s="192" t="str">
        <f>CONCATENATE(B141,C141)</f>
        <v>3550/010Impairment losses</v>
      </c>
      <c r="N141" s="76"/>
      <c r="P141" s="77"/>
      <c r="Q141" s="57"/>
      <c r="R141" s="31"/>
    </row>
    <row r="142" spans="1:18" x14ac:dyDescent="0.2">
      <c r="A142" s="315"/>
      <c r="B142" s="110" t="s">
        <v>950</v>
      </c>
      <c r="C142" s="321" t="s">
        <v>951</v>
      </c>
      <c r="D142" s="356"/>
      <c r="E142" s="356"/>
      <c r="F142" s="86"/>
      <c r="G142" s="53">
        <f>SUMIF(JournalsA!D$14:D$920,TrialBalanceA!M142,JournalsA!J$14:J$920)+SUMIF(JournalsA!E$14:E$920,TrialBalanceA!M142,JournalsA!J$14:J$920)</f>
        <v>0</v>
      </c>
      <c r="H142" s="363"/>
      <c r="I142" s="332">
        <f t="shared" ref="I142:I171" si="23">ROUND(D142-E142+G142+F142,0)</f>
        <v>0</v>
      </c>
      <c r="J142" s="81"/>
      <c r="K142" s="54">
        <f t="shared" ref="K142:K171" si="24">ROUND(SUM(A142),0)</f>
        <v>0</v>
      </c>
      <c r="M142" s="192" t="str">
        <f t="shared" ref="M142:M171" si="25">CONCATENATE(B142,C142)</f>
        <v>4000/000INCOME (OTHER THAN TRADING)</v>
      </c>
      <c r="N142" s="76"/>
      <c r="P142" s="77"/>
      <c r="Q142" s="57"/>
      <c r="R142" s="31"/>
    </row>
    <row r="143" spans="1:18" x14ac:dyDescent="0.2">
      <c r="A143" s="315"/>
      <c r="B143" s="110" t="s">
        <v>952</v>
      </c>
      <c r="C143" s="316" t="s">
        <v>771</v>
      </c>
      <c r="D143" s="358"/>
      <c r="E143" s="356"/>
      <c r="F143" s="86"/>
      <c r="G143" s="53">
        <f>SUMIF(JournalsA!D$14:D$920,TrialBalanceA!M143,JournalsA!J$14:J$920)+SUMIF(JournalsA!E$14:E$920,TrialBalanceA!M143,JournalsA!J$14:J$920)</f>
        <v>0</v>
      </c>
      <c r="H143" s="363"/>
      <c r="I143" s="332">
        <f t="shared" si="23"/>
        <v>0</v>
      </c>
      <c r="J143" s="81"/>
      <c r="K143" s="54">
        <f t="shared" si="24"/>
        <v>0</v>
      </c>
      <c r="M143" s="192" t="str">
        <f t="shared" si="25"/>
        <v>4100/000Interest received-----------------------</v>
      </c>
      <c r="N143" s="76"/>
      <c r="P143" s="77"/>
      <c r="Q143" s="57"/>
      <c r="R143" s="31"/>
    </row>
    <row r="144" spans="1:18" x14ac:dyDescent="0.2">
      <c r="A144" s="315"/>
      <c r="B144" s="110" t="s">
        <v>953</v>
      </c>
      <c r="C144" s="352"/>
      <c r="D144" s="350"/>
      <c r="E144" s="356"/>
      <c r="F144" s="86"/>
      <c r="G144" s="53">
        <f>SUMIF(JournalsA!D$14:D$920,TrialBalanceA!M144,JournalsA!J$14:J$920)+SUMIF(JournalsA!E$14:E$920,TrialBalanceA!M144,JournalsA!J$14:J$920)</f>
        <v>0</v>
      </c>
      <c r="H144" s="363"/>
      <c r="I144" s="332">
        <f t="shared" si="23"/>
        <v>0</v>
      </c>
      <c r="J144" s="81"/>
      <c r="K144" s="54">
        <f t="shared" si="24"/>
        <v>0</v>
      </c>
      <c r="M144" s="192" t="str">
        <f t="shared" si="25"/>
        <v>4100/001</v>
      </c>
      <c r="N144" s="76"/>
      <c r="P144" s="77"/>
      <c r="Q144" s="57"/>
      <c r="R144" s="31"/>
    </row>
    <row r="145" spans="1:18" x14ac:dyDescent="0.2">
      <c r="A145" s="315"/>
      <c r="B145" s="110" t="s">
        <v>954</v>
      </c>
      <c r="C145" s="354"/>
      <c r="D145" s="350"/>
      <c r="E145" s="356"/>
      <c r="F145" s="86"/>
      <c r="G145" s="53">
        <f>SUMIF(JournalsA!D$14:D$920,TrialBalanceA!M145,JournalsA!J$14:J$920)+SUMIF(JournalsA!E$14:E$920,TrialBalanceA!M145,JournalsA!J$14:J$920)</f>
        <v>0</v>
      </c>
      <c r="H145" s="363"/>
      <c r="I145" s="332">
        <f t="shared" si="23"/>
        <v>0</v>
      </c>
      <c r="J145" s="81"/>
      <c r="K145" s="54">
        <f t="shared" si="24"/>
        <v>0</v>
      </c>
      <c r="M145" s="192" t="str">
        <f t="shared" si="25"/>
        <v>4100/002</v>
      </c>
      <c r="N145" s="76"/>
      <c r="P145" s="77"/>
      <c r="Q145" s="57"/>
      <c r="R145" s="31"/>
    </row>
    <row r="146" spans="1:18" x14ac:dyDescent="0.2">
      <c r="A146" s="315"/>
      <c r="B146" s="110" t="s">
        <v>955</v>
      </c>
      <c r="C146" s="355"/>
      <c r="D146" s="357"/>
      <c r="E146" s="356"/>
      <c r="F146" s="86"/>
      <c r="G146" s="53">
        <f>SUMIF(JournalsA!D$14:D$920,TrialBalanceA!M146,JournalsA!J$14:J$920)+SUMIF(JournalsA!E$14:E$920,TrialBalanceA!M146,JournalsA!J$14:J$920)</f>
        <v>0</v>
      </c>
      <c r="H146" s="363"/>
      <c r="I146" s="332">
        <f t="shared" si="23"/>
        <v>0</v>
      </c>
      <c r="J146" s="81"/>
      <c r="K146" s="54">
        <f t="shared" si="24"/>
        <v>0</v>
      </c>
      <c r="M146" s="192" t="str">
        <f t="shared" si="25"/>
        <v>4100/003</v>
      </c>
      <c r="N146" s="76"/>
      <c r="P146" s="77"/>
      <c r="Q146" s="57"/>
      <c r="R146" s="31"/>
    </row>
    <row r="147" spans="1:18" x14ac:dyDescent="0.2">
      <c r="A147" s="315"/>
      <c r="B147" s="110" t="s">
        <v>956</v>
      </c>
      <c r="C147" s="355"/>
      <c r="D147" s="357"/>
      <c r="E147" s="356"/>
      <c r="F147" s="86"/>
      <c r="G147" s="53">
        <f>SUMIF(JournalsA!D$14:D$920,TrialBalanceA!M147,JournalsA!J$14:J$920)+SUMIF(JournalsA!E$14:E$920,TrialBalanceA!M147,JournalsA!J$14:J$920)</f>
        <v>0</v>
      </c>
      <c r="H147" s="363"/>
      <c r="I147" s="332">
        <f t="shared" si="23"/>
        <v>0</v>
      </c>
      <c r="J147" s="81"/>
      <c r="K147" s="54">
        <f t="shared" si="24"/>
        <v>0</v>
      </c>
      <c r="M147" s="192" t="str">
        <f t="shared" si="25"/>
        <v>4100/004</v>
      </c>
      <c r="N147" s="76"/>
      <c r="P147" s="77"/>
      <c r="Q147" s="57"/>
      <c r="R147" s="31"/>
    </row>
    <row r="148" spans="1:18" x14ac:dyDescent="0.2">
      <c r="A148" s="315"/>
      <c r="B148" s="110" t="s">
        <v>997</v>
      </c>
      <c r="C148" s="355"/>
      <c r="D148" s="357"/>
      <c r="E148" s="356"/>
      <c r="F148" s="86"/>
      <c r="G148" s="53">
        <f>SUMIF(JournalsA!D$14:D$920,TrialBalanceA!M148,JournalsA!J$14:J$920)+SUMIF(JournalsA!E$14:E$920,TrialBalanceA!M148,JournalsA!J$14:J$920)</f>
        <v>0</v>
      </c>
      <c r="H148" s="363"/>
      <c r="I148" s="332">
        <f t="shared" ref="I148:I151" si="26">ROUND(D148-E148+G148+F148,0)</f>
        <v>0</v>
      </c>
      <c r="J148" s="81"/>
      <c r="K148" s="54">
        <f t="shared" ref="K148:K151" si="27">ROUND(SUM(A148),0)</f>
        <v>0</v>
      </c>
      <c r="M148" s="192" t="str">
        <f t="shared" ref="M148:M151" si="28">CONCATENATE(B148,C148)</f>
        <v>4100/005</v>
      </c>
      <c r="N148" s="76"/>
      <c r="P148" s="77"/>
      <c r="Q148" s="57"/>
      <c r="R148" s="31"/>
    </row>
    <row r="149" spans="1:18" x14ac:dyDescent="0.2">
      <c r="A149" s="315"/>
      <c r="B149" s="110" t="s">
        <v>998</v>
      </c>
      <c r="C149" s="355"/>
      <c r="D149" s="357"/>
      <c r="E149" s="356"/>
      <c r="F149" s="86"/>
      <c r="G149" s="53">
        <f>SUMIF(JournalsA!D$14:D$920,TrialBalanceA!M149,JournalsA!J$14:J$920)+SUMIF(JournalsA!E$14:E$920,TrialBalanceA!M149,JournalsA!J$14:J$920)</f>
        <v>0</v>
      </c>
      <c r="H149" s="363"/>
      <c r="I149" s="332">
        <f t="shared" si="26"/>
        <v>0</v>
      </c>
      <c r="J149" s="81"/>
      <c r="K149" s="54">
        <f t="shared" si="27"/>
        <v>0</v>
      </c>
      <c r="M149" s="192" t="str">
        <f t="shared" si="28"/>
        <v>4100/006</v>
      </c>
      <c r="N149" s="76"/>
      <c r="P149" s="77"/>
      <c r="Q149" s="57"/>
      <c r="R149" s="31"/>
    </row>
    <row r="150" spans="1:18" x14ac:dyDescent="0.2">
      <c r="A150" s="315"/>
      <c r="B150" s="110" t="s">
        <v>999</v>
      </c>
      <c r="C150" s="355"/>
      <c r="D150" s="357"/>
      <c r="E150" s="356"/>
      <c r="F150" s="86"/>
      <c r="G150" s="53">
        <f>SUMIF(JournalsA!D$14:D$920,TrialBalanceA!M150,JournalsA!J$14:J$920)+SUMIF(JournalsA!E$14:E$920,TrialBalanceA!M150,JournalsA!J$14:J$920)</f>
        <v>0</v>
      </c>
      <c r="H150" s="363"/>
      <c r="I150" s="332">
        <f t="shared" si="26"/>
        <v>0</v>
      </c>
      <c r="J150" s="81"/>
      <c r="K150" s="54">
        <f t="shared" si="27"/>
        <v>0</v>
      </c>
      <c r="M150" s="192" t="str">
        <f t="shared" si="28"/>
        <v>4100/007</v>
      </c>
      <c r="N150" s="76"/>
      <c r="P150" s="77"/>
      <c r="Q150" s="57"/>
      <c r="R150" s="31"/>
    </row>
    <row r="151" spans="1:18" x14ac:dyDescent="0.2">
      <c r="A151" s="315"/>
      <c r="B151" s="110" t="s">
        <v>1000</v>
      </c>
      <c r="C151" s="355"/>
      <c r="D151" s="357"/>
      <c r="E151" s="356"/>
      <c r="F151" s="86"/>
      <c r="G151" s="53">
        <f>SUMIF(JournalsA!D$14:D$920,TrialBalanceA!M151,JournalsA!J$14:J$920)+SUMIF(JournalsA!E$14:E$920,TrialBalanceA!M151,JournalsA!J$14:J$920)</f>
        <v>0</v>
      </c>
      <c r="H151" s="363"/>
      <c r="I151" s="332">
        <f t="shared" si="26"/>
        <v>0</v>
      </c>
      <c r="J151" s="81"/>
      <c r="K151" s="54">
        <f t="shared" si="27"/>
        <v>0</v>
      </c>
      <c r="M151" s="192" t="str">
        <f t="shared" si="28"/>
        <v>4100/008</v>
      </c>
      <c r="N151" s="76"/>
      <c r="P151" s="77"/>
      <c r="Q151" s="57"/>
      <c r="R151" s="31"/>
    </row>
    <row r="152" spans="1:18" x14ac:dyDescent="0.2">
      <c r="A152" s="315"/>
      <c r="B152" s="110" t="s">
        <v>957</v>
      </c>
      <c r="C152" s="316" t="s">
        <v>303</v>
      </c>
      <c r="D152" s="358"/>
      <c r="E152" s="356"/>
      <c r="F152" s="86"/>
      <c r="G152" s="53">
        <f>SUMIF(JournalsA!D$14:D$920,TrialBalanceA!M152,JournalsA!J$14:J$920)+SUMIF(JournalsA!E$14:E$920,TrialBalanceA!M152,JournalsA!J$14:J$920)</f>
        <v>0</v>
      </c>
      <c r="H152" s="363"/>
      <c r="I152" s="332">
        <f t="shared" si="23"/>
        <v>0</v>
      </c>
      <c r="J152" s="81"/>
      <c r="K152" s="54">
        <f t="shared" si="24"/>
        <v>0</v>
      </c>
      <c r="M152" s="192" t="str">
        <f t="shared" si="25"/>
        <v>4200/000Dividends received----------------------</v>
      </c>
      <c r="N152" s="76"/>
      <c r="P152" s="77"/>
      <c r="Q152" s="57"/>
      <c r="R152" s="31"/>
    </row>
    <row r="153" spans="1:18" x14ac:dyDescent="0.2">
      <c r="A153" s="315"/>
      <c r="B153" s="110" t="s">
        <v>958</v>
      </c>
      <c r="C153" s="319" t="s">
        <v>722</v>
      </c>
      <c r="D153" s="357"/>
      <c r="E153" s="356"/>
      <c r="F153" s="86"/>
      <c r="G153" s="53">
        <f>SUMIF(JournalsA!D$14:D$920,TrialBalanceA!M153,JournalsA!J$14:J$920)+SUMIF(JournalsA!E$14:E$920,TrialBalanceA!M153,JournalsA!J$14:J$920)</f>
        <v>0</v>
      </c>
      <c r="H153" s="363"/>
      <c r="I153" s="332">
        <f t="shared" si="23"/>
        <v>0</v>
      </c>
      <c r="J153" s="81"/>
      <c r="K153" s="54">
        <f t="shared" si="24"/>
        <v>0</v>
      </c>
      <c r="M153" s="192" t="str">
        <f t="shared" si="25"/>
        <v>4200/001Div.'s received - SA sources</v>
      </c>
      <c r="N153" s="76"/>
      <c r="P153" s="77"/>
      <c r="Q153" s="57"/>
      <c r="R153" s="31"/>
    </row>
    <row r="154" spans="1:18" x14ac:dyDescent="0.2">
      <c r="A154" s="315"/>
      <c r="B154" s="110" t="s">
        <v>959</v>
      </c>
      <c r="C154" s="319" t="s">
        <v>723</v>
      </c>
      <c r="D154" s="357"/>
      <c r="E154" s="356"/>
      <c r="F154" s="86"/>
      <c r="G154" s="53">
        <f>SUMIF(JournalsA!D$14:D$920,TrialBalanceA!M154,JournalsA!J$14:J$920)+SUMIF(JournalsA!E$14:E$920,TrialBalanceA!M154,JournalsA!J$14:J$920)</f>
        <v>0</v>
      </c>
      <c r="H154" s="363"/>
      <c r="I154" s="332">
        <f t="shared" si="23"/>
        <v>0</v>
      </c>
      <c r="J154" s="81"/>
      <c r="K154" s="54">
        <f t="shared" si="24"/>
        <v>0</v>
      </c>
      <c r="M154" s="192" t="str">
        <f t="shared" si="25"/>
        <v>4200/002Div.'s received - Foreign div.'s</v>
      </c>
      <c r="N154" s="76"/>
      <c r="P154" s="77"/>
      <c r="Q154" s="57"/>
      <c r="R154" s="31"/>
    </row>
    <row r="155" spans="1:18" x14ac:dyDescent="0.2">
      <c r="A155" s="315"/>
      <c r="B155" s="110" t="s">
        <v>961</v>
      </c>
      <c r="C155" s="321" t="s">
        <v>960</v>
      </c>
      <c r="D155" s="356"/>
      <c r="E155" s="356"/>
      <c r="F155" s="86"/>
      <c r="G155" s="53">
        <f>SUMIF(JournalsA!D$14:D$920,TrialBalanceA!M155,JournalsA!J$14:J$920)+SUMIF(JournalsA!E$14:E$920,TrialBalanceA!M155,JournalsA!J$14:J$920)</f>
        <v>0</v>
      </c>
      <c r="H155" s="363"/>
      <c r="I155" s="332">
        <f t="shared" si="23"/>
        <v>0</v>
      </c>
      <c r="J155" s="81"/>
      <c r="K155" s="54">
        <f t="shared" si="24"/>
        <v>0</v>
      </c>
      <c r="M155" s="192" t="str">
        <f t="shared" si="25"/>
        <v>4300/000Other income----------------------------------</v>
      </c>
      <c r="N155" s="76"/>
      <c r="P155" s="77"/>
      <c r="Q155" s="57"/>
      <c r="R155" s="31"/>
    </row>
    <row r="156" spans="1:18" x14ac:dyDescent="0.2">
      <c r="A156" s="315"/>
      <c r="B156" s="110" t="s">
        <v>962</v>
      </c>
      <c r="C156" s="352"/>
      <c r="D156" s="356"/>
      <c r="E156" s="356"/>
      <c r="F156" s="86"/>
      <c r="G156" s="53">
        <f>SUMIF(JournalsA!D$14:D$920,TrialBalanceA!M156,JournalsA!J$14:J$920)+SUMIF(JournalsA!E$14:E$920,TrialBalanceA!M156,JournalsA!J$14:J$920)</f>
        <v>0</v>
      </c>
      <c r="H156" s="363"/>
      <c r="I156" s="332">
        <f t="shared" si="23"/>
        <v>0</v>
      </c>
      <c r="J156" s="81"/>
      <c r="K156" s="54">
        <f t="shared" si="24"/>
        <v>0</v>
      </c>
      <c r="M156" s="192" t="str">
        <f t="shared" si="25"/>
        <v>4300/001</v>
      </c>
      <c r="N156" s="76"/>
      <c r="P156" s="77"/>
      <c r="Q156" s="57"/>
      <c r="R156" s="31"/>
    </row>
    <row r="157" spans="1:18" x14ac:dyDescent="0.2">
      <c r="A157" s="315"/>
      <c r="B157" s="110" t="s">
        <v>963</v>
      </c>
      <c r="C157" s="352"/>
      <c r="D157" s="356"/>
      <c r="E157" s="356"/>
      <c r="F157" s="86"/>
      <c r="G157" s="53">
        <f>SUMIF(JournalsA!D$14:D$920,TrialBalanceA!M157,JournalsA!J$14:J$920)+SUMIF(JournalsA!E$14:E$920,TrialBalanceA!M157,JournalsA!J$14:J$920)</f>
        <v>0</v>
      </c>
      <c r="H157" s="363"/>
      <c r="I157" s="332">
        <f t="shared" si="23"/>
        <v>0</v>
      </c>
      <c r="J157" s="81"/>
      <c r="K157" s="54">
        <f t="shared" si="24"/>
        <v>0</v>
      </c>
      <c r="M157" s="192" t="str">
        <f t="shared" si="25"/>
        <v>4300/002</v>
      </c>
      <c r="N157" s="76"/>
      <c r="P157" s="77"/>
      <c r="Q157" s="57"/>
      <c r="R157" s="31"/>
    </row>
    <row r="158" spans="1:18" x14ac:dyDescent="0.2">
      <c r="A158" s="315"/>
      <c r="B158" s="110" t="s">
        <v>964</v>
      </c>
      <c r="C158" s="352"/>
      <c r="D158" s="356"/>
      <c r="E158" s="356"/>
      <c r="F158" s="86"/>
      <c r="G158" s="53">
        <f>SUMIF(JournalsA!D$14:D$920,TrialBalanceA!M158,JournalsA!J$14:J$920)+SUMIF(JournalsA!E$14:E$920,TrialBalanceA!M158,JournalsA!J$14:J$920)</f>
        <v>0</v>
      </c>
      <c r="H158" s="363"/>
      <c r="I158" s="332">
        <f t="shared" si="23"/>
        <v>0</v>
      </c>
      <c r="J158" s="81"/>
      <c r="K158" s="54">
        <f t="shared" si="24"/>
        <v>0</v>
      </c>
      <c r="M158" s="192" t="str">
        <f t="shared" si="25"/>
        <v>4300/003</v>
      </c>
      <c r="N158" s="76"/>
      <c r="P158" s="77"/>
      <c r="Q158" s="57"/>
      <c r="R158" s="31"/>
    </row>
    <row r="159" spans="1:18" x14ac:dyDescent="0.2">
      <c r="A159" s="315"/>
      <c r="B159" s="110" t="s">
        <v>965</v>
      </c>
      <c r="C159" s="352"/>
      <c r="D159" s="356"/>
      <c r="E159" s="356"/>
      <c r="F159" s="86"/>
      <c r="G159" s="53">
        <f>SUMIF(JournalsA!D$14:D$920,TrialBalanceA!M159,JournalsA!J$14:J$920)+SUMIF(JournalsA!E$14:E$920,TrialBalanceA!M159,JournalsA!J$14:J$920)</f>
        <v>0</v>
      </c>
      <c r="H159" s="363"/>
      <c r="I159" s="332">
        <f t="shared" si="23"/>
        <v>0</v>
      </c>
      <c r="J159" s="81"/>
      <c r="K159" s="54">
        <f t="shared" si="24"/>
        <v>0</v>
      </c>
      <c r="M159" s="192" t="str">
        <f t="shared" si="25"/>
        <v>4300/004</v>
      </c>
      <c r="N159" s="76"/>
      <c r="P159" s="77"/>
      <c r="Q159" s="57"/>
      <c r="R159" s="31"/>
    </row>
    <row r="160" spans="1:18" x14ac:dyDescent="0.2">
      <c r="A160" s="315"/>
      <c r="B160" s="110" t="s">
        <v>966</v>
      </c>
      <c r="C160" s="352"/>
      <c r="D160" s="356"/>
      <c r="E160" s="356"/>
      <c r="F160" s="86"/>
      <c r="G160" s="53">
        <f>SUMIF(JournalsA!D$14:D$920,TrialBalanceA!M160,JournalsA!J$14:J$920)+SUMIF(JournalsA!E$14:E$920,TrialBalanceA!M160,JournalsA!J$14:J$920)</f>
        <v>0</v>
      </c>
      <c r="H160" s="363"/>
      <c r="I160" s="332">
        <f t="shared" si="23"/>
        <v>0</v>
      </c>
      <c r="J160" s="81"/>
      <c r="K160" s="54">
        <f t="shared" si="24"/>
        <v>0</v>
      </c>
      <c r="M160" s="192" t="str">
        <f t="shared" si="25"/>
        <v>4300/005</v>
      </c>
      <c r="N160" s="76"/>
      <c r="P160" s="77"/>
      <c r="Q160" s="57"/>
      <c r="R160" s="31"/>
    </row>
    <row r="161" spans="1:18" x14ac:dyDescent="0.2">
      <c r="A161" s="315"/>
      <c r="B161" s="110" t="s">
        <v>982</v>
      </c>
      <c r="C161" s="352"/>
      <c r="D161" s="356"/>
      <c r="E161" s="356"/>
      <c r="F161" s="86"/>
      <c r="G161" s="53">
        <f>SUMIF(JournalsA!D$14:D$920,TrialBalanceA!M161,JournalsA!J$14:J$920)+SUMIF(JournalsA!E$14:E$920,TrialBalanceA!M161,JournalsA!J$14:J$920)</f>
        <v>0</v>
      </c>
      <c r="H161" s="363"/>
      <c r="I161" s="332">
        <f t="shared" si="23"/>
        <v>0</v>
      </c>
      <c r="J161" s="81"/>
      <c r="K161" s="54">
        <f t="shared" si="24"/>
        <v>0</v>
      </c>
      <c r="M161" s="192" t="str">
        <f t="shared" si="25"/>
        <v>4300/006</v>
      </c>
      <c r="N161" s="76"/>
      <c r="P161" s="77"/>
      <c r="Q161" s="57"/>
      <c r="R161" s="31"/>
    </row>
    <row r="162" spans="1:18" x14ac:dyDescent="0.2">
      <c r="A162" s="315"/>
      <c r="B162" s="110" t="s">
        <v>983</v>
      </c>
      <c r="C162" s="352"/>
      <c r="D162" s="356"/>
      <c r="E162" s="356"/>
      <c r="F162" s="86"/>
      <c r="G162" s="53">
        <f>SUMIF(JournalsA!D$14:D$920,TrialBalanceA!M162,JournalsA!J$14:J$920)+SUMIF(JournalsA!E$14:E$920,TrialBalanceA!M162,JournalsA!J$14:J$920)</f>
        <v>0</v>
      </c>
      <c r="H162" s="363"/>
      <c r="I162" s="332">
        <f t="shared" si="23"/>
        <v>0</v>
      </c>
      <c r="J162" s="81"/>
      <c r="K162" s="54">
        <f t="shared" si="24"/>
        <v>0</v>
      </c>
      <c r="M162" s="192" t="str">
        <f t="shared" si="25"/>
        <v>4300/007</v>
      </c>
      <c r="N162" s="76"/>
      <c r="P162" s="77"/>
      <c r="Q162" s="57"/>
      <c r="R162" s="31"/>
    </row>
    <row r="163" spans="1:18" x14ac:dyDescent="0.2">
      <c r="A163" s="315"/>
      <c r="B163" s="110" t="s">
        <v>984</v>
      </c>
      <c r="C163" s="352"/>
      <c r="D163" s="356"/>
      <c r="E163" s="356"/>
      <c r="F163" s="86"/>
      <c r="G163" s="53">
        <f>SUMIF(JournalsA!D$14:D$920,TrialBalanceA!M163,JournalsA!J$14:J$920)+SUMIF(JournalsA!E$14:E$920,TrialBalanceA!M163,JournalsA!J$14:J$920)</f>
        <v>0</v>
      </c>
      <c r="H163" s="363"/>
      <c r="I163" s="332">
        <f t="shared" si="23"/>
        <v>0</v>
      </c>
      <c r="J163" s="81"/>
      <c r="K163" s="54">
        <f t="shared" si="24"/>
        <v>0</v>
      </c>
      <c r="M163" s="192" t="str">
        <f t="shared" si="25"/>
        <v>4300/008</v>
      </c>
      <c r="N163" s="76"/>
      <c r="P163" s="77"/>
      <c r="Q163" s="57"/>
      <c r="R163" s="31"/>
    </row>
    <row r="164" spans="1:18" x14ac:dyDescent="0.2">
      <c r="A164" s="315"/>
      <c r="B164" s="110" t="s">
        <v>985</v>
      </c>
      <c r="C164" s="352"/>
      <c r="D164" s="356"/>
      <c r="E164" s="356"/>
      <c r="F164" s="86"/>
      <c r="G164" s="53">
        <f>SUMIF(JournalsA!D$14:D$920,TrialBalanceA!M164,JournalsA!J$14:J$920)+SUMIF(JournalsA!E$14:E$920,TrialBalanceA!M164,JournalsA!J$14:J$920)</f>
        <v>0</v>
      </c>
      <c r="H164" s="363"/>
      <c r="I164" s="332">
        <f t="shared" si="23"/>
        <v>0</v>
      </c>
      <c r="J164" s="81"/>
      <c r="K164" s="54">
        <f t="shared" si="24"/>
        <v>0</v>
      </c>
      <c r="M164" s="192" t="str">
        <f t="shared" si="25"/>
        <v>4300/009</v>
      </c>
      <c r="N164" s="76"/>
      <c r="P164" s="77"/>
      <c r="Q164" s="57"/>
      <c r="R164" s="31"/>
    </row>
    <row r="165" spans="1:18" x14ac:dyDescent="0.2">
      <c r="A165" s="315"/>
      <c r="B165" s="110" t="s">
        <v>986</v>
      </c>
      <c r="C165" s="352"/>
      <c r="D165" s="356"/>
      <c r="E165" s="356"/>
      <c r="F165" s="86"/>
      <c r="G165" s="53">
        <f>SUMIF(JournalsA!D$14:D$920,TrialBalanceA!M165,JournalsA!J$14:J$920)+SUMIF(JournalsA!E$14:E$920,TrialBalanceA!M165,JournalsA!J$14:J$920)</f>
        <v>0</v>
      </c>
      <c r="H165" s="363"/>
      <c r="I165" s="332">
        <f t="shared" si="23"/>
        <v>0</v>
      </c>
      <c r="J165" s="81"/>
      <c r="K165" s="54">
        <f t="shared" si="24"/>
        <v>0</v>
      </c>
      <c r="M165" s="192" t="str">
        <f t="shared" si="25"/>
        <v>4300/010</v>
      </c>
      <c r="N165" s="76"/>
      <c r="P165" s="77"/>
      <c r="Q165" s="57"/>
      <c r="R165" s="31"/>
    </row>
    <row r="166" spans="1:18" x14ac:dyDescent="0.2">
      <c r="A166" s="315"/>
      <c r="B166" s="49" t="s">
        <v>987</v>
      </c>
      <c r="C166" s="321" t="s">
        <v>988</v>
      </c>
      <c r="D166" s="356"/>
      <c r="E166" s="356"/>
      <c r="F166" s="86"/>
      <c r="G166" s="53">
        <f>SUMIF(JournalsA!D$14:D$920,TrialBalanceA!M166,JournalsA!J$14:J$920)+SUMIF(JournalsA!E$14:E$920,TrialBalanceA!M166,JournalsA!J$14:J$920)</f>
        <v>0</v>
      </c>
      <c r="H166" s="363"/>
      <c r="I166" s="332">
        <f t="shared" si="23"/>
        <v>0</v>
      </c>
      <c r="J166" s="81"/>
      <c r="K166" s="54">
        <f t="shared" si="24"/>
        <v>0</v>
      </c>
      <c r="M166" s="192" t="str">
        <f t="shared" si="25"/>
        <v>4500/000Expenses applicable to other income</v>
      </c>
      <c r="N166" s="76"/>
      <c r="P166" s="77"/>
      <c r="Q166" s="57"/>
      <c r="R166" s="31"/>
    </row>
    <row r="167" spans="1:18" x14ac:dyDescent="0.2">
      <c r="A167" s="315"/>
      <c r="B167" s="49" t="s">
        <v>989</v>
      </c>
      <c r="C167" s="352"/>
      <c r="D167" s="356"/>
      <c r="E167" s="356"/>
      <c r="F167" s="86"/>
      <c r="G167" s="53">
        <f>SUMIF(JournalsA!D$14:D$920,TrialBalanceA!M167,JournalsA!J$14:J$920)+SUMIF(JournalsA!E$14:E$920,TrialBalanceA!M167,JournalsA!J$14:J$920)</f>
        <v>0</v>
      </c>
      <c r="H167" s="363"/>
      <c r="I167" s="332">
        <f t="shared" si="23"/>
        <v>0</v>
      </c>
      <c r="J167" s="81"/>
      <c r="K167" s="54">
        <f t="shared" si="24"/>
        <v>0</v>
      </c>
      <c r="M167" s="192" t="str">
        <f t="shared" si="25"/>
        <v>4500/001</v>
      </c>
      <c r="N167" s="76"/>
      <c r="P167" s="77"/>
      <c r="Q167" s="57"/>
      <c r="R167" s="31"/>
    </row>
    <row r="168" spans="1:18" x14ac:dyDescent="0.2">
      <c r="A168" s="315"/>
      <c r="B168" s="49" t="s">
        <v>990</v>
      </c>
      <c r="C168" s="352"/>
      <c r="D168" s="356"/>
      <c r="E168" s="356"/>
      <c r="F168" s="86"/>
      <c r="G168" s="53">
        <f>SUMIF(JournalsA!D$14:D$920,TrialBalanceA!M168,JournalsA!J$14:J$920)+SUMIF(JournalsA!E$14:E$920,TrialBalanceA!M168,JournalsA!J$14:J$920)</f>
        <v>0</v>
      </c>
      <c r="H168" s="363"/>
      <c r="I168" s="332">
        <f t="shared" si="23"/>
        <v>0</v>
      </c>
      <c r="J168" s="81"/>
      <c r="K168" s="54">
        <f t="shared" si="24"/>
        <v>0</v>
      </c>
      <c r="M168" s="192" t="str">
        <f t="shared" si="25"/>
        <v>4500/002</v>
      </c>
      <c r="N168" s="76"/>
      <c r="P168" s="77"/>
      <c r="Q168" s="57"/>
      <c r="R168" s="31"/>
    </row>
    <row r="169" spans="1:18" x14ac:dyDescent="0.2">
      <c r="A169" s="315"/>
      <c r="B169" s="49" t="s">
        <v>991</v>
      </c>
      <c r="C169" s="352"/>
      <c r="D169" s="356"/>
      <c r="E169" s="356"/>
      <c r="F169" s="86"/>
      <c r="G169" s="53">
        <f>SUMIF(JournalsA!D$14:D$920,TrialBalanceA!M169,JournalsA!J$14:J$920)+SUMIF(JournalsA!E$14:E$920,TrialBalanceA!M169,JournalsA!J$14:J$920)</f>
        <v>0</v>
      </c>
      <c r="H169" s="363"/>
      <c r="I169" s="332">
        <f t="shared" si="23"/>
        <v>0</v>
      </c>
      <c r="J169" s="81"/>
      <c r="K169" s="54">
        <f t="shared" si="24"/>
        <v>0</v>
      </c>
      <c r="M169" s="192" t="str">
        <f t="shared" si="25"/>
        <v>4500/003</v>
      </c>
      <c r="N169" s="76"/>
      <c r="P169" s="77"/>
      <c r="Q169" s="57"/>
      <c r="R169" s="31"/>
    </row>
    <row r="170" spans="1:18" x14ac:dyDescent="0.2">
      <c r="A170" s="315"/>
      <c r="B170" s="49" t="s">
        <v>992</v>
      </c>
      <c r="C170" s="352"/>
      <c r="D170" s="356"/>
      <c r="E170" s="356"/>
      <c r="F170" s="86"/>
      <c r="G170" s="53">
        <f>SUMIF(JournalsA!D$14:D$920,TrialBalanceA!M170,JournalsA!J$14:J$920)+SUMIF(JournalsA!E$14:E$920,TrialBalanceA!M170,JournalsA!J$14:J$920)</f>
        <v>0</v>
      </c>
      <c r="H170" s="363"/>
      <c r="I170" s="332">
        <f t="shared" si="23"/>
        <v>0</v>
      </c>
      <c r="J170" s="81"/>
      <c r="K170" s="54">
        <f t="shared" si="24"/>
        <v>0</v>
      </c>
      <c r="M170" s="192" t="str">
        <f t="shared" si="25"/>
        <v>4500/004</v>
      </c>
      <c r="N170" s="76"/>
      <c r="P170" s="77"/>
      <c r="Q170" s="57"/>
      <c r="R170" s="31"/>
    </row>
    <row r="171" spans="1:18" x14ac:dyDescent="0.2">
      <c r="A171" s="315"/>
      <c r="B171" s="49" t="s">
        <v>993</v>
      </c>
      <c r="C171" s="352"/>
      <c r="D171" s="356"/>
      <c r="E171" s="356"/>
      <c r="F171" s="86"/>
      <c r="G171" s="53">
        <f>SUMIF(JournalsA!D$14:D$920,TrialBalanceA!M171,JournalsA!J$14:J$920)+SUMIF(JournalsA!E$14:E$920,TrialBalanceA!M171,JournalsA!J$14:J$920)</f>
        <v>0</v>
      </c>
      <c r="H171" s="363"/>
      <c r="I171" s="332">
        <f t="shared" si="23"/>
        <v>0</v>
      </c>
      <c r="J171" s="81"/>
      <c r="K171" s="54">
        <f t="shared" si="24"/>
        <v>0</v>
      </c>
      <c r="M171" s="192" t="str">
        <f t="shared" si="25"/>
        <v>4500/005</v>
      </c>
      <c r="N171" s="76"/>
      <c r="P171" s="77"/>
      <c r="Q171" s="57"/>
      <c r="R171" s="31"/>
    </row>
    <row r="172" spans="1:18" x14ac:dyDescent="0.2">
      <c r="A172" s="315"/>
      <c r="B172" s="60"/>
      <c r="C172" s="316"/>
      <c r="D172" s="358"/>
      <c r="E172" s="356"/>
      <c r="F172" s="86"/>
      <c r="G172" s="53"/>
      <c r="H172" s="363"/>
      <c r="I172" s="332">
        <f t="shared" si="14"/>
        <v>0</v>
      </c>
      <c r="J172" s="81"/>
      <c r="K172" s="54">
        <f t="shared" si="15"/>
        <v>0</v>
      </c>
      <c r="M172" s="192" t="str">
        <f t="shared" si="16"/>
        <v/>
      </c>
      <c r="N172" s="76"/>
      <c r="P172" s="77"/>
      <c r="Q172" s="57"/>
      <c r="R172" s="31"/>
    </row>
    <row r="173" spans="1:18" x14ac:dyDescent="0.2">
      <c r="A173" s="315"/>
      <c r="B173" s="60"/>
      <c r="C173" s="317"/>
      <c r="D173" s="357"/>
      <c r="E173" s="356"/>
      <c r="F173" s="86"/>
      <c r="G173" s="53"/>
      <c r="H173" s="363"/>
      <c r="I173" s="332">
        <f t="shared" si="14"/>
        <v>0</v>
      </c>
      <c r="J173" s="81"/>
      <c r="K173" s="54">
        <f t="shared" si="15"/>
        <v>0</v>
      </c>
      <c r="M173" s="192" t="str">
        <f t="shared" si="16"/>
        <v/>
      </c>
      <c r="N173" s="76"/>
      <c r="P173" s="77"/>
      <c r="Q173" s="57"/>
      <c r="R173" s="31"/>
    </row>
    <row r="174" spans="1:18" x14ac:dyDescent="0.2">
      <c r="A174" s="315"/>
      <c r="B174" s="60"/>
      <c r="C174" s="317"/>
      <c r="D174" s="357"/>
      <c r="E174" s="356"/>
      <c r="F174" s="86"/>
      <c r="G174" s="53"/>
      <c r="H174" s="363"/>
      <c r="I174" s="332">
        <f t="shared" si="14"/>
        <v>0</v>
      </c>
      <c r="J174" s="81"/>
      <c r="K174" s="54">
        <f t="shared" si="15"/>
        <v>0</v>
      </c>
      <c r="M174" s="192" t="str">
        <f t="shared" si="16"/>
        <v/>
      </c>
      <c r="N174" s="76"/>
      <c r="P174" s="77"/>
      <c r="Q174" s="57"/>
      <c r="R174" s="31"/>
    </row>
    <row r="175" spans="1:18" x14ac:dyDescent="0.2">
      <c r="A175" s="315"/>
      <c r="B175" s="60"/>
      <c r="C175" s="319"/>
      <c r="D175" s="357"/>
      <c r="E175" s="356"/>
      <c r="F175" s="86"/>
      <c r="G175" s="53"/>
      <c r="H175" s="363"/>
      <c r="I175" s="332">
        <f t="shared" si="14"/>
        <v>0</v>
      </c>
      <c r="J175" s="81"/>
      <c r="K175" s="54">
        <f t="shared" si="15"/>
        <v>0</v>
      </c>
      <c r="M175" s="192" t="str">
        <f t="shared" si="16"/>
        <v/>
      </c>
      <c r="N175" s="76"/>
      <c r="P175" s="77"/>
      <c r="Q175" s="57"/>
      <c r="R175" s="31"/>
    </row>
    <row r="176" spans="1:18" x14ac:dyDescent="0.2">
      <c r="A176" s="315"/>
      <c r="B176" s="60" t="s">
        <v>233</v>
      </c>
      <c r="C176" s="317"/>
      <c r="D176" s="357"/>
      <c r="E176" s="348"/>
      <c r="F176" s="86"/>
      <c r="G176" s="53"/>
      <c r="H176" s="363"/>
      <c r="I176" s="332">
        <f t="shared" si="14"/>
        <v>0</v>
      </c>
      <c r="J176" s="81"/>
      <c r="K176" s="54">
        <f t="shared" si="15"/>
        <v>0</v>
      </c>
      <c r="M176" s="192">
        <v>0</v>
      </c>
      <c r="N176" s="76"/>
      <c r="P176" s="77"/>
      <c r="Q176" s="57"/>
      <c r="R176" s="31"/>
    </row>
    <row r="177" spans="1:18" x14ac:dyDescent="0.2">
      <c r="A177" s="315"/>
      <c r="B177" s="60" t="s">
        <v>233</v>
      </c>
      <c r="C177" s="317" t="s">
        <v>233</v>
      </c>
      <c r="D177" s="357"/>
      <c r="E177" s="348"/>
      <c r="F177" s="86"/>
      <c r="G177" s="53"/>
      <c r="H177" s="363"/>
      <c r="I177" s="332">
        <f t="shared" si="14"/>
        <v>0</v>
      </c>
      <c r="J177" s="81"/>
      <c r="K177" s="54">
        <f t="shared" si="15"/>
        <v>0</v>
      </c>
      <c r="M177" s="192">
        <v>0</v>
      </c>
      <c r="N177" s="76"/>
      <c r="P177" s="77"/>
      <c r="Q177" s="57"/>
      <c r="R177" s="31"/>
    </row>
    <row r="178" spans="1:18" x14ac:dyDescent="0.2">
      <c r="A178" s="315"/>
      <c r="B178" s="60" t="s">
        <v>233</v>
      </c>
      <c r="C178" s="317"/>
      <c r="D178" s="357"/>
      <c r="E178" s="348"/>
      <c r="F178" s="86"/>
      <c r="G178" s="53"/>
      <c r="H178" s="363"/>
      <c r="I178" s="332">
        <f t="shared" si="14"/>
        <v>0</v>
      </c>
      <c r="J178" s="81"/>
      <c r="K178" s="54">
        <f t="shared" si="15"/>
        <v>0</v>
      </c>
      <c r="M178" s="192">
        <v>0</v>
      </c>
      <c r="N178" s="76"/>
      <c r="P178" s="77"/>
      <c r="Q178" s="57"/>
      <c r="R178" s="31"/>
    </row>
    <row r="179" spans="1:18" x14ac:dyDescent="0.2">
      <c r="A179" s="315"/>
      <c r="B179" s="60" t="s">
        <v>480</v>
      </c>
      <c r="C179" s="316" t="s">
        <v>897</v>
      </c>
      <c r="D179" s="358"/>
      <c r="E179" s="348"/>
      <c r="F179" s="86"/>
      <c r="G179" s="53">
        <f>SUMIF(JournalsA!D$14:D$920,TrialBalanceA!M179,JournalsA!J$14:J$920)+SUMIF(JournalsA!E$14:E$920,TrialBalanceA!M179,JournalsA!J$14:J$920)</f>
        <v>0</v>
      </c>
      <c r="H179" s="363"/>
      <c r="I179" s="332">
        <f t="shared" si="14"/>
        <v>0</v>
      </c>
      <c r="J179" s="81"/>
      <c r="K179" s="54">
        <f t="shared" si="15"/>
        <v>0</v>
      </c>
      <c r="M179" s="192" t="str">
        <f t="shared" si="16"/>
        <v>5100/000TRUSTEES' CONTRIBUTIONS</v>
      </c>
      <c r="N179" s="76"/>
      <c r="P179" s="77"/>
      <c r="Q179" s="57"/>
      <c r="R179" s="31"/>
    </row>
    <row r="180" spans="1:18" x14ac:dyDescent="0.2">
      <c r="A180" s="315"/>
      <c r="B180" s="60" t="s">
        <v>481</v>
      </c>
      <c r="C180" s="352"/>
      <c r="D180" s="357"/>
      <c r="E180" s="348"/>
      <c r="F180" s="86">
        <f>K180</f>
        <v>0</v>
      </c>
      <c r="G180" s="53">
        <f>SUMIF(JournalsA!D$14:D$920,TrialBalanceA!M180,JournalsA!J$14:J$920)+SUMIF(JournalsA!E$14:E$920,TrialBalanceA!M180,JournalsA!J$14:J$920)</f>
        <v>0</v>
      </c>
      <c r="H180" s="363"/>
      <c r="I180" s="332">
        <f t="shared" si="14"/>
        <v>0</v>
      </c>
      <c r="J180" s="81"/>
      <c r="K180" s="54">
        <f t="shared" si="15"/>
        <v>0</v>
      </c>
      <c r="M180" s="192" t="str">
        <f t="shared" si="16"/>
        <v>5100/001</v>
      </c>
      <c r="N180" s="76"/>
      <c r="P180" s="77"/>
      <c r="Q180" s="57"/>
      <c r="R180" s="31"/>
    </row>
    <row r="181" spans="1:18" x14ac:dyDescent="0.2">
      <c r="A181" s="315"/>
      <c r="B181" s="60" t="s">
        <v>482</v>
      </c>
      <c r="C181" s="352"/>
      <c r="D181" s="357"/>
      <c r="E181" s="348"/>
      <c r="F181" s="86">
        <f t="shared" ref="F181:F183" si="29">K181</f>
        <v>0</v>
      </c>
      <c r="G181" s="53">
        <f>SUMIF(JournalsA!D$14:D$920,TrialBalanceA!M181,JournalsA!J$14:J$920)+SUMIF(JournalsA!E$14:E$920,TrialBalanceA!M181,JournalsA!J$14:J$920)</f>
        <v>0</v>
      </c>
      <c r="H181" s="363"/>
      <c r="I181" s="332">
        <f>ROUND(D181-E181+G181+F181,0)</f>
        <v>0</v>
      </c>
      <c r="J181" s="81"/>
      <c r="K181" s="54">
        <f t="shared" si="15"/>
        <v>0</v>
      </c>
      <c r="M181" s="192" t="str">
        <f t="shared" si="16"/>
        <v>5100/002</v>
      </c>
      <c r="N181" s="76"/>
      <c r="P181" s="77"/>
      <c r="Q181" s="57"/>
      <c r="R181" s="31"/>
    </row>
    <row r="182" spans="1:18" x14ac:dyDescent="0.2">
      <c r="A182" s="315"/>
      <c r="B182" s="110" t="s">
        <v>898</v>
      </c>
      <c r="C182" s="352"/>
      <c r="D182" s="359"/>
      <c r="E182" s="348"/>
      <c r="F182" s="86">
        <f t="shared" si="29"/>
        <v>0</v>
      </c>
      <c r="G182" s="53">
        <f>SUMIF(JournalsA!D$14:D$920,TrialBalanceA!M182,JournalsA!J$14:J$920)+SUMIF(JournalsA!E$14:E$920,TrialBalanceA!M182,JournalsA!J$14:J$920)</f>
        <v>0</v>
      </c>
      <c r="H182" s="363"/>
      <c r="I182" s="332">
        <f t="shared" ref="I182:I211" si="30">ROUND(D182-E182+G182+F182,0)</f>
        <v>0</v>
      </c>
      <c r="J182" s="81"/>
      <c r="K182" s="54">
        <f t="shared" si="15"/>
        <v>0</v>
      </c>
      <c r="M182" s="192" t="str">
        <f t="shared" si="16"/>
        <v>5100/003</v>
      </c>
      <c r="N182" s="76"/>
      <c r="P182" s="77"/>
      <c r="Q182" s="57"/>
      <c r="R182" s="31"/>
    </row>
    <row r="183" spans="1:18" x14ac:dyDescent="0.2">
      <c r="A183" s="315"/>
      <c r="B183" s="110" t="s">
        <v>899</v>
      </c>
      <c r="C183" s="352"/>
      <c r="D183" s="361"/>
      <c r="E183" s="348"/>
      <c r="F183" s="86">
        <f t="shared" si="29"/>
        <v>0</v>
      </c>
      <c r="G183" s="53">
        <f>SUMIF(JournalsA!D$14:D$920,TrialBalanceA!M183,JournalsA!J$14:J$920)+SUMIF(JournalsA!E$14:E$920,TrialBalanceA!M183,JournalsA!J$14:J$920)</f>
        <v>0</v>
      </c>
      <c r="H183" s="363"/>
      <c r="I183" s="332">
        <f t="shared" si="30"/>
        <v>0</v>
      </c>
      <c r="J183" s="81"/>
      <c r="K183" s="54">
        <f t="shared" si="15"/>
        <v>0</v>
      </c>
      <c r="M183" s="192" t="str">
        <f t="shared" si="16"/>
        <v>5100/004</v>
      </c>
      <c r="N183" s="76"/>
      <c r="P183" s="77"/>
      <c r="Q183" s="57"/>
      <c r="R183" s="31"/>
    </row>
    <row r="184" spans="1:18" x14ac:dyDescent="0.2">
      <c r="A184" s="315"/>
      <c r="B184" s="110" t="s">
        <v>900</v>
      </c>
      <c r="C184" s="352"/>
      <c r="D184" s="361"/>
      <c r="E184" s="348"/>
      <c r="F184" s="86">
        <f>K184</f>
        <v>0</v>
      </c>
      <c r="G184" s="53">
        <f>SUMIF(JournalsA!D$14:D$920,TrialBalanceA!M184,JournalsA!J$14:J$920)+SUMIF(JournalsA!E$14:E$920,TrialBalanceA!M184,JournalsA!J$14:J$920)</f>
        <v>0</v>
      </c>
      <c r="H184" s="363"/>
      <c r="I184" s="332">
        <f>ROUND(D184-E184+G184+F184,0)</f>
        <v>0</v>
      </c>
      <c r="J184" s="81"/>
      <c r="K184" s="54">
        <f>ROUND(SUM(A184),0)</f>
        <v>0</v>
      </c>
      <c r="M184" s="192" t="str">
        <f t="shared" si="16"/>
        <v>5100/005</v>
      </c>
      <c r="N184" s="76"/>
      <c r="P184" s="77"/>
      <c r="Q184" s="57"/>
      <c r="R184" s="31"/>
    </row>
    <row r="185" spans="1:18" x14ac:dyDescent="0.2">
      <c r="A185" s="315"/>
      <c r="B185" s="110" t="s">
        <v>1059</v>
      </c>
      <c r="C185" s="318" t="s">
        <v>902</v>
      </c>
      <c r="D185" s="361"/>
      <c r="E185" s="348"/>
      <c r="F185" s="86">
        <f>K185</f>
        <v>0</v>
      </c>
      <c r="G185" s="53">
        <f>SUMIF(JournalsA!D$14:D$920,TrialBalanceA!M185,JournalsA!J$14:J$920)+SUMIF(JournalsA!E$14:E$920,TrialBalanceA!M185,JournalsA!J$14:J$920)</f>
        <v>0</v>
      </c>
      <c r="H185" s="363"/>
      <c r="I185" s="332">
        <f>ROUND(D185-E185+G185+F185,0)</f>
        <v>0</v>
      </c>
      <c r="J185" s="81"/>
      <c r="K185" s="54">
        <f>ROUND(SUM(A185),0)</f>
        <v>0</v>
      </c>
      <c r="M185" s="192" t="str">
        <f t="shared" ref="M185" si="31">CONCATENATE(B185,C185)</f>
        <v>5110/001Donations received</v>
      </c>
      <c r="N185" s="76"/>
      <c r="P185" s="77"/>
      <c r="Q185" s="57"/>
      <c r="R185" s="31"/>
    </row>
    <row r="186" spans="1:18" x14ac:dyDescent="0.2">
      <c r="A186" s="315"/>
      <c r="B186" s="110" t="s">
        <v>1060</v>
      </c>
      <c r="C186" s="316" t="s">
        <v>1061</v>
      </c>
      <c r="D186" s="361"/>
      <c r="E186" s="348"/>
      <c r="F186" s="86"/>
      <c r="G186" s="53">
        <f>SUMIF(JournalsA!D$14:D$920,TrialBalanceA!M186,JournalsA!J$14:J$920)+SUMIF(JournalsA!E$14:E$920,TrialBalanceA!M186,JournalsA!J$14:J$920)</f>
        <v>0</v>
      </c>
      <c r="H186" s="363"/>
      <c r="I186" s="332">
        <f t="shared" ref="I186:I189" si="32">ROUND(D186-E186+G186+F186,0)</f>
        <v>0</v>
      </c>
      <c r="J186" s="81"/>
      <c r="K186" s="54">
        <f t="shared" ref="K186:K189" si="33">ROUND(SUM(A186),0)</f>
        <v>0</v>
      </c>
      <c r="M186" s="192" t="str">
        <f t="shared" ref="M186:M189" si="34">CONCATENATE(B186,C186)</f>
        <v>5120/000REVALUATION RESERVE</v>
      </c>
      <c r="N186" s="76"/>
      <c r="P186" s="77"/>
      <c r="Q186" s="57"/>
      <c r="R186" s="31"/>
    </row>
    <row r="187" spans="1:18" x14ac:dyDescent="0.2">
      <c r="A187" s="315"/>
      <c r="B187" s="110" t="s">
        <v>1062</v>
      </c>
      <c r="C187" s="319" t="s">
        <v>1063</v>
      </c>
      <c r="D187" s="361"/>
      <c r="E187" s="348"/>
      <c r="F187" s="86">
        <f>SUM(K187:K189)</f>
        <v>0</v>
      </c>
      <c r="G187" s="53">
        <f>SUMIF(JournalsA!D$14:D$920,TrialBalanceA!M187,JournalsA!J$14:J$920)+SUMIF(JournalsA!E$14:E$920,TrialBalanceA!M187,JournalsA!J$14:J$920)</f>
        <v>0</v>
      </c>
      <c r="H187" s="363"/>
      <c r="I187" s="332">
        <f t="shared" si="32"/>
        <v>0</v>
      </c>
      <c r="J187" s="81"/>
      <c r="K187" s="54">
        <f t="shared" si="33"/>
        <v>0</v>
      </c>
      <c r="M187" s="192" t="str">
        <f t="shared" si="34"/>
        <v>5120/001Revaluation reserve - balance b/fwd</v>
      </c>
      <c r="N187" s="76"/>
      <c r="P187" s="77"/>
      <c r="Q187" s="57"/>
      <c r="R187" s="31"/>
    </row>
    <row r="188" spans="1:18" x14ac:dyDescent="0.2">
      <c r="A188" s="315"/>
      <c r="B188" s="110" t="s">
        <v>1064</v>
      </c>
      <c r="C188" s="319" t="s">
        <v>1065</v>
      </c>
      <c r="D188" s="361"/>
      <c r="E188" s="348"/>
      <c r="F188" s="86"/>
      <c r="G188" s="53">
        <f>SUMIF(JournalsA!D$14:D$920,TrialBalanceA!M188,JournalsA!J$14:J$920)+SUMIF(JournalsA!E$14:E$920,TrialBalanceA!M188,JournalsA!J$14:J$920)</f>
        <v>0</v>
      </c>
      <c r="H188" s="363"/>
      <c r="I188" s="332">
        <f t="shared" si="32"/>
        <v>0</v>
      </c>
      <c r="J188" s="81"/>
      <c r="K188" s="54">
        <f t="shared" si="33"/>
        <v>0</v>
      </c>
      <c r="M188" s="192" t="str">
        <f t="shared" si="34"/>
        <v>5120/002Revaluation reserve - additions</v>
      </c>
      <c r="N188" s="76"/>
      <c r="P188" s="77"/>
      <c r="Q188" s="57"/>
      <c r="R188" s="31"/>
    </row>
    <row r="189" spans="1:18" x14ac:dyDescent="0.2">
      <c r="A189" s="315"/>
      <c r="B189" s="110" t="s">
        <v>1066</v>
      </c>
      <c r="C189" s="319" t="s">
        <v>1067</v>
      </c>
      <c r="D189" s="361"/>
      <c r="E189" s="348"/>
      <c r="F189" s="86"/>
      <c r="G189" s="53">
        <f>SUMIF(JournalsA!D$14:D$920,TrialBalanceA!M189,JournalsA!J$14:J$920)+SUMIF(JournalsA!E$14:E$920,TrialBalanceA!M189,JournalsA!J$14:J$920)</f>
        <v>0</v>
      </c>
      <c r="H189" s="363"/>
      <c r="I189" s="332">
        <f t="shared" si="32"/>
        <v>0</v>
      </c>
      <c r="J189" s="81"/>
      <c r="K189" s="54">
        <f t="shared" si="33"/>
        <v>0</v>
      </c>
      <c r="M189" s="192" t="str">
        <f t="shared" si="34"/>
        <v>5120/003Revaluation reserve - transfer</v>
      </c>
      <c r="N189" s="76"/>
      <c r="P189" s="77"/>
      <c r="Q189" s="57"/>
      <c r="R189" s="31"/>
    </row>
    <row r="190" spans="1:18" x14ac:dyDescent="0.2">
      <c r="A190" s="315"/>
      <c r="B190" s="60" t="s">
        <v>391</v>
      </c>
      <c r="C190" s="316" t="s">
        <v>772</v>
      </c>
      <c r="D190" s="358"/>
      <c r="E190" s="348"/>
      <c r="F190" s="86">
        <f>K190+SUM(K6:K175)</f>
        <v>0</v>
      </c>
      <c r="G190" s="53">
        <f>SUMIF(JournalsA!D$14:D$920,TrialBalanceA!M190,JournalsA!J$14:J$920)+SUMIF(JournalsA!E$14:E$920,TrialBalanceA!M190,JournalsA!J$14:J$920)</f>
        <v>0</v>
      </c>
      <c r="H190" s="363"/>
      <c r="I190" s="332">
        <f t="shared" si="30"/>
        <v>0</v>
      </c>
      <c r="J190" s="81"/>
      <c r="K190" s="54">
        <f t="shared" si="15"/>
        <v>0</v>
      </c>
      <c r="M190" s="192" t="str">
        <f t="shared" si="16"/>
        <v>5200/000(Retained income) / Accumulated loss</v>
      </c>
      <c r="N190" s="76"/>
      <c r="P190" s="77"/>
      <c r="Q190" s="57"/>
      <c r="R190" s="31"/>
    </row>
    <row r="191" spans="1:18" x14ac:dyDescent="0.2">
      <c r="A191" s="315"/>
      <c r="B191" s="60" t="s">
        <v>136</v>
      </c>
      <c r="C191" s="316" t="s">
        <v>137</v>
      </c>
      <c r="D191" s="358"/>
      <c r="E191" s="348"/>
      <c r="F191" s="86"/>
      <c r="G191" s="53">
        <f>SUMIF(JournalsA!D$14:D$920,TrialBalanceA!M191,JournalsA!J$14:J$920)+SUMIF(JournalsA!E$14:E$920,TrialBalanceA!M191,JournalsA!J$14:J$920)</f>
        <v>0</v>
      </c>
      <c r="H191" s="363"/>
      <c r="I191" s="332">
        <f t="shared" si="30"/>
        <v>0</v>
      </c>
      <c r="J191" s="81"/>
      <c r="K191" s="54">
        <f t="shared" si="15"/>
        <v>0</v>
      </c>
      <c r="M191" s="192" t="str">
        <f t="shared" si="16"/>
        <v>5500/000LONG TERM  INTEREST LIABILITIES</v>
      </c>
      <c r="N191" s="76"/>
      <c r="P191" s="77"/>
      <c r="Q191" s="57"/>
      <c r="R191" s="31"/>
    </row>
    <row r="192" spans="1:18" x14ac:dyDescent="0.2">
      <c r="A192" s="315"/>
      <c r="B192" s="60" t="s">
        <v>138</v>
      </c>
      <c r="C192" s="352">
        <f>TrialBalance!C192</f>
        <v>0</v>
      </c>
      <c r="D192" s="356"/>
      <c r="E192" s="348"/>
      <c r="F192" s="86">
        <f>K192</f>
        <v>0</v>
      </c>
      <c r="G192" s="53">
        <f>SUMIF(JournalsA!D$14:D$920,TrialBalanceA!M192,JournalsA!J$14:J$920)+SUMIF(JournalsA!E$14:E$920,TrialBalanceA!M192,JournalsA!J$14:J$920)</f>
        <v>0</v>
      </c>
      <c r="H192" s="363"/>
      <c r="I192" s="332">
        <f t="shared" si="30"/>
        <v>0</v>
      </c>
      <c r="J192" s="81"/>
      <c r="K192" s="54">
        <f t="shared" si="15"/>
        <v>0</v>
      </c>
      <c r="M192" s="192" t="str">
        <f t="shared" si="16"/>
        <v>5500/0010</v>
      </c>
      <c r="N192" s="76"/>
      <c r="P192" s="77"/>
      <c r="Q192" s="57"/>
      <c r="R192" s="31"/>
    </row>
    <row r="193" spans="1:18" x14ac:dyDescent="0.2">
      <c r="A193" s="315"/>
      <c r="B193" s="60" t="s">
        <v>139</v>
      </c>
      <c r="C193" s="352">
        <f>TrialBalance!C193</f>
        <v>0</v>
      </c>
      <c r="D193" s="357"/>
      <c r="E193" s="348"/>
      <c r="F193" s="86">
        <f>K193</f>
        <v>0</v>
      </c>
      <c r="G193" s="53">
        <f>SUMIF(JournalsA!D$14:D$920,TrialBalanceA!M193,JournalsA!J$14:J$920)+SUMIF(JournalsA!E$14:E$920,TrialBalanceA!M193,JournalsA!J$14:J$920)</f>
        <v>0</v>
      </c>
      <c r="H193" s="363"/>
      <c r="I193" s="332">
        <f t="shared" si="30"/>
        <v>0</v>
      </c>
      <c r="J193" s="81"/>
      <c r="K193" s="54">
        <f t="shared" si="15"/>
        <v>0</v>
      </c>
      <c r="M193" s="192" t="str">
        <f t="shared" si="16"/>
        <v>5500/0020</v>
      </c>
      <c r="N193" s="76"/>
      <c r="P193" s="77"/>
      <c r="Q193" s="57"/>
      <c r="R193" s="31"/>
    </row>
    <row r="194" spans="1:18" x14ac:dyDescent="0.2">
      <c r="A194" s="315"/>
      <c r="B194" s="60" t="s">
        <v>140</v>
      </c>
      <c r="C194" s="352">
        <f>TrialBalance!C194</f>
        <v>0</v>
      </c>
      <c r="D194" s="357"/>
      <c r="E194" s="348"/>
      <c r="F194" s="86">
        <f>K194</f>
        <v>0</v>
      </c>
      <c r="G194" s="53">
        <f>SUMIF(JournalsA!D$14:D$920,TrialBalanceA!M194,JournalsA!J$14:J$920)+SUMIF(JournalsA!E$14:E$920,TrialBalanceA!M194,JournalsA!J$14:J$920)</f>
        <v>0</v>
      </c>
      <c r="H194" s="363"/>
      <c r="I194" s="332">
        <f t="shared" si="30"/>
        <v>0</v>
      </c>
      <c r="J194" s="81"/>
      <c r="K194" s="54">
        <f t="shared" si="15"/>
        <v>0</v>
      </c>
      <c r="M194" s="192" t="str">
        <f t="shared" si="16"/>
        <v>5500/0030</v>
      </c>
      <c r="N194" s="76"/>
      <c r="P194" s="77"/>
      <c r="Q194" s="57"/>
      <c r="R194" s="31"/>
    </row>
    <row r="195" spans="1:18" x14ac:dyDescent="0.2">
      <c r="A195" s="315"/>
      <c r="B195" s="60" t="s">
        <v>141</v>
      </c>
      <c r="C195" s="352">
        <f>TrialBalance!C195</f>
        <v>0</v>
      </c>
      <c r="D195" s="357"/>
      <c r="E195" s="348"/>
      <c r="F195" s="86">
        <f>K195</f>
        <v>0</v>
      </c>
      <c r="G195" s="53">
        <f>SUMIF(JournalsA!D$14:D$920,TrialBalanceA!M195,JournalsA!J$14:J$920)+SUMIF(JournalsA!E$14:E$920,TrialBalanceA!M195,JournalsA!J$14:J$920)</f>
        <v>0</v>
      </c>
      <c r="H195" s="363"/>
      <c r="I195" s="332">
        <f t="shared" si="30"/>
        <v>0</v>
      </c>
      <c r="J195" s="81"/>
      <c r="K195" s="54">
        <f t="shared" si="15"/>
        <v>0</v>
      </c>
      <c r="M195" s="192" t="str">
        <f t="shared" si="16"/>
        <v>5500/0040</v>
      </c>
      <c r="N195" s="76"/>
      <c r="P195" s="77"/>
      <c r="Q195" s="57"/>
      <c r="R195" s="31"/>
    </row>
    <row r="196" spans="1:18" x14ac:dyDescent="0.2">
      <c r="A196" s="315"/>
      <c r="B196" s="60" t="s">
        <v>142</v>
      </c>
      <c r="C196" s="352">
        <f>TrialBalance!C196</f>
        <v>0</v>
      </c>
      <c r="D196" s="357"/>
      <c r="E196" s="348"/>
      <c r="F196" s="86">
        <f>K196</f>
        <v>0</v>
      </c>
      <c r="G196" s="53">
        <f>SUMIF(JournalsA!D$14:D$920,TrialBalanceA!M196,JournalsA!J$14:J$920)+SUMIF(JournalsA!E$14:E$920,TrialBalanceA!M196,JournalsA!J$14:J$920)</f>
        <v>0</v>
      </c>
      <c r="H196" s="363"/>
      <c r="I196" s="332">
        <f t="shared" si="30"/>
        <v>0</v>
      </c>
      <c r="J196" s="81"/>
      <c r="K196" s="54">
        <f t="shared" si="15"/>
        <v>0</v>
      </c>
      <c r="M196" s="192" t="str">
        <f t="shared" si="16"/>
        <v>5500/0050</v>
      </c>
      <c r="N196" s="76"/>
      <c r="P196" s="77"/>
      <c r="Q196" s="57"/>
      <c r="R196" s="31"/>
    </row>
    <row r="197" spans="1:18" x14ac:dyDescent="0.2">
      <c r="A197" s="315"/>
      <c r="B197" s="110" t="s">
        <v>580</v>
      </c>
      <c r="C197" s="352">
        <f>TrialBalance!C197</f>
        <v>0</v>
      </c>
      <c r="D197" s="357"/>
      <c r="E197" s="348"/>
      <c r="F197" s="86">
        <f t="shared" ref="F197:F222" si="35">K197</f>
        <v>0</v>
      </c>
      <c r="G197" s="53">
        <f>SUMIF(JournalsA!D$14:D$920,TrialBalanceA!M197,JournalsA!J$14:J$920)+SUMIF(JournalsA!E$14:E$920,TrialBalanceA!M197,JournalsA!J$14:J$920)</f>
        <v>0</v>
      </c>
      <c r="H197" s="363"/>
      <c r="I197" s="332">
        <f t="shared" si="30"/>
        <v>0</v>
      </c>
      <c r="J197" s="81"/>
      <c r="K197" s="54">
        <f t="shared" si="15"/>
        <v>0</v>
      </c>
      <c r="M197" s="192" t="str">
        <f t="shared" si="16"/>
        <v>5500/0060</v>
      </c>
      <c r="N197" s="76"/>
      <c r="P197" s="77"/>
      <c r="Q197" s="57"/>
      <c r="R197" s="31"/>
    </row>
    <row r="198" spans="1:18" x14ac:dyDescent="0.2">
      <c r="A198" s="315"/>
      <c r="B198" s="110" t="s">
        <v>581</v>
      </c>
      <c r="C198" s="352">
        <f>TrialBalance!C198</f>
        <v>0</v>
      </c>
      <c r="D198" s="357"/>
      <c r="E198" s="348"/>
      <c r="F198" s="86">
        <f t="shared" si="35"/>
        <v>0</v>
      </c>
      <c r="G198" s="53">
        <f>SUMIF(JournalsA!D$14:D$920,TrialBalanceA!M198,JournalsA!J$14:J$920)+SUMIF(JournalsA!E$14:E$920,TrialBalanceA!M198,JournalsA!J$14:J$920)</f>
        <v>0</v>
      </c>
      <c r="H198" s="363"/>
      <c r="I198" s="332">
        <f t="shared" si="30"/>
        <v>0</v>
      </c>
      <c r="J198" s="81"/>
      <c r="K198" s="54">
        <f t="shared" si="15"/>
        <v>0</v>
      </c>
      <c r="M198" s="192" t="str">
        <f t="shared" si="16"/>
        <v>5500/0070</v>
      </c>
      <c r="N198" s="76"/>
      <c r="P198" s="77"/>
      <c r="Q198" s="57"/>
      <c r="R198" s="31"/>
    </row>
    <row r="199" spans="1:18" x14ac:dyDescent="0.2">
      <c r="A199" s="315"/>
      <c r="B199" s="110" t="s">
        <v>582</v>
      </c>
      <c r="C199" s="352">
        <f>TrialBalance!C199</f>
        <v>0</v>
      </c>
      <c r="D199" s="357"/>
      <c r="E199" s="348"/>
      <c r="F199" s="86">
        <f t="shared" si="35"/>
        <v>0</v>
      </c>
      <c r="G199" s="53">
        <f>SUMIF(JournalsA!D$14:D$920,TrialBalanceA!M199,JournalsA!J$14:J$920)+SUMIF(JournalsA!E$14:E$920,TrialBalanceA!M199,JournalsA!J$14:J$920)</f>
        <v>0</v>
      </c>
      <c r="H199" s="363"/>
      <c r="I199" s="332">
        <f t="shared" si="30"/>
        <v>0</v>
      </c>
      <c r="J199" s="81"/>
      <c r="K199" s="54">
        <f t="shared" si="15"/>
        <v>0</v>
      </c>
      <c r="M199" s="192" t="str">
        <f t="shared" si="16"/>
        <v>5500/0080</v>
      </c>
      <c r="N199" s="76"/>
      <c r="P199" s="77"/>
      <c r="Q199" s="57"/>
      <c r="R199" s="31"/>
    </row>
    <row r="200" spans="1:18" x14ac:dyDescent="0.2">
      <c r="A200" s="315"/>
      <c r="B200" s="110" t="s">
        <v>583</v>
      </c>
      <c r="C200" s="352">
        <f>TrialBalance!C200</f>
        <v>0</v>
      </c>
      <c r="D200" s="359"/>
      <c r="E200" s="348"/>
      <c r="F200" s="86">
        <f t="shared" si="35"/>
        <v>0</v>
      </c>
      <c r="G200" s="53">
        <f>SUMIF(JournalsA!D$14:D$920,TrialBalanceA!M200,JournalsA!J$14:J$920)+SUMIF(JournalsA!E$14:E$920,TrialBalanceA!M200,JournalsA!J$14:J$920)</f>
        <v>0</v>
      </c>
      <c r="H200" s="363"/>
      <c r="I200" s="332">
        <f t="shared" si="30"/>
        <v>0</v>
      </c>
      <c r="J200" s="81"/>
      <c r="K200" s="54">
        <f t="shared" si="15"/>
        <v>0</v>
      </c>
      <c r="M200" s="192" t="str">
        <f t="shared" si="16"/>
        <v>5500/0090</v>
      </c>
      <c r="N200" s="76"/>
      <c r="P200" s="77"/>
      <c r="Q200" s="57"/>
      <c r="R200" s="31"/>
    </row>
    <row r="201" spans="1:18" x14ac:dyDescent="0.2">
      <c r="A201" s="315"/>
      <c r="B201" s="110" t="s">
        <v>584</v>
      </c>
      <c r="C201" s="352">
        <f>TrialBalance!C201</f>
        <v>0</v>
      </c>
      <c r="D201" s="359"/>
      <c r="E201" s="348"/>
      <c r="F201" s="86">
        <f t="shared" si="35"/>
        <v>0</v>
      </c>
      <c r="G201" s="53">
        <f>SUMIF(JournalsA!D$14:D$920,TrialBalanceA!M201,JournalsA!J$14:J$920)+SUMIF(JournalsA!E$14:E$920,TrialBalanceA!M201,JournalsA!J$14:J$920)</f>
        <v>0</v>
      </c>
      <c r="H201" s="363"/>
      <c r="I201" s="332">
        <f t="shared" si="30"/>
        <v>0</v>
      </c>
      <c r="J201" s="81"/>
      <c r="K201" s="54">
        <f t="shared" si="15"/>
        <v>0</v>
      </c>
      <c r="M201" s="192" t="str">
        <f t="shared" si="16"/>
        <v>5500/0100</v>
      </c>
      <c r="N201" s="76"/>
      <c r="P201" s="77"/>
      <c r="Q201" s="57"/>
      <c r="R201" s="31"/>
    </row>
    <row r="202" spans="1:18" x14ac:dyDescent="0.2">
      <c r="A202" s="315"/>
      <c r="B202" s="110" t="s">
        <v>585</v>
      </c>
      <c r="C202" s="352">
        <f>TrialBalance!C202</f>
        <v>0</v>
      </c>
      <c r="D202" s="357"/>
      <c r="E202" s="348"/>
      <c r="F202" s="86">
        <f t="shared" si="35"/>
        <v>0</v>
      </c>
      <c r="G202" s="53">
        <f>SUMIF(JournalsA!D$14:D$920,TrialBalanceA!M202,JournalsA!J$14:J$920)+SUMIF(JournalsA!E$14:E$920,TrialBalanceA!M202,JournalsA!J$14:J$920)</f>
        <v>0</v>
      </c>
      <c r="H202" s="363"/>
      <c r="I202" s="332">
        <f t="shared" si="30"/>
        <v>0</v>
      </c>
      <c r="J202" s="81"/>
      <c r="K202" s="54">
        <f t="shared" si="15"/>
        <v>0</v>
      </c>
      <c r="M202" s="192" t="str">
        <f t="shared" si="16"/>
        <v>5500/0110</v>
      </c>
      <c r="N202" s="76"/>
      <c r="P202" s="77"/>
      <c r="Q202" s="57"/>
      <c r="R202" s="31"/>
    </row>
    <row r="203" spans="1:18" x14ac:dyDescent="0.2">
      <c r="A203" s="315"/>
      <c r="B203" s="110" t="s">
        <v>586</v>
      </c>
      <c r="C203" s="352">
        <f>TrialBalance!C203</f>
        <v>0</v>
      </c>
      <c r="D203" s="357"/>
      <c r="E203" s="357"/>
      <c r="F203" s="86">
        <f t="shared" si="35"/>
        <v>0</v>
      </c>
      <c r="G203" s="53">
        <f>SUMIF(JournalsA!D$14:D$920,TrialBalanceA!M203,JournalsA!J$14:J$920)+SUMIF(JournalsA!E$14:E$920,TrialBalanceA!M203,JournalsA!J$14:J$920)</f>
        <v>0</v>
      </c>
      <c r="H203" s="363"/>
      <c r="I203" s="332">
        <f t="shared" si="30"/>
        <v>0</v>
      </c>
      <c r="J203" s="81"/>
      <c r="K203" s="54">
        <f t="shared" si="15"/>
        <v>0</v>
      </c>
      <c r="M203" s="192" t="str">
        <f t="shared" si="16"/>
        <v>5500/0120</v>
      </c>
      <c r="N203" s="76"/>
      <c r="P203" s="77"/>
      <c r="Q203" s="57"/>
      <c r="R203" s="31"/>
    </row>
    <row r="204" spans="1:18" x14ac:dyDescent="0.2">
      <c r="A204" s="315"/>
      <c r="B204" s="110" t="s">
        <v>587</v>
      </c>
      <c r="C204" s="352">
        <f>TrialBalance!C204</f>
        <v>0</v>
      </c>
      <c r="D204" s="357"/>
      <c r="E204" s="357"/>
      <c r="F204" s="86">
        <f t="shared" ref="F204:F205" si="36">K204</f>
        <v>0</v>
      </c>
      <c r="G204" s="53">
        <f>SUMIF(JournalsA!D$14:D$920,TrialBalanceA!M204,JournalsA!J$14:J$920)+SUMIF(JournalsA!E$14:E$920,TrialBalanceA!M204,JournalsA!J$14:J$920)</f>
        <v>0</v>
      </c>
      <c r="H204" s="363"/>
      <c r="I204" s="332">
        <f t="shared" ref="I204:I205" si="37">ROUND(D204-E204+G204+F204,0)</f>
        <v>0</v>
      </c>
      <c r="J204" s="81"/>
      <c r="K204" s="54">
        <f t="shared" ref="K204:K205" si="38">ROUND(SUM(A204),0)</f>
        <v>0</v>
      </c>
      <c r="M204" s="192" t="str">
        <f t="shared" ref="M204:M205" si="39">CONCATENATE(B204,C204)</f>
        <v>5500/0130</v>
      </c>
      <c r="N204" s="76"/>
      <c r="P204" s="77"/>
      <c r="Q204" s="57"/>
      <c r="R204" s="31"/>
    </row>
    <row r="205" spans="1:18" x14ac:dyDescent="0.2">
      <c r="A205" s="315"/>
      <c r="B205" s="110" t="s">
        <v>626</v>
      </c>
      <c r="C205" s="352">
        <f>TrialBalance!C205</f>
        <v>0</v>
      </c>
      <c r="D205" s="357"/>
      <c r="E205" s="357"/>
      <c r="F205" s="86">
        <f t="shared" si="36"/>
        <v>0</v>
      </c>
      <c r="G205" s="53">
        <f>SUMIF(JournalsA!D$14:D$920,TrialBalanceA!M205,JournalsA!J$14:J$920)+SUMIF(JournalsA!E$14:E$920,TrialBalanceA!M205,JournalsA!J$14:J$920)</f>
        <v>0</v>
      </c>
      <c r="H205" s="363"/>
      <c r="I205" s="332">
        <f t="shared" si="37"/>
        <v>0</v>
      </c>
      <c r="J205" s="81"/>
      <c r="K205" s="54">
        <f t="shared" si="38"/>
        <v>0</v>
      </c>
      <c r="M205" s="192" t="str">
        <f t="shared" si="39"/>
        <v>5500/0140</v>
      </c>
      <c r="N205" s="76"/>
      <c r="P205" s="77"/>
      <c r="Q205" s="57"/>
      <c r="R205" s="31"/>
    </row>
    <row r="206" spans="1:18" x14ac:dyDescent="0.2">
      <c r="A206" s="315"/>
      <c r="B206" s="110" t="s">
        <v>627</v>
      </c>
      <c r="C206" s="352">
        <f>TrialBalance!C206</f>
        <v>0</v>
      </c>
      <c r="D206" s="359"/>
      <c r="E206" s="348"/>
      <c r="F206" s="86">
        <f t="shared" si="35"/>
        <v>0</v>
      </c>
      <c r="G206" s="53">
        <f>SUMIF(JournalsA!D$14:D$920,TrialBalanceA!M206,JournalsA!J$14:J$920)+SUMIF(JournalsA!E$14:E$920,TrialBalanceA!M206,JournalsA!J$14:J$920)</f>
        <v>0</v>
      </c>
      <c r="H206" s="363"/>
      <c r="I206" s="332">
        <f t="shared" si="30"/>
        <v>0</v>
      </c>
      <c r="J206" s="81"/>
      <c r="K206" s="54">
        <f t="shared" si="15"/>
        <v>0</v>
      </c>
      <c r="M206" s="192" t="str">
        <f t="shared" si="16"/>
        <v>5500/0150</v>
      </c>
      <c r="N206" s="76"/>
      <c r="P206" s="77"/>
      <c r="Q206" s="57"/>
      <c r="R206" s="31"/>
    </row>
    <row r="207" spans="1:18" x14ac:dyDescent="0.2">
      <c r="A207" s="315"/>
      <c r="B207" s="60" t="s">
        <v>143</v>
      </c>
      <c r="C207" s="317" t="s">
        <v>256</v>
      </c>
      <c r="D207" s="357"/>
      <c r="E207" s="348"/>
      <c r="F207" s="86">
        <f t="shared" si="35"/>
        <v>0</v>
      </c>
      <c r="G207" s="53">
        <f>SUMIF(JournalsA!D$14:D$920,TrialBalanceA!M207,JournalsA!J$14:J$920)+SUMIF(JournalsA!E$14:E$920,TrialBalanceA!M207,JournalsA!J$14:J$920)</f>
        <v>0</v>
      </c>
      <c r="H207" s="363"/>
      <c r="I207" s="332">
        <f t="shared" si="30"/>
        <v>0</v>
      </c>
      <c r="J207" s="81"/>
      <c r="K207" s="54">
        <f t="shared" si="15"/>
        <v>0</v>
      </c>
      <c r="M207" s="192" t="str">
        <f t="shared" si="16"/>
        <v>5520/000Short term portion of long term loans</v>
      </c>
      <c r="N207" s="76"/>
      <c r="P207" s="77"/>
      <c r="Q207" s="57"/>
      <c r="R207" s="31"/>
    </row>
    <row r="208" spans="1:18" x14ac:dyDescent="0.2">
      <c r="A208" s="315"/>
      <c r="B208" s="60" t="s">
        <v>145</v>
      </c>
      <c r="C208" s="316" t="s">
        <v>146</v>
      </c>
      <c r="D208" s="358"/>
      <c r="E208" s="348"/>
      <c r="F208" s="86">
        <f t="shared" si="35"/>
        <v>0</v>
      </c>
      <c r="G208" s="53">
        <f>SUMIF(JournalsA!D$14:D$920,TrialBalanceA!M208,JournalsA!J$14:J$920)+SUMIF(JournalsA!E$14:E$920,TrialBalanceA!M208,JournalsA!J$14:J$920)</f>
        <v>0</v>
      </c>
      <c r="H208" s="363"/>
      <c r="I208" s="332">
        <f t="shared" si="30"/>
        <v>0</v>
      </c>
      <c r="J208" s="81"/>
      <c r="K208" s="54">
        <f t="shared" si="15"/>
        <v>0</v>
      </c>
      <c r="M208" s="192" t="str">
        <f t="shared" si="16"/>
        <v>5550/000LONG TERM INTEREST FREE LOANS</v>
      </c>
      <c r="N208" s="76"/>
      <c r="P208" s="77"/>
      <c r="Q208" s="57"/>
      <c r="R208" s="31"/>
    </row>
    <row r="209" spans="1:18" x14ac:dyDescent="0.2">
      <c r="A209" s="315"/>
      <c r="B209" s="60" t="s">
        <v>147</v>
      </c>
      <c r="C209" s="352" t="str">
        <f>TrialBalance!C209</f>
        <v>Beneficiaries</v>
      </c>
      <c r="D209" s="359"/>
      <c r="E209" s="359"/>
      <c r="F209" s="86">
        <f t="shared" si="35"/>
        <v>0</v>
      </c>
      <c r="G209" s="53">
        <f>SUMIF(JournalsA!D$14:D$920,TrialBalanceA!M209,JournalsA!J$14:J$920)+SUMIF(JournalsA!E$14:E$920,TrialBalanceA!M209,JournalsA!J$14:J$920)</f>
        <v>0</v>
      </c>
      <c r="H209" s="363"/>
      <c r="I209" s="332">
        <f t="shared" si="30"/>
        <v>0</v>
      </c>
      <c r="J209" s="111"/>
      <c r="K209" s="54">
        <f t="shared" si="15"/>
        <v>0</v>
      </c>
      <c r="M209" s="192" t="str">
        <f t="shared" si="16"/>
        <v>5550/001Beneficiaries</v>
      </c>
      <c r="N209" s="76"/>
      <c r="P209" s="77"/>
      <c r="Q209" s="57"/>
      <c r="R209" s="31"/>
    </row>
    <row r="210" spans="1:18" x14ac:dyDescent="0.2">
      <c r="A210" s="315"/>
      <c r="B210" s="60" t="s">
        <v>148</v>
      </c>
      <c r="C210" s="352">
        <f>TrialBalance!C210</f>
        <v>0</v>
      </c>
      <c r="D210" s="359"/>
      <c r="E210" s="357"/>
      <c r="F210" s="86">
        <f t="shared" si="35"/>
        <v>0</v>
      </c>
      <c r="G210" s="53">
        <f>SUMIF(JournalsA!D$14:D$920,TrialBalanceA!M210,JournalsA!J$14:J$920)+SUMIF(JournalsA!E$14:E$920,TrialBalanceA!M210,JournalsA!J$14:J$920)</f>
        <v>0</v>
      </c>
      <c r="H210" s="363"/>
      <c r="I210" s="332">
        <f t="shared" si="30"/>
        <v>0</v>
      </c>
      <c r="J210" s="81"/>
      <c r="K210" s="54">
        <f t="shared" si="15"/>
        <v>0</v>
      </c>
      <c r="M210" s="192" t="str">
        <f t="shared" si="16"/>
        <v>5550/0020</v>
      </c>
      <c r="N210" s="76"/>
      <c r="P210" s="77"/>
      <c r="Q210" s="57"/>
      <c r="R210" s="31"/>
    </row>
    <row r="211" spans="1:18" x14ac:dyDescent="0.2">
      <c r="A211" s="315"/>
      <c r="B211" s="60" t="s">
        <v>149</v>
      </c>
      <c r="C211" s="352">
        <f>TrialBalance!C211</f>
        <v>0</v>
      </c>
      <c r="D211" s="359"/>
      <c r="E211" s="359"/>
      <c r="F211" s="86">
        <f t="shared" si="35"/>
        <v>0</v>
      </c>
      <c r="G211" s="53">
        <f>SUMIF(JournalsA!D$14:D$920,TrialBalanceA!M211,JournalsA!J$14:J$920)+SUMIF(JournalsA!E$14:E$920,TrialBalanceA!M211,JournalsA!J$14:J$920)</f>
        <v>0</v>
      </c>
      <c r="H211" s="363"/>
      <c r="I211" s="332">
        <f t="shared" si="30"/>
        <v>0</v>
      </c>
      <c r="J211" s="111"/>
      <c r="K211" s="54">
        <f t="shared" si="15"/>
        <v>0</v>
      </c>
      <c r="M211" s="192" t="str">
        <f t="shared" si="16"/>
        <v>5550/0030</v>
      </c>
      <c r="N211" s="76"/>
      <c r="P211" s="77"/>
      <c r="Q211" s="57"/>
      <c r="R211" s="31"/>
    </row>
    <row r="212" spans="1:18" x14ac:dyDescent="0.2">
      <c r="A212" s="315"/>
      <c r="B212" s="60" t="s">
        <v>150</v>
      </c>
      <c r="C212" s="352">
        <f>TrialBalance!C212</f>
        <v>0</v>
      </c>
      <c r="D212" s="359"/>
      <c r="E212" s="359"/>
      <c r="F212" s="86">
        <f t="shared" si="35"/>
        <v>0</v>
      </c>
      <c r="G212" s="53">
        <f>SUMIF(JournalsA!D$14:D$920,TrialBalanceA!M212,JournalsA!J$14:J$920)+SUMIF(JournalsA!E$14:E$920,TrialBalanceA!M212,JournalsA!J$14:J$920)</f>
        <v>0</v>
      </c>
      <c r="H212" s="363"/>
      <c r="I212" s="332">
        <f t="shared" ref="I212:I241" si="40">ROUND(D212-E212+G212+F212,0)</f>
        <v>0</v>
      </c>
      <c r="J212" s="111"/>
      <c r="K212" s="54">
        <f t="shared" si="15"/>
        <v>0</v>
      </c>
      <c r="M212" s="192" t="str">
        <f t="shared" si="16"/>
        <v>5550/0040</v>
      </c>
      <c r="N212" s="76"/>
      <c r="P212" s="77"/>
      <c r="Q212" s="57"/>
      <c r="R212" s="31"/>
    </row>
    <row r="213" spans="1:18" x14ac:dyDescent="0.2">
      <c r="A213" s="315"/>
      <c r="B213" s="60" t="s">
        <v>151</v>
      </c>
      <c r="C213" s="352">
        <f>TrialBalance!C213</f>
        <v>0</v>
      </c>
      <c r="D213" s="357"/>
      <c r="E213" s="348"/>
      <c r="F213" s="86">
        <f t="shared" si="35"/>
        <v>0</v>
      </c>
      <c r="G213" s="53">
        <f>SUMIF(JournalsA!D$14:D$920,TrialBalanceA!M213,JournalsA!J$14:J$920)+SUMIF(JournalsA!E$14:E$920,TrialBalanceA!M213,JournalsA!J$14:J$920)</f>
        <v>0</v>
      </c>
      <c r="H213" s="363"/>
      <c r="I213" s="332">
        <f t="shared" si="40"/>
        <v>0</v>
      </c>
      <c r="J213" s="81"/>
      <c r="K213" s="54">
        <f t="shared" si="15"/>
        <v>0</v>
      </c>
      <c r="M213" s="192" t="str">
        <f t="shared" si="16"/>
        <v>5550/0050</v>
      </c>
      <c r="N213" s="76"/>
      <c r="P213" s="77"/>
      <c r="Q213" s="57"/>
      <c r="R213" s="31"/>
    </row>
    <row r="214" spans="1:18" x14ac:dyDescent="0.2">
      <c r="A214" s="315"/>
      <c r="B214" s="110" t="s">
        <v>607</v>
      </c>
      <c r="C214" s="352">
        <f>TrialBalance!C214</f>
        <v>0</v>
      </c>
      <c r="D214" s="357"/>
      <c r="E214" s="348"/>
      <c r="F214" s="86">
        <f t="shared" si="35"/>
        <v>0</v>
      </c>
      <c r="G214" s="53">
        <f>SUMIF(JournalsA!D$14:D$920,TrialBalanceA!M214,JournalsA!J$14:J$920)+SUMIF(JournalsA!E$14:E$920,TrialBalanceA!M214,JournalsA!J$14:J$920)</f>
        <v>0</v>
      </c>
      <c r="H214" s="363"/>
      <c r="I214" s="332">
        <f t="shared" si="40"/>
        <v>0</v>
      </c>
      <c r="J214" s="111"/>
      <c r="K214" s="54">
        <f t="shared" ref="K214:K271" si="41">ROUND(SUM(A214),0)</f>
        <v>0</v>
      </c>
      <c r="M214" s="192" t="str">
        <f t="shared" ref="M214:M271" si="42">CONCATENATE(B214,C214)</f>
        <v>5550/0060</v>
      </c>
      <c r="N214" s="76"/>
      <c r="P214" s="77"/>
      <c r="Q214" s="57"/>
      <c r="R214" s="31"/>
    </row>
    <row r="215" spans="1:18" x14ac:dyDescent="0.2">
      <c r="A215" s="315"/>
      <c r="B215" s="110" t="s">
        <v>608</v>
      </c>
      <c r="C215" s="352">
        <f>TrialBalance!C215</f>
        <v>0</v>
      </c>
      <c r="D215" s="359"/>
      <c r="E215" s="348"/>
      <c r="F215" s="86">
        <f t="shared" si="35"/>
        <v>0</v>
      </c>
      <c r="G215" s="53">
        <f>SUMIF(JournalsA!D$14:D$920,TrialBalanceA!M215,JournalsA!J$14:J$920)+SUMIF(JournalsA!E$14:E$920,TrialBalanceA!M215,JournalsA!J$14:J$920)</f>
        <v>0</v>
      </c>
      <c r="H215" s="363"/>
      <c r="I215" s="332">
        <f t="shared" si="40"/>
        <v>0</v>
      </c>
      <c r="J215" s="111"/>
      <c r="K215" s="54">
        <f t="shared" si="41"/>
        <v>0</v>
      </c>
      <c r="M215" s="192" t="str">
        <f t="shared" si="42"/>
        <v>5550/0070</v>
      </c>
      <c r="N215" s="76"/>
      <c r="P215" s="77"/>
      <c r="Q215" s="57"/>
      <c r="R215" s="31"/>
    </row>
    <row r="216" spans="1:18" x14ac:dyDescent="0.2">
      <c r="A216" s="315"/>
      <c r="B216" s="110" t="s">
        <v>609</v>
      </c>
      <c r="C216" s="352">
        <f>TrialBalance!C216</f>
        <v>0</v>
      </c>
      <c r="D216" s="359"/>
      <c r="E216" s="359"/>
      <c r="F216" s="86">
        <f t="shared" si="35"/>
        <v>0</v>
      </c>
      <c r="G216" s="53">
        <f>SUMIF(JournalsA!D$14:D$920,TrialBalanceA!M216,JournalsA!J$14:J$920)+SUMIF(JournalsA!E$14:E$920,TrialBalanceA!M216,JournalsA!J$14:J$920)</f>
        <v>0</v>
      </c>
      <c r="H216" s="363"/>
      <c r="I216" s="332">
        <f t="shared" si="40"/>
        <v>0</v>
      </c>
      <c r="J216" s="81"/>
      <c r="K216" s="54">
        <f t="shared" si="41"/>
        <v>0</v>
      </c>
      <c r="M216" s="192" t="str">
        <f t="shared" si="42"/>
        <v>5550/0080</v>
      </c>
      <c r="N216" s="76"/>
      <c r="P216" s="77"/>
      <c r="Q216" s="57"/>
      <c r="R216" s="31"/>
    </row>
    <row r="217" spans="1:18" x14ac:dyDescent="0.2">
      <c r="A217" s="315"/>
      <c r="B217" s="110" t="s">
        <v>610</v>
      </c>
      <c r="C217" s="352">
        <f>TrialBalance!C217</f>
        <v>0</v>
      </c>
      <c r="D217" s="359"/>
      <c r="E217" s="359"/>
      <c r="F217" s="86">
        <f t="shared" si="35"/>
        <v>0</v>
      </c>
      <c r="G217" s="53">
        <f>SUMIF(JournalsA!D$14:D$920,TrialBalanceA!M217,JournalsA!J$14:J$920)+SUMIF(JournalsA!E$14:E$920,TrialBalanceA!M217,JournalsA!J$14:J$920)</f>
        <v>0</v>
      </c>
      <c r="H217" s="363"/>
      <c r="I217" s="332">
        <f t="shared" si="40"/>
        <v>0</v>
      </c>
      <c r="J217" s="111"/>
      <c r="K217" s="54">
        <f t="shared" si="41"/>
        <v>0</v>
      </c>
      <c r="M217" s="192" t="str">
        <f t="shared" si="42"/>
        <v>5550/0090</v>
      </c>
      <c r="N217" s="76"/>
      <c r="P217" s="77"/>
      <c r="Q217" s="57"/>
      <c r="R217" s="31"/>
    </row>
    <row r="218" spans="1:18" x14ac:dyDescent="0.2">
      <c r="A218" s="315"/>
      <c r="B218" s="110" t="s">
        <v>623</v>
      </c>
      <c r="C218" s="352">
        <f>TrialBalance!C218</f>
        <v>0</v>
      </c>
      <c r="D218" s="362"/>
      <c r="E218" s="348"/>
      <c r="F218" s="86">
        <f t="shared" si="35"/>
        <v>0</v>
      </c>
      <c r="G218" s="53">
        <f>SUMIF(JournalsA!D$14:D$920,TrialBalanceA!M218,JournalsA!J$14:J$920)+SUMIF(JournalsA!E$14:E$920,TrialBalanceA!M218,JournalsA!J$14:J$920)</f>
        <v>0</v>
      </c>
      <c r="H218" s="363"/>
      <c r="I218" s="332">
        <f t="shared" si="40"/>
        <v>0</v>
      </c>
      <c r="J218" s="81"/>
      <c r="K218" s="54">
        <f t="shared" si="41"/>
        <v>0</v>
      </c>
      <c r="M218" s="192" t="str">
        <f t="shared" si="42"/>
        <v>5550/0100</v>
      </c>
      <c r="N218" s="76"/>
      <c r="P218" s="77"/>
      <c r="Q218" s="57"/>
      <c r="R218" s="31"/>
    </row>
    <row r="219" spans="1:18" x14ac:dyDescent="0.2">
      <c r="A219" s="315"/>
      <c r="B219" s="110" t="s">
        <v>633</v>
      </c>
      <c r="C219" s="352">
        <f>TrialBalance!C219</f>
        <v>0</v>
      </c>
      <c r="D219" s="362"/>
      <c r="E219" s="348"/>
      <c r="F219" s="86">
        <f t="shared" si="35"/>
        <v>0</v>
      </c>
      <c r="G219" s="53">
        <f>SUMIF(JournalsA!D$14:D$920,TrialBalanceA!M219,JournalsA!J$14:J$920)+SUMIF(JournalsA!E$14:E$920,TrialBalanceA!M219,JournalsA!J$14:J$920)</f>
        <v>0</v>
      </c>
      <c r="H219" s="363"/>
      <c r="I219" s="332">
        <f t="shared" si="40"/>
        <v>0</v>
      </c>
      <c r="J219" s="81"/>
      <c r="K219" s="54">
        <f t="shared" si="41"/>
        <v>0</v>
      </c>
      <c r="M219" s="192" t="str">
        <f t="shared" si="42"/>
        <v>5550/0110</v>
      </c>
      <c r="N219" s="76"/>
      <c r="P219" s="77"/>
      <c r="Q219" s="57"/>
      <c r="R219" s="31"/>
    </row>
    <row r="220" spans="1:18" x14ac:dyDescent="0.2">
      <c r="A220" s="315"/>
      <c r="B220" s="110" t="s">
        <v>634</v>
      </c>
      <c r="C220" s="352">
        <f>TrialBalance!C220</f>
        <v>0</v>
      </c>
      <c r="D220" s="362"/>
      <c r="E220" s="348"/>
      <c r="F220" s="86">
        <f t="shared" si="35"/>
        <v>0</v>
      </c>
      <c r="G220" s="53">
        <f>SUMIF(JournalsA!D$14:D$920,TrialBalanceA!M220,JournalsA!J$14:J$920)+SUMIF(JournalsA!E$14:E$920,TrialBalanceA!M220,JournalsA!J$14:J$920)</f>
        <v>0</v>
      </c>
      <c r="H220" s="363"/>
      <c r="I220" s="332">
        <f t="shared" si="40"/>
        <v>0</v>
      </c>
      <c r="J220" s="81"/>
      <c r="K220" s="54">
        <f t="shared" si="41"/>
        <v>0</v>
      </c>
      <c r="M220" s="192" t="str">
        <f t="shared" si="42"/>
        <v>5550/0120</v>
      </c>
      <c r="N220" s="76"/>
      <c r="P220" s="77"/>
      <c r="Q220" s="57"/>
      <c r="R220" s="31"/>
    </row>
    <row r="221" spans="1:18" x14ac:dyDescent="0.2">
      <c r="A221" s="315"/>
      <c r="B221" s="110" t="s">
        <v>635</v>
      </c>
      <c r="C221" s="352">
        <f>TrialBalance!C221</f>
        <v>0</v>
      </c>
      <c r="D221" s="362"/>
      <c r="E221" s="348"/>
      <c r="F221" s="86">
        <f t="shared" si="35"/>
        <v>0</v>
      </c>
      <c r="G221" s="53">
        <f>SUMIF(JournalsA!D$14:D$920,TrialBalanceA!M221,JournalsA!J$14:J$920)+SUMIF(JournalsA!E$14:E$920,TrialBalanceA!M221,JournalsA!J$14:J$920)</f>
        <v>0</v>
      </c>
      <c r="H221" s="363"/>
      <c r="I221" s="332">
        <f t="shared" si="40"/>
        <v>0</v>
      </c>
      <c r="J221" s="81"/>
      <c r="K221" s="54">
        <f t="shared" si="41"/>
        <v>0</v>
      </c>
      <c r="M221" s="192" t="str">
        <f t="shared" si="42"/>
        <v>5550/0130</v>
      </c>
      <c r="N221" s="76"/>
      <c r="P221" s="77"/>
      <c r="Q221" s="57"/>
      <c r="R221" s="31"/>
    </row>
    <row r="222" spans="1:18" x14ac:dyDescent="0.2">
      <c r="A222" s="315"/>
      <c r="B222" s="110" t="s">
        <v>636</v>
      </c>
      <c r="C222" s="352">
        <f>TrialBalance!C222</f>
        <v>0</v>
      </c>
      <c r="D222" s="358"/>
      <c r="E222" s="348"/>
      <c r="F222" s="86">
        <f t="shared" si="35"/>
        <v>0</v>
      </c>
      <c r="G222" s="53">
        <f>SUMIF(JournalsA!D$14:D$920,TrialBalanceA!M222,JournalsA!J$14:J$920)+SUMIF(JournalsA!E$14:E$920,TrialBalanceA!M222,JournalsA!J$14:J$920)</f>
        <v>0</v>
      </c>
      <c r="H222" s="363"/>
      <c r="I222" s="332">
        <f t="shared" si="40"/>
        <v>0</v>
      </c>
      <c r="J222" s="81"/>
      <c r="K222" s="54">
        <f t="shared" si="41"/>
        <v>0</v>
      </c>
      <c r="M222" s="192" t="str">
        <f t="shared" si="42"/>
        <v>5550/0140</v>
      </c>
      <c r="N222" s="76"/>
      <c r="P222" s="77"/>
      <c r="Q222" s="57"/>
      <c r="R222" s="31"/>
    </row>
    <row r="223" spans="1:18" x14ac:dyDescent="0.2">
      <c r="A223" s="315"/>
      <c r="B223" s="110" t="s">
        <v>637</v>
      </c>
      <c r="C223" s="352">
        <f>TrialBalance!C223</f>
        <v>0</v>
      </c>
      <c r="D223" s="357"/>
      <c r="E223" s="348"/>
      <c r="F223" s="86">
        <f>K223</f>
        <v>0</v>
      </c>
      <c r="G223" s="53">
        <f>SUMIF(JournalsA!D$14:D$920,TrialBalanceA!M223,JournalsA!J$14:J$920)+SUMIF(JournalsA!E$14:E$920,TrialBalanceA!M223,JournalsA!J$14:J$920)</f>
        <v>0</v>
      </c>
      <c r="H223" s="363"/>
      <c r="I223" s="332">
        <f t="shared" si="40"/>
        <v>0</v>
      </c>
      <c r="J223" s="81"/>
      <c r="K223" s="54">
        <f t="shared" si="41"/>
        <v>0</v>
      </c>
      <c r="M223" s="192" t="str">
        <f t="shared" si="42"/>
        <v>5550/0150</v>
      </c>
      <c r="N223" s="76"/>
      <c r="P223" s="77"/>
      <c r="Q223" s="57"/>
      <c r="R223" s="31"/>
    </row>
    <row r="224" spans="1:18" x14ac:dyDescent="0.2">
      <c r="A224" s="315"/>
      <c r="B224" s="110" t="s">
        <v>638</v>
      </c>
      <c r="C224" s="352">
        <f>TrialBalance!C224</f>
        <v>0</v>
      </c>
      <c r="D224" s="348"/>
      <c r="E224" s="348"/>
      <c r="F224" s="86">
        <f>K224</f>
        <v>0</v>
      </c>
      <c r="G224" s="53">
        <f>SUMIF(JournalsA!D$14:D$920,TrialBalanceA!M224,JournalsA!J$14:J$920)+SUMIF(JournalsA!E$14:E$920,TrialBalanceA!M224,JournalsA!J$14:J$920)</f>
        <v>0</v>
      </c>
      <c r="H224" s="363"/>
      <c r="I224" s="332">
        <f t="shared" si="40"/>
        <v>0</v>
      </c>
      <c r="J224" s="81"/>
      <c r="K224" s="54">
        <f t="shared" si="41"/>
        <v>0</v>
      </c>
      <c r="M224" s="192" t="str">
        <f t="shared" si="42"/>
        <v>5550/0160</v>
      </c>
      <c r="N224" s="76"/>
      <c r="P224" s="77"/>
      <c r="Q224" s="57"/>
      <c r="R224" s="31"/>
    </row>
    <row r="225" spans="1:18" x14ac:dyDescent="0.2">
      <c r="A225" s="315"/>
      <c r="B225" s="110" t="s">
        <v>639</v>
      </c>
      <c r="C225" s="352">
        <f>TrialBalance!C225</f>
        <v>0</v>
      </c>
      <c r="D225" s="350"/>
      <c r="E225" s="348"/>
      <c r="F225" s="86">
        <f>K225</f>
        <v>0</v>
      </c>
      <c r="G225" s="53">
        <f>SUMIF(JournalsA!D$14:D$920,TrialBalanceA!M225,JournalsA!J$14:J$920)+SUMIF(JournalsA!E$14:E$920,TrialBalanceA!M225,JournalsA!J$14:J$920)</f>
        <v>0</v>
      </c>
      <c r="H225" s="363"/>
      <c r="I225" s="332">
        <f t="shared" si="40"/>
        <v>0</v>
      </c>
      <c r="J225" s="81"/>
      <c r="K225" s="54">
        <f t="shared" si="41"/>
        <v>0</v>
      </c>
      <c r="M225" s="192" t="str">
        <f t="shared" si="42"/>
        <v>5550/0170</v>
      </c>
      <c r="N225" s="76"/>
      <c r="P225" s="77"/>
      <c r="Q225" s="57"/>
      <c r="R225" s="31"/>
    </row>
    <row r="226" spans="1:18" x14ac:dyDescent="0.2">
      <c r="A226" s="315"/>
      <c r="B226" s="60" t="s">
        <v>152</v>
      </c>
      <c r="C226" s="316" t="s">
        <v>1129</v>
      </c>
      <c r="D226" s="358"/>
      <c r="E226" s="348"/>
      <c r="F226" s="86"/>
      <c r="G226" s="53">
        <f>SUMIF(JournalsA!D$14:D$920,TrialBalanceA!M226,JournalsA!J$14:J$920)+SUMIF(JournalsA!E$14:E$920,TrialBalanceA!M226,JournalsA!J$14:J$920)</f>
        <v>0</v>
      </c>
      <c r="H226" s="363"/>
      <c r="I226" s="332">
        <f t="shared" si="40"/>
        <v>0</v>
      </c>
      <c r="J226" s="81"/>
      <c r="K226" s="54">
        <f t="shared" si="41"/>
        <v>0</v>
      </c>
      <c r="M226" s="192" t="str">
        <f t="shared" si="42"/>
        <v>6100/000PROPERTY - COST</v>
      </c>
      <c r="N226" s="76"/>
      <c r="P226" s="77"/>
      <c r="Q226" s="57"/>
      <c r="R226" s="31"/>
    </row>
    <row r="227" spans="1:18" x14ac:dyDescent="0.2">
      <c r="A227" s="315"/>
      <c r="B227" s="60" t="s">
        <v>153</v>
      </c>
      <c r="C227" s="319" t="s">
        <v>1130</v>
      </c>
      <c r="D227" s="357"/>
      <c r="E227" s="348"/>
      <c r="F227" s="86">
        <f>SUM(K227:K229)</f>
        <v>0</v>
      </c>
      <c r="G227" s="53">
        <f>SUMIF(JournalsA!D$14:D$920,TrialBalanceA!M227,JournalsA!J$14:J$920)+SUMIF(JournalsA!E$14:E$920,TrialBalanceA!M227,JournalsA!J$14:J$920)</f>
        <v>0</v>
      </c>
      <c r="H227" s="363"/>
      <c r="I227" s="332">
        <f t="shared" si="40"/>
        <v>0</v>
      </c>
      <c r="J227" s="81"/>
      <c r="K227" s="54">
        <f t="shared" si="41"/>
        <v>0</v>
      </c>
      <c r="M227" s="192" t="str">
        <f t="shared" si="42"/>
        <v>6100/001Property - cost b/fwd</v>
      </c>
      <c r="N227" s="76"/>
      <c r="P227" s="77"/>
      <c r="Q227" s="57"/>
      <c r="R227" s="31"/>
    </row>
    <row r="228" spans="1:18" x14ac:dyDescent="0.2">
      <c r="A228" s="315"/>
      <c r="B228" s="60" t="s">
        <v>154</v>
      </c>
      <c r="C228" s="319" t="s">
        <v>1131</v>
      </c>
      <c r="D228" s="357"/>
      <c r="E228" s="348"/>
      <c r="F228" s="86"/>
      <c r="G228" s="53">
        <f>SUMIF(JournalsA!D$14:D$920,TrialBalanceA!M228,JournalsA!J$14:J$920)+SUMIF(JournalsA!E$14:E$920,TrialBalanceA!M228,JournalsA!J$14:J$920)</f>
        <v>0</v>
      </c>
      <c r="H228" s="363"/>
      <c r="I228" s="332">
        <f t="shared" si="40"/>
        <v>0</v>
      </c>
      <c r="J228" s="81"/>
      <c r="K228" s="54">
        <f t="shared" si="41"/>
        <v>0</v>
      </c>
      <c r="M228" s="192" t="str">
        <f t="shared" si="42"/>
        <v>6100/002Property - additions</v>
      </c>
      <c r="N228" s="76"/>
      <c r="P228" s="77"/>
      <c r="Q228" s="57"/>
      <c r="R228" s="31"/>
    </row>
    <row r="229" spans="1:18" x14ac:dyDescent="0.2">
      <c r="A229" s="315"/>
      <c r="B229" s="60" t="s">
        <v>155</v>
      </c>
      <c r="C229" s="319" t="s">
        <v>1132</v>
      </c>
      <c r="D229" s="357"/>
      <c r="E229" s="348"/>
      <c r="F229" s="86"/>
      <c r="G229" s="53">
        <f>SUMIF(JournalsA!D$14:D$920,TrialBalanceA!M229,JournalsA!J$14:J$920)+SUMIF(JournalsA!E$14:E$920,TrialBalanceA!M229,JournalsA!J$14:J$920)</f>
        <v>0</v>
      </c>
      <c r="H229" s="363"/>
      <c r="I229" s="332">
        <f t="shared" si="40"/>
        <v>0</v>
      </c>
      <c r="J229" s="81"/>
      <c r="K229" s="54">
        <f t="shared" si="41"/>
        <v>0</v>
      </c>
      <c r="M229" s="192" t="str">
        <f t="shared" si="42"/>
        <v>6100/003Property - cost of sales</v>
      </c>
      <c r="N229" s="76"/>
      <c r="P229" s="77"/>
      <c r="Q229" s="57"/>
      <c r="R229" s="31"/>
    </row>
    <row r="230" spans="1:18" x14ac:dyDescent="0.2">
      <c r="A230" s="315"/>
      <c r="B230" s="60" t="s">
        <v>286</v>
      </c>
      <c r="C230" s="316" t="s">
        <v>1133</v>
      </c>
      <c r="D230" s="358"/>
      <c r="E230" s="348"/>
      <c r="F230" s="86"/>
      <c r="G230" s="53">
        <f>SUMIF(JournalsA!D$14:D$920,TrialBalanceA!M230,JournalsA!J$14:J$920)+SUMIF(JournalsA!E$14:E$920,TrialBalanceA!M230,JournalsA!J$14:J$920)</f>
        <v>0</v>
      </c>
      <c r="H230" s="363"/>
      <c r="I230" s="332">
        <f t="shared" si="40"/>
        <v>0</v>
      </c>
      <c r="J230" s="81"/>
      <c r="K230" s="54">
        <f t="shared" si="41"/>
        <v>0</v>
      </c>
      <c r="M230" s="192" t="str">
        <f t="shared" si="42"/>
        <v>6100/020PROPERTY - ACC DEPR</v>
      </c>
      <c r="N230" s="76"/>
      <c r="P230" s="77"/>
      <c r="Q230" s="57"/>
      <c r="R230" s="31"/>
    </row>
    <row r="231" spans="1:18" x14ac:dyDescent="0.2">
      <c r="A231" s="315"/>
      <c r="B231" s="60" t="s">
        <v>287</v>
      </c>
      <c r="C231" s="319" t="s">
        <v>1134</v>
      </c>
      <c r="D231" s="357"/>
      <c r="E231" s="348"/>
      <c r="F231" s="86">
        <f>SUM(K231:K234)</f>
        <v>0</v>
      </c>
      <c r="G231" s="53">
        <f>SUMIF(JournalsA!D$14:D$920,TrialBalanceA!M231,JournalsA!J$14:J$920)+SUMIF(JournalsA!E$14:E$920,TrialBalanceA!M231,JournalsA!J$14:J$920)</f>
        <v>0</v>
      </c>
      <c r="H231" s="363"/>
      <c r="I231" s="332">
        <f t="shared" si="40"/>
        <v>0</v>
      </c>
      <c r="J231" s="81"/>
      <c r="K231" s="54">
        <f t="shared" si="41"/>
        <v>0</v>
      </c>
      <c r="M231" s="192" t="str">
        <f t="shared" si="42"/>
        <v>6100/021Property - acc depr b/fwd</v>
      </c>
      <c r="N231" s="76"/>
      <c r="P231" s="77"/>
      <c r="Q231" s="57"/>
      <c r="R231" s="31"/>
    </row>
    <row r="232" spans="1:18" x14ac:dyDescent="0.2">
      <c r="A232" s="315"/>
      <c r="B232" s="60" t="s">
        <v>288</v>
      </c>
      <c r="C232" s="319" t="s">
        <v>1135</v>
      </c>
      <c r="D232" s="357"/>
      <c r="E232" s="348"/>
      <c r="F232" s="86"/>
      <c r="G232" s="53">
        <f>SUMIF(JournalsA!D$14:D$920,TrialBalanceA!M232,JournalsA!J$14:J$920)+SUMIF(JournalsA!E$14:E$920,TrialBalanceA!M232,JournalsA!J$14:J$920)</f>
        <v>0</v>
      </c>
      <c r="H232" s="363"/>
      <c r="I232" s="332">
        <f t="shared" si="40"/>
        <v>0</v>
      </c>
      <c r="J232" s="81"/>
      <c r="K232" s="54">
        <f t="shared" si="41"/>
        <v>0</v>
      </c>
      <c r="M232" s="192" t="str">
        <f t="shared" si="42"/>
        <v>6100/022Property - depr this year</v>
      </c>
      <c r="N232" s="76"/>
      <c r="P232" s="77"/>
      <c r="Q232" s="57"/>
      <c r="R232" s="31"/>
    </row>
    <row r="233" spans="1:18" x14ac:dyDescent="0.2">
      <c r="A233" s="315"/>
      <c r="B233" s="60" t="s">
        <v>291</v>
      </c>
      <c r="C233" s="319" t="s">
        <v>1136</v>
      </c>
      <c r="D233" s="357"/>
      <c r="E233" s="348"/>
      <c r="F233" s="86"/>
      <c r="G233" s="53">
        <f>SUMIF(JournalsA!D$14:D$920,TrialBalanceA!M233,JournalsA!J$14:J$920)+SUMIF(JournalsA!E$14:E$920,TrialBalanceA!M233,JournalsA!J$14:J$920)</f>
        <v>0</v>
      </c>
      <c r="H233" s="363"/>
      <c r="I233" s="332">
        <f t="shared" si="40"/>
        <v>0</v>
      </c>
      <c r="J233" s="81"/>
      <c r="K233" s="54">
        <f t="shared" si="41"/>
        <v>0</v>
      </c>
      <c r="M233" s="192" t="str">
        <f t="shared" si="42"/>
        <v>6100/023Property - acc depr on sales</v>
      </c>
      <c r="N233" s="76"/>
      <c r="P233" s="77"/>
      <c r="Q233" s="57"/>
      <c r="R233" s="31"/>
    </row>
    <row r="234" spans="1:18" x14ac:dyDescent="0.2">
      <c r="A234" s="315"/>
      <c r="B234" s="110" t="s">
        <v>1154</v>
      </c>
      <c r="C234" s="319" t="s">
        <v>1155</v>
      </c>
      <c r="D234" s="357"/>
      <c r="E234" s="348"/>
      <c r="F234" s="86"/>
      <c r="G234" s="53">
        <f>SUMIF(JournalsA!D$14:D$920,TrialBalanceA!M234,JournalsA!J$14:J$920)+SUMIF(JournalsA!E$14:E$920,TrialBalanceA!M234,JournalsA!J$14:J$920)</f>
        <v>0</v>
      </c>
      <c r="H234" s="363"/>
      <c r="I234" s="332">
        <f t="shared" ref="I234" si="43">ROUND(D234-E234+G234+F234,0)</f>
        <v>0</v>
      </c>
      <c r="J234" s="81"/>
      <c r="K234" s="54">
        <f t="shared" ref="K234" si="44">ROUND(SUM(A234),0)</f>
        <v>0</v>
      </c>
      <c r="M234" s="192" t="str">
        <f t="shared" ref="M234" si="45">CONCATENATE(B234,C234)</f>
        <v>6100/024Property - recoupment of depr</v>
      </c>
      <c r="N234" s="76"/>
      <c r="P234" s="77"/>
      <c r="Q234" s="57"/>
      <c r="R234" s="31"/>
    </row>
    <row r="235" spans="1:18" x14ac:dyDescent="0.2">
      <c r="A235" s="315"/>
      <c r="B235" s="110" t="s">
        <v>676</v>
      </c>
      <c r="C235" s="316" t="s">
        <v>1137</v>
      </c>
      <c r="D235" s="357"/>
      <c r="E235" s="348"/>
      <c r="F235" s="86"/>
      <c r="G235" s="53">
        <f>SUMIF(JournalsA!D$14:D$920,TrialBalanceA!M235,JournalsA!J$14:J$920)+SUMIF(JournalsA!E$14:E$920,TrialBalanceA!M235,JournalsA!J$14:J$920)</f>
        <v>0</v>
      </c>
      <c r="H235" s="363"/>
      <c r="I235" s="332">
        <f t="shared" ref="I235:I238" si="46">ROUND(D235-E235+G235+F235,0)</f>
        <v>0</v>
      </c>
      <c r="J235" s="81"/>
      <c r="K235" s="54">
        <f t="shared" ref="K235:K238" si="47">ROUND(SUM(A235),0)</f>
        <v>0</v>
      </c>
      <c r="M235" s="192" t="str">
        <f t="shared" ref="M235:M238" si="48">CONCATENATE(B235,C235)</f>
        <v>6100/030PROPERTY - REVALUATION</v>
      </c>
      <c r="N235" s="76"/>
      <c r="P235" s="77"/>
      <c r="Q235" s="57"/>
      <c r="R235" s="31"/>
    </row>
    <row r="236" spans="1:18" x14ac:dyDescent="0.2">
      <c r="A236" s="315"/>
      <c r="B236" s="110" t="s">
        <v>677</v>
      </c>
      <c r="C236" s="319" t="s">
        <v>1138</v>
      </c>
      <c r="D236" s="357"/>
      <c r="E236" s="348"/>
      <c r="F236" s="86">
        <f>SUM(K236:K238)</f>
        <v>0</v>
      </c>
      <c r="G236" s="53">
        <f>SUMIF(JournalsA!D$14:D$920,TrialBalanceA!M236,JournalsA!J$14:J$920)+SUMIF(JournalsA!E$14:E$920,TrialBalanceA!M236,JournalsA!J$14:J$920)</f>
        <v>0</v>
      </c>
      <c r="H236" s="363"/>
      <c r="I236" s="332">
        <f t="shared" si="46"/>
        <v>0</v>
      </c>
      <c r="J236" s="81"/>
      <c r="K236" s="54">
        <f t="shared" si="47"/>
        <v>0</v>
      </c>
      <c r="M236" s="192" t="str">
        <f t="shared" si="48"/>
        <v>6100/031Property - revaluation b/fwd</v>
      </c>
      <c r="N236" s="76"/>
      <c r="P236" s="77"/>
      <c r="Q236" s="57"/>
      <c r="R236" s="31"/>
    </row>
    <row r="237" spans="1:18" x14ac:dyDescent="0.2">
      <c r="A237" s="315"/>
      <c r="B237" s="110" t="s">
        <v>678</v>
      </c>
      <c r="C237" s="319" t="s">
        <v>1139</v>
      </c>
      <c r="D237" s="357"/>
      <c r="E237" s="348"/>
      <c r="F237" s="86"/>
      <c r="G237" s="53">
        <f>SUMIF(JournalsA!D$14:D$920,TrialBalanceA!M237,JournalsA!J$14:J$920)+SUMIF(JournalsA!E$14:E$920,TrialBalanceA!M237,JournalsA!J$14:J$920)</f>
        <v>0</v>
      </c>
      <c r="H237" s="363"/>
      <c r="I237" s="332">
        <f t="shared" si="46"/>
        <v>0</v>
      </c>
      <c r="J237" s="81"/>
      <c r="K237" s="54">
        <f t="shared" si="47"/>
        <v>0</v>
      </c>
      <c r="M237" s="192" t="str">
        <f t="shared" si="48"/>
        <v>6100/032Property - revaluation additions</v>
      </c>
      <c r="N237" s="76"/>
      <c r="P237" s="77"/>
      <c r="Q237" s="57"/>
      <c r="R237" s="31"/>
    </row>
    <row r="238" spans="1:18" x14ac:dyDescent="0.2">
      <c r="A238" s="315"/>
      <c r="B238" s="110" t="s">
        <v>679</v>
      </c>
      <c r="C238" s="319" t="s">
        <v>1140</v>
      </c>
      <c r="D238" s="357"/>
      <c r="E238" s="348"/>
      <c r="F238" s="86"/>
      <c r="G238" s="53">
        <f>SUMIF(JournalsA!D$14:D$920,TrialBalanceA!M238,JournalsA!J$14:J$920)+SUMIF(JournalsA!E$14:E$920,TrialBalanceA!M238,JournalsA!J$14:J$920)</f>
        <v>0</v>
      </c>
      <c r="H238" s="363"/>
      <c r="I238" s="332">
        <f t="shared" si="46"/>
        <v>0</v>
      </c>
      <c r="J238" s="81"/>
      <c r="K238" s="54">
        <f t="shared" si="47"/>
        <v>0</v>
      </c>
      <c r="M238" s="192" t="str">
        <f t="shared" si="48"/>
        <v>6100/033Property - revaluation reduction</v>
      </c>
      <c r="N238" s="76"/>
      <c r="P238" s="77"/>
      <c r="Q238" s="57"/>
      <c r="R238" s="31"/>
    </row>
    <row r="239" spans="1:18" x14ac:dyDescent="0.2">
      <c r="A239" s="315"/>
      <c r="B239" s="60" t="s">
        <v>292</v>
      </c>
      <c r="C239" s="316" t="s">
        <v>773</v>
      </c>
      <c r="D239" s="358"/>
      <c r="E239" s="348"/>
      <c r="F239" s="86"/>
      <c r="G239" s="53">
        <f>SUMIF(JournalsA!D$14:D$920,TrialBalanceA!M239,JournalsA!J$14:J$920)+SUMIF(JournalsA!E$14:E$920,TrialBalanceA!M239,JournalsA!J$14:J$920)</f>
        <v>0</v>
      </c>
      <c r="H239" s="363"/>
      <c r="I239" s="332">
        <f t="shared" si="40"/>
        <v>0</v>
      </c>
      <c r="J239" s="81"/>
      <c r="K239" s="54">
        <f t="shared" si="41"/>
        <v>0</v>
      </c>
      <c r="M239" s="192" t="str">
        <f t="shared" si="42"/>
        <v>6150/000PLANT AND MACHINERY - COST</v>
      </c>
      <c r="N239" s="76"/>
      <c r="P239" s="77"/>
      <c r="Q239" s="57"/>
      <c r="R239" s="31"/>
    </row>
    <row r="240" spans="1:18" x14ac:dyDescent="0.2">
      <c r="A240" s="315"/>
      <c r="B240" s="60" t="s">
        <v>42</v>
      </c>
      <c r="C240" s="319" t="s">
        <v>774</v>
      </c>
      <c r="D240" s="357"/>
      <c r="E240" s="348"/>
      <c r="F240" s="86">
        <f>SUM(K240:K242)</f>
        <v>0</v>
      </c>
      <c r="G240" s="53">
        <f>SUMIF(JournalsA!D$14:D$920,TrialBalanceA!M240,JournalsA!J$14:J$920)+SUMIF(JournalsA!E$14:E$920,TrialBalanceA!M240,JournalsA!J$14:J$920)</f>
        <v>0</v>
      </c>
      <c r="H240" s="363"/>
      <c r="I240" s="332">
        <f t="shared" si="40"/>
        <v>0</v>
      </c>
      <c r="J240" s="81"/>
      <c r="K240" s="54">
        <f t="shared" si="41"/>
        <v>0</v>
      </c>
      <c r="M240" s="192" t="str">
        <f t="shared" si="42"/>
        <v>6150/001Plant and machinery - cost b/fwd</v>
      </c>
      <c r="N240" s="76"/>
      <c r="P240" s="77"/>
      <c r="Q240" s="57"/>
      <c r="R240" s="31"/>
    </row>
    <row r="241" spans="1:18" x14ac:dyDescent="0.2">
      <c r="A241" s="315"/>
      <c r="B241" s="60" t="s">
        <v>43</v>
      </c>
      <c r="C241" s="319" t="s">
        <v>775</v>
      </c>
      <c r="D241" s="357"/>
      <c r="E241" s="348"/>
      <c r="F241" s="86"/>
      <c r="G241" s="53">
        <f>SUMIF(JournalsA!D$14:D$920,TrialBalanceA!M241,JournalsA!J$14:J$920)+SUMIF(JournalsA!E$14:E$920,TrialBalanceA!M241,JournalsA!J$14:J$920)</f>
        <v>0</v>
      </c>
      <c r="H241" s="363"/>
      <c r="I241" s="332">
        <f t="shared" si="40"/>
        <v>0</v>
      </c>
      <c r="J241" s="81"/>
      <c r="K241" s="54">
        <f t="shared" si="41"/>
        <v>0</v>
      </c>
      <c r="M241" s="192" t="str">
        <f t="shared" si="42"/>
        <v>6150/002Plant and machinery - additions</v>
      </c>
      <c r="N241" s="76"/>
      <c r="P241" s="77"/>
      <c r="Q241" s="57"/>
      <c r="R241" s="31"/>
    </row>
    <row r="242" spans="1:18" x14ac:dyDescent="0.2">
      <c r="A242" s="315"/>
      <c r="B242" s="60" t="s">
        <v>44</v>
      </c>
      <c r="C242" s="319" t="s">
        <v>776</v>
      </c>
      <c r="D242" s="357"/>
      <c r="E242" s="348"/>
      <c r="F242" s="86"/>
      <c r="G242" s="53">
        <f>SUMIF(JournalsA!D$14:D$920,TrialBalanceA!M242,JournalsA!J$14:J$920)+SUMIF(JournalsA!E$14:E$920,TrialBalanceA!M242,JournalsA!J$14:J$920)</f>
        <v>0</v>
      </c>
      <c r="H242" s="363"/>
      <c r="I242" s="332">
        <f t="shared" ref="I242:I271" si="49">ROUND(D242-E242+G242+F242,0)</f>
        <v>0</v>
      </c>
      <c r="J242" s="81"/>
      <c r="K242" s="54">
        <f t="shared" si="41"/>
        <v>0</v>
      </c>
      <c r="M242" s="192" t="str">
        <f t="shared" si="42"/>
        <v>6150/003Plant and machinery - cost of sales</v>
      </c>
      <c r="N242" s="76"/>
      <c r="P242" s="77"/>
      <c r="Q242" s="57"/>
      <c r="R242" s="31"/>
    </row>
    <row r="243" spans="1:18" x14ac:dyDescent="0.2">
      <c r="A243" s="315"/>
      <c r="B243" s="60" t="s">
        <v>19</v>
      </c>
      <c r="C243" s="316" t="s">
        <v>777</v>
      </c>
      <c r="D243" s="358"/>
      <c r="E243" s="348"/>
      <c r="F243" s="86"/>
      <c r="G243" s="53">
        <f>SUMIF(JournalsA!D$14:D$920,TrialBalanceA!M243,JournalsA!J$14:J$920)+SUMIF(JournalsA!E$14:E$920,TrialBalanceA!M243,JournalsA!J$14:J$920)</f>
        <v>0</v>
      </c>
      <c r="H243" s="363"/>
      <c r="I243" s="332">
        <f t="shared" si="49"/>
        <v>0</v>
      </c>
      <c r="J243" s="81"/>
      <c r="K243" s="54">
        <f t="shared" si="41"/>
        <v>0</v>
      </c>
      <c r="M243" s="192" t="str">
        <f t="shared" si="42"/>
        <v>6150/020PLANT AND MACHINERY - ACC DEPR</v>
      </c>
      <c r="N243" s="76"/>
      <c r="P243" s="77"/>
      <c r="Q243" s="57"/>
      <c r="R243" s="31"/>
    </row>
    <row r="244" spans="1:18" x14ac:dyDescent="0.2">
      <c r="A244" s="315"/>
      <c r="B244" s="60" t="s">
        <v>20</v>
      </c>
      <c r="C244" s="319" t="s">
        <v>778</v>
      </c>
      <c r="D244" s="357"/>
      <c r="E244" s="348"/>
      <c r="F244" s="86">
        <f>SUM(K244:K246)</f>
        <v>0</v>
      </c>
      <c r="G244" s="53">
        <f>SUMIF(JournalsA!D$14:D$920,TrialBalanceA!M244,JournalsA!J$14:J$920)+SUMIF(JournalsA!E$14:E$920,TrialBalanceA!M244,JournalsA!J$14:J$920)</f>
        <v>0</v>
      </c>
      <c r="H244" s="363"/>
      <c r="I244" s="332">
        <f t="shared" si="49"/>
        <v>0</v>
      </c>
      <c r="J244" s="81"/>
      <c r="K244" s="54">
        <f t="shared" si="41"/>
        <v>0</v>
      </c>
      <c r="M244" s="192" t="str">
        <f t="shared" si="42"/>
        <v>6150/021Plant and machinery - acc depr b/fwd</v>
      </c>
      <c r="N244" s="76"/>
      <c r="P244" s="77"/>
      <c r="Q244" s="57"/>
      <c r="R244" s="31"/>
    </row>
    <row r="245" spans="1:18" x14ac:dyDescent="0.2">
      <c r="A245" s="315"/>
      <c r="B245" s="60" t="s">
        <v>36</v>
      </c>
      <c r="C245" s="319" t="s">
        <v>779</v>
      </c>
      <c r="D245" s="357"/>
      <c r="E245" s="348"/>
      <c r="F245" s="86"/>
      <c r="G245" s="53">
        <f>SUMIF(JournalsA!D$14:D$920,TrialBalanceA!M245,JournalsA!J$14:J$920)+SUMIF(JournalsA!E$14:E$920,TrialBalanceA!M245,JournalsA!J$14:J$920)</f>
        <v>0</v>
      </c>
      <c r="H245" s="363"/>
      <c r="I245" s="332">
        <f t="shared" si="49"/>
        <v>0</v>
      </c>
      <c r="J245" s="81"/>
      <c r="K245" s="54">
        <f t="shared" si="41"/>
        <v>0</v>
      </c>
      <c r="M245" s="192" t="str">
        <f t="shared" si="42"/>
        <v>6150/022Plant and machinery - depr this year</v>
      </c>
      <c r="N245" s="76"/>
      <c r="P245" s="77"/>
      <c r="Q245" s="57"/>
      <c r="R245" s="31"/>
    </row>
    <row r="246" spans="1:18" x14ac:dyDescent="0.2">
      <c r="A246" s="315"/>
      <c r="B246" s="60" t="s">
        <v>37</v>
      </c>
      <c r="C246" s="319" t="s">
        <v>780</v>
      </c>
      <c r="D246" s="357"/>
      <c r="E246" s="348"/>
      <c r="F246" s="86"/>
      <c r="G246" s="53">
        <f>SUMIF(JournalsA!D$14:D$920,TrialBalanceA!M246,JournalsA!J$14:J$920)+SUMIF(JournalsA!E$14:E$920,TrialBalanceA!M246,JournalsA!J$14:J$920)</f>
        <v>0</v>
      </c>
      <c r="H246" s="363"/>
      <c r="I246" s="332">
        <f t="shared" si="49"/>
        <v>0</v>
      </c>
      <c r="J246" s="81"/>
      <c r="K246" s="54">
        <f t="shared" si="41"/>
        <v>0</v>
      </c>
      <c r="M246" s="192" t="str">
        <f t="shared" si="42"/>
        <v>6150/023Plant and machinery - acc depr on sales</v>
      </c>
      <c r="N246" s="76"/>
      <c r="P246" s="77"/>
      <c r="Q246" s="57"/>
      <c r="R246" s="31"/>
    </row>
    <row r="247" spans="1:18" x14ac:dyDescent="0.2">
      <c r="A247" s="315"/>
      <c r="B247" s="60" t="s">
        <v>38</v>
      </c>
      <c r="C247" s="316" t="s">
        <v>39</v>
      </c>
      <c r="D247" s="358"/>
      <c r="E247" s="348"/>
      <c r="F247" s="86"/>
      <c r="G247" s="53">
        <f>SUMIF(JournalsA!D$14:D$920,TrialBalanceA!M247,JournalsA!J$14:J$920)+SUMIF(JournalsA!E$14:E$920,TrialBalanceA!M247,JournalsA!J$14:J$920)</f>
        <v>0</v>
      </c>
      <c r="H247" s="363"/>
      <c r="I247" s="332">
        <f t="shared" si="49"/>
        <v>0</v>
      </c>
      <c r="J247" s="81"/>
      <c r="K247" s="54">
        <f t="shared" si="41"/>
        <v>0</v>
      </c>
      <c r="M247" s="192" t="str">
        <f t="shared" si="42"/>
        <v>6200/000MOTOR VEHICLES - COST</v>
      </c>
      <c r="N247" s="76"/>
      <c r="P247" s="77"/>
      <c r="Q247" s="57"/>
      <c r="R247" s="31"/>
    </row>
    <row r="248" spans="1:18" x14ac:dyDescent="0.2">
      <c r="A248" s="315"/>
      <c r="B248" s="60" t="s">
        <v>40</v>
      </c>
      <c r="C248" s="319" t="s">
        <v>781</v>
      </c>
      <c r="D248" s="357"/>
      <c r="E248" s="348"/>
      <c r="F248" s="86">
        <f>SUM(K248:K250)</f>
        <v>0</v>
      </c>
      <c r="G248" s="53">
        <f>SUMIF(JournalsA!D$14:D$920,TrialBalanceA!M248,JournalsA!J$14:J$920)+SUMIF(JournalsA!E$14:E$920,TrialBalanceA!M248,JournalsA!J$14:J$920)</f>
        <v>0</v>
      </c>
      <c r="H248" s="363"/>
      <c r="I248" s="332">
        <f t="shared" si="49"/>
        <v>0</v>
      </c>
      <c r="J248" s="81"/>
      <c r="K248" s="54">
        <f t="shared" si="41"/>
        <v>0</v>
      </c>
      <c r="M248" s="192" t="str">
        <f t="shared" si="42"/>
        <v>6200/001Motor vehicles - cost b/fwd</v>
      </c>
      <c r="N248" s="76"/>
      <c r="P248" s="77"/>
      <c r="Q248" s="57"/>
      <c r="R248" s="31"/>
    </row>
    <row r="249" spans="1:18" x14ac:dyDescent="0.2">
      <c r="A249" s="315"/>
      <c r="B249" s="60" t="s">
        <v>41</v>
      </c>
      <c r="C249" s="319" t="s">
        <v>782</v>
      </c>
      <c r="D249" s="357"/>
      <c r="E249" s="348"/>
      <c r="F249" s="86"/>
      <c r="G249" s="53">
        <f>SUMIF(JournalsA!D$14:D$920,TrialBalanceA!M249,JournalsA!J$14:J$920)+SUMIF(JournalsA!E$14:E$920,TrialBalanceA!M249,JournalsA!J$14:J$920)</f>
        <v>0</v>
      </c>
      <c r="H249" s="363"/>
      <c r="I249" s="332">
        <f t="shared" si="49"/>
        <v>0</v>
      </c>
      <c r="J249" s="81"/>
      <c r="K249" s="54">
        <f t="shared" si="41"/>
        <v>0</v>
      </c>
      <c r="M249" s="192" t="str">
        <f t="shared" si="42"/>
        <v>6200/002Motor vehicles - additions</v>
      </c>
      <c r="N249" s="76"/>
      <c r="P249" s="77"/>
      <c r="Q249" s="57"/>
      <c r="R249" s="31"/>
    </row>
    <row r="250" spans="1:18" x14ac:dyDescent="0.2">
      <c r="A250" s="315"/>
      <c r="B250" s="60" t="s">
        <v>478</v>
      </c>
      <c r="C250" s="319" t="s">
        <v>783</v>
      </c>
      <c r="D250" s="357"/>
      <c r="E250" s="348"/>
      <c r="F250" s="86"/>
      <c r="G250" s="53">
        <f>SUMIF(JournalsA!D$14:D$920,TrialBalanceA!M250,JournalsA!J$14:J$920)+SUMIF(JournalsA!E$14:E$920,TrialBalanceA!M250,JournalsA!J$14:J$920)</f>
        <v>0</v>
      </c>
      <c r="H250" s="363"/>
      <c r="I250" s="332">
        <f t="shared" si="49"/>
        <v>0</v>
      </c>
      <c r="J250" s="81"/>
      <c r="K250" s="54">
        <f t="shared" si="41"/>
        <v>0</v>
      </c>
      <c r="M250" s="192" t="str">
        <f t="shared" si="42"/>
        <v>6200/003Motor vehicles - cost of sales</v>
      </c>
      <c r="N250" s="76"/>
      <c r="P250" s="77"/>
      <c r="Q250" s="57"/>
      <c r="R250" s="31"/>
    </row>
    <row r="251" spans="1:18" x14ac:dyDescent="0.2">
      <c r="A251" s="315"/>
      <c r="B251" s="60" t="s">
        <v>0</v>
      </c>
      <c r="C251" s="316" t="s">
        <v>1</v>
      </c>
      <c r="D251" s="358"/>
      <c r="E251" s="348"/>
      <c r="F251" s="86"/>
      <c r="G251" s="53">
        <f>SUMIF(JournalsA!D$14:D$920,TrialBalanceA!M251,JournalsA!J$14:J$920)+SUMIF(JournalsA!E$14:E$920,TrialBalanceA!M251,JournalsA!J$14:J$920)</f>
        <v>0</v>
      </c>
      <c r="H251" s="363"/>
      <c r="I251" s="332">
        <f t="shared" si="49"/>
        <v>0</v>
      </c>
      <c r="J251" s="81"/>
      <c r="K251" s="54">
        <f t="shared" si="41"/>
        <v>0</v>
      </c>
      <c r="M251" s="192" t="str">
        <f t="shared" si="42"/>
        <v>6200/020MOTOR VEHICLES - ACC DEPR</v>
      </c>
      <c r="N251" s="76"/>
      <c r="P251" s="77"/>
      <c r="Q251" s="57"/>
      <c r="R251" s="31"/>
    </row>
    <row r="252" spans="1:18" x14ac:dyDescent="0.2">
      <c r="A252" s="315"/>
      <c r="B252" s="60" t="s">
        <v>2</v>
      </c>
      <c r="C252" s="319" t="s">
        <v>784</v>
      </c>
      <c r="D252" s="357"/>
      <c r="E252" s="348"/>
      <c r="F252" s="86">
        <f>SUM(K252:K254)</f>
        <v>0</v>
      </c>
      <c r="G252" s="53">
        <f>SUMIF(JournalsA!D$14:D$920,TrialBalanceA!M252,JournalsA!J$14:J$920)+SUMIF(JournalsA!E$14:E$920,TrialBalanceA!M252,JournalsA!J$14:J$920)</f>
        <v>0</v>
      </c>
      <c r="H252" s="363"/>
      <c r="I252" s="332">
        <f t="shared" si="49"/>
        <v>0</v>
      </c>
      <c r="J252" s="81"/>
      <c r="K252" s="54">
        <f t="shared" si="41"/>
        <v>0</v>
      </c>
      <c r="M252" s="192" t="str">
        <f t="shared" si="42"/>
        <v>6200/021Motor vehicles - acc depr b/fwd</v>
      </c>
      <c r="N252" s="76"/>
      <c r="P252" s="77"/>
      <c r="Q252" s="57"/>
      <c r="R252" s="31"/>
    </row>
    <row r="253" spans="1:18" x14ac:dyDescent="0.2">
      <c r="A253" s="315"/>
      <c r="B253" s="60" t="s">
        <v>3</v>
      </c>
      <c r="C253" s="319" t="s">
        <v>785</v>
      </c>
      <c r="D253" s="357"/>
      <c r="E253" s="348"/>
      <c r="F253" s="86"/>
      <c r="G253" s="53">
        <f>SUMIF(JournalsA!D$14:D$920,TrialBalanceA!M253,JournalsA!J$14:J$920)+SUMIF(JournalsA!E$14:E$920,TrialBalanceA!M253,JournalsA!J$14:J$920)</f>
        <v>0</v>
      </c>
      <c r="H253" s="363"/>
      <c r="I253" s="332">
        <f t="shared" si="49"/>
        <v>0</v>
      </c>
      <c r="J253" s="81"/>
      <c r="K253" s="54">
        <f t="shared" si="41"/>
        <v>0</v>
      </c>
      <c r="M253" s="192" t="str">
        <f t="shared" si="42"/>
        <v>6200/022Motor vehicles - depr this year</v>
      </c>
      <c r="N253" s="76"/>
      <c r="P253" s="77"/>
      <c r="Q253" s="57"/>
      <c r="R253" s="31"/>
    </row>
    <row r="254" spans="1:18" x14ac:dyDescent="0.2">
      <c r="A254" s="315"/>
      <c r="B254" s="60" t="s">
        <v>4</v>
      </c>
      <c r="C254" s="319" t="s">
        <v>786</v>
      </c>
      <c r="D254" s="357"/>
      <c r="E254" s="348"/>
      <c r="F254" s="86"/>
      <c r="G254" s="53">
        <f>SUMIF(JournalsA!D$14:D$920,TrialBalanceA!M254,JournalsA!J$14:J$920)+SUMIF(JournalsA!E$14:E$920,TrialBalanceA!M254,JournalsA!J$14:J$920)</f>
        <v>0</v>
      </c>
      <c r="H254" s="363"/>
      <c r="I254" s="332">
        <f t="shared" si="49"/>
        <v>0</v>
      </c>
      <c r="J254" s="81"/>
      <c r="K254" s="54">
        <f t="shared" si="41"/>
        <v>0</v>
      </c>
      <c r="M254" s="192" t="str">
        <f t="shared" si="42"/>
        <v>6200/023Motor vehicles - acc depr on sales</v>
      </c>
      <c r="N254" s="76"/>
      <c r="P254" s="77"/>
      <c r="Q254" s="57"/>
      <c r="R254" s="31"/>
    </row>
    <row r="255" spans="1:18" x14ac:dyDescent="0.2">
      <c r="A255" s="315"/>
      <c r="B255" s="60" t="s">
        <v>5</v>
      </c>
      <c r="C255" s="316" t="s">
        <v>128</v>
      </c>
      <c r="D255" s="358"/>
      <c r="E255" s="348"/>
      <c r="F255" s="86"/>
      <c r="G255" s="53">
        <f>SUMIF(JournalsA!D$14:D$920,TrialBalanceA!M255,JournalsA!J$14:J$920)+SUMIF(JournalsA!E$14:E$920,TrialBalanceA!M255,JournalsA!J$14:J$920)</f>
        <v>0</v>
      </c>
      <c r="H255" s="363"/>
      <c r="I255" s="332">
        <f t="shared" si="49"/>
        <v>0</v>
      </c>
      <c r="J255" s="81"/>
      <c r="K255" s="54">
        <f t="shared" si="41"/>
        <v>0</v>
      </c>
      <c r="M255" s="192" t="str">
        <f t="shared" si="42"/>
        <v>6250/000ELECTRONIC EQUIPMENT - COST</v>
      </c>
      <c r="N255" s="76"/>
      <c r="P255" s="77"/>
      <c r="Q255" s="57"/>
      <c r="R255" s="31"/>
    </row>
    <row r="256" spans="1:18" x14ac:dyDescent="0.2">
      <c r="A256" s="315"/>
      <c r="B256" s="60" t="s">
        <v>6</v>
      </c>
      <c r="C256" s="319" t="s">
        <v>787</v>
      </c>
      <c r="D256" s="357"/>
      <c r="E256" s="348"/>
      <c r="F256" s="86">
        <f>SUM(K256:K258)</f>
        <v>0</v>
      </c>
      <c r="G256" s="53">
        <f>SUMIF(JournalsA!D$14:D$920,TrialBalanceA!M256,JournalsA!J$14:J$920)+SUMIF(JournalsA!E$14:E$920,TrialBalanceA!M256,JournalsA!J$14:J$920)</f>
        <v>0</v>
      </c>
      <c r="H256" s="363"/>
      <c r="I256" s="332">
        <f t="shared" si="49"/>
        <v>0</v>
      </c>
      <c r="J256" s="81"/>
      <c r="K256" s="54">
        <f t="shared" si="41"/>
        <v>0</v>
      </c>
      <c r="M256" s="192" t="str">
        <f t="shared" si="42"/>
        <v>6250/001Electronic equipment - cost b/fwd</v>
      </c>
      <c r="N256" s="76"/>
      <c r="P256" s="77"/>
      <c r="Q256" s="57"/>
      <c r="R256" s="31"/>
    </row>
    <row r="257" spans="1:18" x14ac:dyDescent="0.2">
      <c r="A257" s="315"/>
      <c r="B257" s="60" t="s">
        <v>7</v>
      </c>
      <c r="C257" s="319" t="s">
        <v>788</v>
      </c>
      <c r="D257" s="357"/>
      <c r="E257" s="348"/>
      <c r="F257" s="86"/>
      <c r="G257" s="53">
        <f>SUMIF(JournalsA!D$14:D$920,TrialBalanceA!M257,JournalsA!J$14:J$920)+SUMIF(JournalsA!E$14:E$920,TrialBalanceA!M257,JournalsA!J$14:J$920)</f>
        <v>0</v>
      </c>
      <c r="H257" s="363"/>
      <c r="I257" s="332">
        <f t="shared" si="49"/>
        <v>0</v>
      </c>
      <c r="J257" s="81"/>
      <c r="K257" s="54">
        <f t="shared" si="41"/>
        <v>0</v>
      </c>
      <c r="M257" s="192" t="str">
        <f t="shared" si="42"/>
        <v>6250/002Electronic equipment - additions</v>
      </c>
      <c r="N257" s="76"/>
      <c r="P257" s="77"/>
      <c r="Q257" s="57"/>
      <c r="R257" s="31"/>
    </row>
    <row r="258" spans="1:18" x14ac:dyDescent="0.2">
      <c r="A258" s="315"/>
      <c r="B258" s="60" t="s">
        <v>8</v>
      </c>
      <c r="C258" s="319" t="s">
        <v>789</v>
      </c>
      <c r="D258" s="357"/>
      <c r="E258" s="348"/>
      <c r="F258" s="86"/>
      <c r="G258" s="53">
        <f>SUMIF(JournalsA!D$14:D$920,TrialBalanceA!M258,JournalsA!J$14:J$920)+SUMIF(JournalsA!E$14:E$920,TrialBalanceA!M258,JournalsA!J$14:J$920)</f>
        <v>0</v>
      </c>
      <c r="H258" s="363"/>
      <c r="I258" s="332">
        <f t="shared" si="49"/>
        <v>0</v>
      </c>
      <c r="J258" s="81"/>
      <c r="K258" s="54">
        <f t="shared" si="41"/>
        <v>0</v>
      </c>
      <c r="M258" s="192" t="str">
        <f t="shared" si="42"/>
        <v>6250/003Electronic equipment - cost of sales</v>
      </c>
      <c r="N258" s="76"/>
      <c r="P258" s="77"/>
      <c r="Q258" s="57"/>
      <c r="R258" s="31"/>
    </row>
    <row r="259" spans="1:18" x14ac:dyDescent="0.2">
      <c r="A259" s="315"/>
      <c r="B259" s="60" t="s">
        <v>9</v>
      </c>
      <c r="C259" s="316" t="s">
        <v>129</v>
      </c>
      <c r="D259" s="358"/>
      <c r="E259" s="348"/>
      <c r="F259" s="86"/>
      <c r="G259" s="53">
        <f>SUMIF(JournalsA!D$14:D$920,TrialBalanceA!M259,JournalsA!J$14:J$920)+SUMIF(JournalsA!E$14:E$920,TrialBalanceA!M259,JournalsA!J$14:J$920)</f>
        <v>0</v>
      </c>
      <c r="H259" s="363"/>
      <c r="I259" s="332">
        <f t="shared" si="49"/>
        <v>0</v>
      </c>
      <c r="J259" s="81"/>
      <c r="K259" s="54">
        <f t="shared" si="41"/>
        <v>0</v>
      </c>
      <c r="M259" s="192" t="str">
        <f t="shared" si="42"/>
        <v>6250/020ELECTRONIC EQUIPMENT - ACC DEPR</v>
      </c>
      <c r="N259" s="76"/>
      <c r="P259" s="77"/>
      <c r="Q259" s="57"/>
      <c r="R259" s="31"/>
    </row>
    <row r="260" spans="1:18" x14ac:dyDescent="0.2">
      <c r="A260" s="315"/>
      <c r="B260" s="60" t="s">
        <v>10</v>
      </c>
      <c r="C260" s="319" t="s">
        <v>790</v>
      </c>
      <c r="D260" s="357"/>
      <c r="E260" s="348"/>
      <c r="F260" s="86">
        <f>SUM(K260:K262)</f>
        <v>0</v>
      </c>
      <c r="G260" s="53">
        <f>SUMIF(JournalsA!D$14:D$920,TrialBalanceA!M260,JournalsA!J$14:J$920)+SUMIF(JournalsA!E$14:E$920,TrialBalanceA!M260,JournalsA!J$14:J$920)</f>
        <v>0</v>
      </c>
      <c r="H260" s="363"/>
      <c r="I260" s="332">
        <f t="shared" si="49"/>
        <v>0</v>
      </c>
      <c r="J260" s="81"/>
      <c r="K260" s="54">
        <f t="shared" si="41"/>
        <v>0</v>
      </c>
      <c r="M260" s="192" t="str">
        <f t="shared" si="42"/>
        <v>6250/021Electronic equipment - acc depr b/fwd</v>
      </c>
      <c r="N260" s="76"/>
      <c r="P260" s="77"/>
      <c r="Q260" s="57"/>
      <c r="R260" s="31"/>
    </row>
    <row r="261" spans="1:18" x14ac:dyDescent="0.2">
      <c r="A261" s="315"/>
      <c r="B261" s="60" t="s">
        <v>11</v>
      </c>
      <c r="C261" s="319" t="s">
        <v>791</v>
      </c>
      <c r="D261" s="357"/>
      <c r="E261" s="348"/>
      <c r="F261" s="86"/>
      <c r="G261" s="53">
        <f>SUMIF(JournalsA!D$14:D$920,TrialBalanceA!M261,JournalsA!J$14:J$920)+SUMIF(JournalsA!E$14:E$920,TrialBalanceA!M261,JournalsA!J$14:J$920)</f>
        <v>0</v>
      </c>
      <c r="H261" s="363"/>
      <c r="I261" s="332">
        <f t="shared" si="49"/>
        <v>0</v>
      </c>
      <c r="J261" s="81"/>
      <c r="K261" s="54">
        <f t="shared" si="41"/>
        <v>0</v>
      </c>
      <c r="M261" s="192" t="str">
        <f t="shared" si="42"/>
        <v>6250/022Electronic equipment - depr this year</v>
      </c>
      <c r="N261" s="76"/>
      <c r="P261" s="77"/>
      <c r="Q261" s="57"/>
      <c r="R261" s="31"/>
    </row>
    <row r="262" spans="1:18" x14ac:dyDescent="0.2">
      <c r="A262" s="315"/>
      <c r="B262" s="60" t="s">
        <v>12</v>
      </c>
      <c r="C262" s="319" t="s">
        <v>792</v>
      </c>
      <c r="D262" s="357"/>
      <c r="E262" s="348"/>
      <c r="F262" s="86"/>
      <c r="G262" s="53">
        <f>SUMIF(JournalsA!D$14:D$920,TrialBalanceA!M262,JournalsA!J$14:J$920)+SUMIF(JournalsA!E$14:E$920,TrialBalanceA!M262,JournalsA!J$14:J$920)</f>
        <v>0</v>
      </c>
      <c r="H262" s="363"/>
      <c r="I262" s="332">
        <f t="shared" si="49"/>
        <v>0</v>
      </c>
      <c r="J262" s="81"/>
      <c r="K262" s="54">
        <f t="shared" si="41"/>
        <v>0</v>
      </c>
      <c r="M262" s="192" t="str">
        <f t="shared" si="42"/>
        <v>6250/023Electronic equipment - acc depr on sales</v>
      </c>
      <c r="N262" s="76"/>
      <c r="P262" s="77"/>
      <c r="Q262" s="57"/>
      <c r="R262" s="31"/>
    </row>
    <row r="263" spans="1:18" x14ac:dyDescent="0.2">
      <c r="A263" s="315"/>
      <c r="B263" s="60" t="s">
        <v>15</v>
      </c>
      <c r="C263" s="316" t="s">
        <v>793</v>
      </c>
      <c r="D263" s="358"/>
      <c r="E263" s="348"/>
      <c r="F263" s="86"/>
      <c r="G263" s="53">
        <f>SUMIF(JournalsA!D$14:D$920,TrialBalanceA!M263,JournalsA!J$14:J$920)+SUMIF(JournalsA!E$14:E$920,TrialBalanceA!M263,JournalsA!J$14:J$920)</f>
        <v>0</v>
      </c>
      <c r="H263" s="363"/>
      <c r="I263" s="332">
        <f t="shared" si="49"/>
        <v>0</v>
      </c>
      <c r="J263" s="81"/>
      <c r="K263" s="54">
        <f t="shared" si="41"/>
        <v>0</v>
      </c>
      <c r="M263" s="192" t="str">
        <f t="shared" si="42"/>
        <v>6350/000FURNITURE AND FITTINGS - COST</v>
      </c>
      <c r="N263" s="76"/>
      <c r="P263" s="77"/>
      <c r="Q263" s="57"/>
      <c r="R263" s="31"/>
    </row>
    <row r="264" spans="1:18" x14ac:dyDescent="0.2">
      <c r="A264" s="315"/>
      <c r="B264" s="60" t="s">
        <v>16</v>
      </c>
      <c r="C264" s="319" t="s">
        <v>794</v>
      </c>
      <c r="D264" s="357"/>
      <c r="E264" s="348"/>
      <c r="F264" s="86">
        <f>SUM(K264:K266)</f>
        <v>0</v>
      </c>
      <c r="G264" s="53">
        <f>SUMIF(JournalsA!D$14:D$920,TrialBalanceA!M264,JournalsA!J$14:J$920)+SUMIF(JournalsA!E$14:E$920,TrialBalanceA!M264,JournalsA!J$14:J$920)</f>
        <v>0</v>
      </c>
      <c r="H264" s="363"/>
      <c r="I264" s="332">
        <f t="shared" si="49"/>
        <v>0</v>
      </c>
      <c r="J264" s="81"/>
      <c r="K264" s="54">
        <f t="shared" si="41"/>
        <v>0</v>
      </c>
      <c r="M264" s="192" t="str">
        <f t="shared" si="42"/>
        <v>6350/001Furniture and fittings - cost b/fwd</v>
      </c>
      <c r="N264" s="76"/>
      <c r="P264" s="77"/>
      <c r="Q264" s="57"/>
      <c r="R264" s="31"/>
    </row>
    <row r="265" spans="1:18" x14ac:dyDescent="0.2">
      <c r="A265" s="315"/>
      <c r="B265" s="60" t="s">
        <v>429</v>
      </c>
      <c r="C265" s="319" t="s">
        <v>795</v>
      </c>
      <c r="D265" s="357"/>
      <c r="E265" s="348"/>
      <c r="F265" s="86"/>
      <c r="G265" s="53">
        <f>SUMIF(JournalsA!D$14:D$920,TrialBalanceA!M265,JournalsA!J$14:J$920)+SUMIF(JournalsA!E$14:E$920,TrialBalanceA!M265,JournalsA!J$14:J$920)</f>
        <v>0</v>
      </c>
      <c r="H265" s="363"/>
      <c r="I265" s="332">
        <f t="shared" si="49"/>
        <v>0</v>
      </c>
      <c r="J265" s="81"/>
      <c r="K265" s="54">
        <f t="shared" si="41"/>
        <v>0</v>
      </c>
      <c r="M265" s="192" t="str">
        <f t="shared" si="42"/>
        <v>6350/002Furniture and fittings - additions</v>
      </c>
      <c r="N265" s="76"/>
      <c r="P265" s="77"/>
      <c r="Q265" s="57"/>
      <c r="R265" s="31"/>
    </row>
    <row r="266" spans="1:18" x14ac:dyDescent="0.2">
      <c r="A266" s="315"/>
      <c r="B266" s="60" t="s">
        <v>445</v>
      </c>
      <c r="C266" s="319" t="s">
        <v>796</v>
      </c>
      <c r="D266" s="357"/>
      <c r="E266" s="348"/>
      <c r="F266" s="86"/>
      <c r="G266" s="53">
        <f>SUMIF(JournalsA!D$14:D$920,TrialBalanceA!M266,JournalsA!J$14:J$920)+SUMIF(JournalsA!E$14:E$920,TrialBalanceA!M266,JournalsA!J$14:J$920)</f>
        <v>0</v>
      </c>
      <c r="H266" s="363"/>
      <c r="I266" s="332">
        <f t="shared" si="49"/>
        <v>0</v>
      </c>
      <c r="J266" s="81"/>
      <c r="K266" s="54">
        <f t="shared" si="41"/>
        <v>0</v>
      </c>
      <c r="M266" s="192" t="str">
        <f t="shared" si="42"/>
        <v>6350/003Furniture and fittings - cost of sales</v>
      </c>
      <c r="N266" s="76"/>
      <c r="P266" s="77"/>
      <c r="Q266" s="57"/>
      <c r="R266" s="31"/>
    </row>
    <row r="267" spans="1:18" x14ac:dyDescent="0.2">
      <c r="A267" s="315"/>
      <c r="B267" s="60" t="s">
        <v>274</v>
      </c>
      <c r="C267" s="316" t="s">
        <v>797</v>
      </c>
      <c r="D267" s="358"/>
      <c r="E267" s="348"/>
      <c r="F267" s="86"/>
      <c r="G267" s="53">
        <f>SUMIF(JournalsA!D$14:D$920,TrialBalanceA!M267,JournalsA!J$14:J$920)+SUMIF(JournalsA!E$14:E$920,TrialBalanceA!M267,JournalsA!J$14:J$920)</f>
        <v>0</v>
      </c>
      <c r="H267" s="363"/>
      <c r="I267" s="332">
        <f t="shared" si="49"/>
        <v>0</v>
      </c>
      <c r="J267" s="81"/>
      <c r="K267" s="54">
        <f t="shared" si="41"/>
        <v>0</v>
      </c>
      <c r="M267" s="192" t="str">
        <f t="shared" si="42"/>
        <v>6350/020FURNITURE AND FITTINGS - ACC DEPR</v>
      </c>
      <c r="N267" s="76"/>
      <c r="P267" s="77"/>
      <c r="Q267" s="57"/>
      <c r="R267" s="31"/>
    </row>
    <row r="268" spans="1:18" x14ac:dyDescent="0.2">
      <c r="A268" s="315"/>
      <c r="B268" s="60" t="s">
        <v>157</v>
      </c>
      <c r="C268" s="319" t="s">
        <v>798</v>
      </c>
      <c r="D268" s="357"/>
      <c r="E268" s="348"/>
      <c r="F268" s="86">
        <f>SUM(K268:K270)</f>
        <v>0</v>
      </c>
      <c r="G268" s="53">
        <f>SUMIF(JournalsA!D$14:D$920,TrialBalanceA!M268,JournalsA!J$14:J$920)+SUMIF(JournalsA!E$14:E$920,TrialBalanceA!M268,JournalsA!J$14:J$920)</f>
        <v>0</v>
      </c>
      <c r="H268" s="363"/>
      <c r="I268" s="332">
        <f t="shared" si="49"/>
        <v>0</v>
      </c>
      <c r="J268" s="81"/>
      <c r="K268" s="54">
        <f t="shared" si="41"/>
        <v>0</v>
      </c>
      <c r="M268" s="192" t="str">
        <f t="shared" si="42"/>
        <v>6350/021Furniture and fittings - acc depr b/fwd</v>
      </c>
      <c r="N268" s="76"/>
      <c r="P268" s="77"/>
      <c r="Q268" s="57"/>
      <c r="R268" s="31"/>
    </row>
    <row r="269" spans="1:18" x14ac:dyDescent="0.2">
      <c r="A269" s="315"/>
      <c r="B269" s="60" t="s">
        <v>158</v>
      </c>
      <c r="C269" s="319" t="s">
        <v>799</v>
      </c>
      <c r="D269" s="357"/>
      <c r="E269" s="348"/>
      <c r="F269" s="86"/>
      <c r="G269" s="53">
        <f>SUMIF(JournalsA!D$14:D$920,TrialBalanceA!M269,JournalsA!J$14:J$920)+SUMIF(JournalsA!E$14:E$920,TrialBalanceA!M269,JournalsA!J$14:J$920)</f>
        <v>0</v>
      </c>
      <c r="H269" s="363"/>
      <c r="I269" s="332">
        <f t="shared" si="49"/>
        <v>0</v>
      </c>
      <c r="J269" s="81"/>
      <c r="K269" s="54">
        <f t="shared" si="41"/>
        <v>0</v>
      </c>
      <c r="M269" s="192" t="str">
        <f t="shared" si="42"/>
        <v>6350/022Furniture and fittings - depr this year</v>
      </c>
      <c r="N269" s="76"/>
      <c r="P269" s="77"/>
      <c r="Q269" s="57"/>
      <c r="R269" s="31"/>
    </row>
    <row r="270" spans="1:18" x14ac:dyDescent="0.2">
      <c r="A270" s="315"/>
      <c r="B270" s="60" t="s">
        <v>251</v>
      </c>
      <c r="C270" s="319" t="s">
        <v>800</v>
      </c>
      <c r="D270" s="357"/>
      <c r="E270" s="348"/>
      <c r="F270" s="86"/>
      <c r="G270" s="53">
        <f>SUMIF(JournalsA!D$14:D$920,TrialBalanceA!M270,JournalsA!J$14:J$920)+SUMIF(JournalsA!E$14:E$920,TrialBalanceA!M270,JournalsA!J$14:J$920)</f>
        <v>0</v>
      </c>
      <c r="H270" s="363"/>
      <c r="I270" s="332">
        <f t="shared" si="49"/>
        <v>0</v>
      </c>
      <c r="J270" s="81"/>
      <c r="K270" s="54">
        <f t="shared" si="41"/>
        <v>0</v>
      </c>
      <c r="M270" s="192" t="str">
        <f t="shared" si="42"/>
        <v>6350/023Furniture and fittings - acc depr on sales</v>
      </c>
      <c r="N270" s="76"/>
      <c r="P270" s="77"/>
      <c r="Q270" s="57"/>
      <c r="R270" s="31"/>
    </row>
    <row r="271" spans="1:18" x14ac:dyDescent="0.2">
      <c r="A271" s="315"/>
      <c r="B271" s="60" t="s">
        <v>460</v>
      </c>
      <c r="C271" s="316" t="s">
        <v>1049</v>
      </c>
      <c r="D271" s="358"/>
      <c r="E271" s="348"/>
      <c r="F271" s="86"/>
      <c r="G271" s="53">
        <f>SUMIF(JournalsA!D$14:D$920,TrialBalanceA!M271,JournalsA!J$14:J$920)+SUMIF(JournalsA!E$14:E$920,TrialBalanceA!M271,JournalsA!J$14:J$920)</f>
        <v>0</v>
      </c>
      <c r="H271" s="363"/>
      <c r="I271" s="332">
        <f t="shared" si="49"/>
        <v>0</v>
      </c>
      <c r="J271" s="81"/>
      <c r="K271" s="54">
        <f t="shared" si="41"/>
        <v>0</v>
      </c>
      <c r="M271" s="192" t="str">
        <f t="shared" si="42"/>
        <v>7000/000INTANGIBLE ASSETS</v>
      </c>
      <c r="N271" s="76"/>
      <c r="P271" s="77"/>
      <c r="Q271" s="57"/>
      <c r="R271" s="31"/>
    </row>
    <row r="272" spans="1:18" x14ac:dyDescent="0.2">
      <c r="A272" s="315"/>
      <c r="B272" s="110" t="s">
        <v>1084</v>
      </c>
      <c r="C272" s="316" t="s">
        <v>1085</v>
      </c>
      <c r="D272" s="358"/>
      <c r="E272" s="348"/>
      <c r="F272" s="86"/>
      <c r="G272" s="53">
        <f>SUMIF(JournalsA!D$14:D$920,TrialBalanceA!M272,JournalsA!J$14:J$920)+SUMIF(JournalsA!E$14:E$920,TrialBalanceA!M272,JournalsA!J$14:J$920)</f>
        <v>0</v>
      </c>
      <c r="H272" s="363"/>
      <c r="I272" s="332">
        <f t="shared" ref="I272:I289" si="50">ROUND(D272-E272+G272+F272,0)</f>
        <v>0</v>
      </c>
      <c r="J272" s="81"/>
      <c r="K272" s="54">
        <f t="shared" ref="K272:K289" si="51">ROUND(SUM(A272),0)</f>
        <v>0</v>
      </c>
      <c r="M272" s="192" t="str">
        <f t="shared" ref="M272:M289" si="52">CONCATENATE(B272,C272)</f>
        <v>7000/001GOODWILL - COST</v>
      </c>
      <c r="N272" s="76"/>
      <c r="P272" s="77"/>
      <c r="Q272" s="57"/>
      <c r="R272" s="31"/>
    </row>
    <row r="273" spans="1:18" x14ac:dyDescent="0.2">
      <c r="A273" s="315"/>
      <c r="B273" s="110" t="s">
        <v>1086</v>
      </c>
      <c r="C273" s="319" t="s">
        <v>1087</v>
      </c>
      <c r="D273" s="358"/>
      <c r="E273" s="348"/>
      <c r="F273" s="86">
        <f>SUM(K273:K274)</f>
        <v>0</v>
      </c>
      <c r="G273" s="53">
        <f>SUMIF(JournalsA!D$14:D$920,TrialBalanceA!M273,JournalsA!J$14:J$920)+SUMIF(JournalsA!E$14:E$920,TrialBalanceA!M273,JournalsA!J$14:J$920)</f>
        <v>0</v>
      </c>
      <c r="H273" s="363"/>
      <c r="I273" s="332">
        <f t="shared" si="50"/>
        <v>0</v>
      </c>
      <c r="J273" s="81"/>
      <c r="K273" s="54">
        <f t="shared" si="51"/>
        <v>0</v>
      </c>
      <c r="M273" s="192" t="str">
        <f t="shared" si="52"/>
        <v>7000/002Goodwill - cost b/fwd</v>
      </c>
      <c r="N273" s="76"/>
      <c r="P273" s="77"/>
      <c r="Q273" s="57"/>
      <c r="R273" s="31"/>
    </row>
    <row r="274" spans="1:18" x14ac:dyDescent="0.2">
      <c r="A274" s="315"/>
      <c r="B274" s="110" t="s">
        <v>1088</v>
      </c>
      <c r="C274" s="319" t="s">
        <v>1089</v>
      </c>
      <c r="D274" s="358"/>
      <c r="E274" s="348"/>
      <c r="F274" s="86"/>
      <c r="G274" s="53">
        <f>SUMIF(JournalsA!D$14:D$920,TrialBalanceA!M274,JournalsA!J$14:J$920)+SUMIF(JournalsA!E$14:E$920,TrialBalanceA!M274,JournalsA!J$14:J$920)</f>
        <v>0</v>
      </c>
      <c r="H274" s="363"/>
      <c r="I274" s="332">
        <f t="shared" si="50"/>
        <v>0</v>
      </c>
      <c r="J274" s="81"/>
      <c r="K274" s="54">
        <f t="shared" si="51"/>
        <v>0</v>
      </c>
      <c r="M274" s="192" t="str">
        <f t="shared" si="52"/>
        <v>7000/003Goodwill - additions</v>
      </c>
      <c r="N274" s="76"/>
      <c r="P274" s="77"/>
      <c r="Q274" s="57"/>
      <c r="R274" s="31"/>
    </row>
    <row r="275" spans="1:18" x14ac:dyDescent="0.2">
      <c r="A275" s="315"/>
      <c r="B275" s="110" t="s">
        <v>1090</v>
      </c>
      <c r="C275" s="316" t="s">
        <v>1091</v>
      </c>
      <c r="D275" s="358"/>
      <c r="E275" s="348"/>
      <c r="F275" s="86"/>
      <c r="G275" s="53">
        <f>SUMIF(JournalsA!D$14:D$920,TrialBalanceA!M275,JournalsA!J$14:J$920)+SUMIF(JournalsA!E$14:E$920,TrialBalanceA!M275,JournalsA!J$14:J$920)</f>
        <v>0</v>
      </c>
      <c r="H275" s="363"/>
      <c r="I275" s="332">
        <f t="shared" si="50"/>
        <v>0</v>
      </c>
      <c r="J275" s="81"/>
      <c r="K275" s="54">
        <f t="shared" si="51"/>
        <v>0</v>
      </c>
      <c r="M275" s="192" t="str">
        <f t="shared" si="52"/>
        <v>7000/005GOODWILL - ACC AMORTISATION</v>
      </c>
      <c r="N275" s="76"/>
      <c r="P275" s="77"/>
      <c r="Q275" s="57"/>
      <c r="R275" s="31"/>
    </row>
    <row r="276" spans="1:18" x14ac:dyDescent="0.2">
      <c r="A276" s="315"/>
      <c r="B276" s="110" t="s">
        <v>1092</v>
      </c>
      <c r="C276" s="319" t="s">
        <v>1093</v>
      </c>
      <c r="D276" s="358"/>
      <c r="E276" s="348"/>
      <c r="F276" s="86">
        <f>SUM(K276:K277)</f>
        <v>0</v>
      </c>
      <c r="G276" s="53">
        <f>SUMIF(JournalsA!D$14:D$920,TrialBalanceA!M276,JournalsA!J$14:J$920)+SUMIF(JournalsA!E$14:E$920,TrialBalanceA!M276,JournalsA!J$14:J$920)</f>
        <v>0</v>
      </c>
      <c r="H276" s="363"/>
      <c r="I276" s="332">
        <f t="shared" si="50"/>
        <v>0</v>
      </c>
      <c r="J276" s="81"/>
      <c r="K276" s="54">
        <f t="shared" si="51"/>
        <v>0</v>
      </c>
      <c r="M276" s="192" t="str">
        <f t="shared" si="52"/>
        <v>7000/006Goodwill - acc amortisation b/fwd</v>
      </c>
      <c r="N276" s="76"/>
      <c r="P276" s="77"/>
      <c r="Q276" s="57"/>
      <c r="R276" s="31"/>
    </row>
    <row r="277" spans="1:18" x14ac:dyDescent="0.2">
      <c r="A277" s="315"/>
      <c r="B277" s="110" t="s">
        <v>1094</v>
      </c>
      <c r="C277" s="319" t="s">
        <v>1095</v>
      </c>
      <c r="D277" s="358"/>
      <c r="E277" s="348"/>
      <c r="F277" s="86"/>
      <c r="G277" s="53">
        <f>SUMIF(JournalsA!D$14:D$920,TrialBalanceA!M277,JournalsA!J$14:J$920)+SUMIF(JournalsA!E$14:E$920,TrialBalanceA!M277,JournalsA!J$14:J$920)</f>
        <v>0</v>
      </c>
      <c r="H277" s="363"/>
      <c r="I277" s="332">
        <f t="shared" si="50"/>
        <v>0</v>
      </c>
      <c r="J277" s="81"/>
      <c r="K277" s="54">
        <f t="shared" si="51"/>
        <v>0</v>
      </c>
      <c r="M277" s="192" t="str">
        <f t="shared" si="52"/>
        <v>7000/007Goodwill - amortisation this year</v>
      </c>
      <c r="N277" s="76"/>
      <c r="P277" s="77"/>
      <c r="Q277" s="57"/>
      <c r="R277" s="31"/>
    </row>
    <row r="278" spans="1:18" x14ac:dyDescent="0.2">
      <c r="A278" s="315"/>
      <c r="B278" s="110" t="s">
        <v>461</v>
      </c>
      <c r="C278" s="316" t="s">
        <v>1096</v>
      </c>
      <c r="D278" s="358"/>
      <c r="E278" s="348"/>
      <c r="F278" s="86"/>
      <c r="G278" s="53">
        <f>SUMIF(JournalsA!D$14:D$920,TrialBalanceA!M278,JournalsA!J$14:J$920)+SUMIF(JournalsA!E$14:E$920,TrialBalanceA!M278,JournalsA!J$14:J$920)</f>
        <v>0</v>
      </c>
      <c r="H278" s="363"/>
      <c r="I278" s="332">
        <f t="shared" si="50"/>
        <v>0</v>
      </c>
      <c r="J278" s="81"/>
      <c r="K278" s="54">
        <f t="shared" si="51"/>
        <v>0</v>
      </c>
      <c r="M278" s="192" t="str">
        <f t="shared" si="52"/>
        <v>7000/010GOODWILL - IMPAIRMENT</v>
      </c>
      <c r="N278" s="76"/>
      <c r="P278" s="77"/>
      <c r="Q278" s="57"/>
      <c r="R278" s="31"/>
    </row>
    <row r="279" spans="1:18" x14ac:dyDescent="0.2">
      <c r="A279" s="315"/>
      <c r="B279" s="110" t="s">
        <v>621</v>
      </c>
      <c r="C279" s="319" t="s">
        <v>1097</v>
      </c>
      <c r="D279" s="358"/>
      <c r="E279" s="348"/>
      <c r="F279" s="86">
        <f>SUM(K279:K280)</f>
        <v>0</v>
      </c>
      <c r="G279" s="53">
        <f>SUMIF(JournalsA!D$14:D$920,TrialBalanceA!M279,JournalsA!J$14:J$920)+SUMIF(JournalsA!E$14:E$920,TrialBalanceA!M279,JournalsA!J$14:J$920)</f>
        <v>0</v>
      </c>
      <c r="H279" s="363"/>
      <c r="I279" s="332">
        <f t="shared" si="50"/>
        <v>0</v>
      </c>
      <c r="J279" s="81"/>
      <c r="K279" s="54">
        <f t="shared" si="51"/>
        <v>0</v>
      </c>
      <c r="M279" s="192" t="str">
        <f t="shared" si="52"/>
        <v>7000/011Goodwill - impairment loss b/fwd</v>
      </c>
      <c r="N279" s="76"/>
      <c r="P279" s="77"/>
      <c r="Q279" s="57"/>
      <c r="R279" s="31"/>
    </row>
    <row r="280" spans="1:18" x14ac:dyDescent="0.2">
      <c r="A280" s="315"/>
      <c r="B280" s="110" t="s">
        <v>1098</v>
      </c>
      <c r="C280" s="319" t="s">
        <v>1099</v>
      </c>
      <c r="D280" s="358"/>
      <c r="E280" s="348"/>
      <c r="F280" s="86"/>
      <c r="G280" s="53">
        <f>SUMIF(JournalsA!D$14:D$920,TrialBalanceA!M280,JournalsA!J$14:J$920)+SUMIF(JournalsA!E$14:E$920,TrialBalanceA!M280,JournalsA!J$14:J$920)</f>
        <v>0</v>
      </c>
      <c r="H280" s="363"/>
      <c r="I280" s="332">
        <f t="shared" si="50"/>
        <v>0</v>
      </c>
      <c r="J280" s="81"/>
      <c r="K280" s="54">
        <f t="shared" si="51"/>
        <v>0</v>
      </c>
      <c r="M280" s="192" t="str">
        <f t="shared" si="52"/>
        <v>7000/012Goodwill - impairment loss this year</v>
      </c>
      <c r="N280" s="76"/>
      <c r="P280" s="77"/>
      <c r="Q280" s="57"/>
      <c r="R280" s="31"/>
    </row>
    <row r="281" spans="1:18" x14ac:dyDescent="0.2">
      <c r="A281" s="315"/>
      <c r="B281" s="110" t="s">
        <v>1100</v>
      </c>
      <c r="C281" s="316" t="s">
        <v>1101</v>
      </c>
      <c r="D281" s="358"/>
      <c r="E281" s="348"/>
      <c r="F281" s="86"/>
      <c r="G281" s="53">
        <f>SUMIF(JournalsA!D$14:D$920,TrialBalanceA!M281,JournalsA!J$14:J$920)+SUMIF(JournalsA!E$14:E$920,TrialBalanceA!M281,JournalsA!J$14:J$920)</f>
        <v>0</v>
      </c>
      <c r="H281" s="363"/>
      <c r="I281" s="332">
        <f t="shared" si="50"/>
        <v>0</v>
      </c>
      <c r="J281" s="81"/>
      <c r="K281" s="54">
        <f t="shared" si="51"/>
        <v>0</v>
      </c>
      <c r="M281" s="192" t="str">
        <f t="shared" si="52"/>
        <v>7000/021PREPAID LEASE AGREEMENT - COST</v>
      </c>
      <c r="N281" s="76"/>
      <c r="P281" s="77"/>
      <c r="Q281" s="57"/>
      <c r="R281" s="31"/>
    </row>
    <row r="282" spans="1:18" x14ac:dyDescent="0.2">
      <c r="A282" s="315"/>
      <c r="B282" s="110" t="s">
        <v>1102</v>
      </c>
      <c r="C282" s="319" t="s">
        <v>1103</v>
      </c>
      <c r="D282" s="358"/>
      <c r="E282" s="348"/>
      <c r="F282" s="86">
        <f>SUM(K282:K283)</f>
        <v>0</v>
      </c>
      <c r="G282" s="53">
        <f>SUMIF(JournalsA!D$14:D$920,TrialBalanceA!M282,JournalsA!J$14:J$920)+SUMIF(JournalsA!E$14:E$920,TrialBalanceA!M282,JournalsA!J$14:J$920)</f>
        <v>0</v>
      </c>
      <c r="H282" s="363"/>
      <c r="I282" s="332">
        <f t="shared" si="50"/>
        <v>0</v>
      </c>
      <c r="J282" s="81"/>
      <c r="K282" s="54">
        <f t="shared" si="51"/>
        <v>0</v>
      </c>
      <c r="M282" s="192" t="str">
        <f t="shared" si="52"/>
        <v>7000/022Prepaid lease agreement - cost b/fwd</v>
      </c>
      <c r="N282" s="76"/>
      <c r="P282" s="77"/>
      <c r="Q282" s="57"/>
      <c r="R282" s="31"/>
    </row>
    <row r="283" spans="1:18" x14ac:dyDescent="0.2">
      <c r="A283" s="315"/>
      <c r="B283" s="110" t="s">
        <v>1104</v>
      </c>
      <c r="C283" s="319" t="s">
        <v>1105</v>
      </c>
      <c r="D283" s="358"/>
      <c r="E283" s="348"/>
      <c r="F283" s="86"/>
      <c r="G283" s="53">
        <f>SUMIF(JournalsA!D$14:D$920,TrialBalanceA!M283,JournalsA!J$14:J$920)+SUMIF(JournalsA!E$14:E$920,TrialBalanceA!M283,JournalsA!J$14:J$920)</f>
        <v>0</v>
      </c>
      <c r="H283" s="363"/>
      <c r="I283" s="332">
        <f t="shared" si="50"/>
        <v>0</v>
      </c>
      <c r="J283" s="81"/>
      <c r="K283" s="54">
        <f t="shared" si="51"/>
        <v>0</v>
      </c>
      <c r="M283" s="192" t="str">
        <f t="shared" si="52"/>
        <v>7000/023Prepaid lease agreement - additions</v>
      </c>
      <c r="N283" s="76"/>
      <c r="P283" s="77"/>
      <c r="Q283" s="57"/>
      <c r="R283" s="31"/>
    </row>
    <row r="284" spans="1:18" x14ac:dyDescent="0.2">
      <c r="A284" s="315"/>
      <c r="B284" s="110" t="s">
        <v>462</v>
      </c>
      <c r="C284" s="316" t="s">
        <v>1106</v>
      </c>
      <c r="D284" s="358"/>
      <c r="E284" s="348"/>
      <c r="F284" s="86"/>
      <c r="G284" s="53">
        <f>SUMIF(JournalsA!D$14:D$920,TrialBalanceA!M284,JournalsA!J$14:J$920)+SUMIF(JournalsA!E$14:E$920,TrialBalanceA!M284,JournalsA!J$14:J$920)</f>
        <v>0</v>
      </c>
      <c r="H284" s="363"/>
      <c r="I284" s="332">
        <f t="shared" si="50"/>
        <v>0</v>
      </c>
      <c r="J284" s="81"/>
      <c r="K284" s="54">
        <f t="shared" si="51"/>
        <v>0</v>
      </c>
      <c r="M284" s="192" t="str">
        <f t="shared" si="52"/>
        <v>7000/025PREPAID LEASE AGREEMENT - ACC AMORTISATION</v>
      </c>
      <c r="N284" s="76"/>
      <c r="P284" s="77"/>
      <c r="Q284" s="57"/>
      <c r="R284" s="31"/>
    </row>
    <row r="285" spans="1:18" x14ac:dyDescent="0.2">
      <c r="A285" s="315"/>
      <c r="B285" s="110" t="s">
        <v>1107</v>
      </c>
      <c r="C285" s="319" t="s">
        <v>1108</v>
      </c>
      <c r="D285" s="358"/>
      <c r="E285" s="348"/>
      <c r="F285" s="86">
        <f>SUM(K285:K286)</f>
        <v>0</v>
      </c>
      <c r="G285" s="53">
        <f>SUMIF(JournalsA!D$14:D$920,TrialBalanceA!M285,JournalsA!J$14:J$920)+SUMIF(JournalsA!E$14:E$920,TrialBalanceA!M285,JournalsA!J$14:J$920)</f>
        <v>0</v>
      </c>
      <c r="H285" s="363"/>
      <c r="I285" s="332">
        <f t="shared" si="50"/>
        <v>0</v>
      </c>
      <c r="J285" s="81"/>
      <c r="K285" s="54">
        <f t="shared" si="51"/>
        <v>0</v>
      </c>
      <c r="M285" s="192" t="str">
        <f t="shared" si="52"/>
        <v>7000/026Prepaid lease agreement - acc amortisation b/fwd</v>
      </c>
      <c r="N285" s="76"/>
      <c r="P285" s="77"/>
      <c r="Q285" s="57"/>
      <c r="R285" s="31"/>
    </row>
    <row r="286" spans="1:18" x14ac:dyDescent="0.2">
      <c r="A286" s="315"/>
      <c r="B286" s="110" t="s">
        <v>1109</v>
      </c>
      <c r="C286" s="319" t="s">
        <v>1110</v>
      </c>
      <c r="D286" s="358"/>
      <c r="E286" s="348"/>
      <c r="F286" s="86"/>
      <c r="G286" s="53">
        <f>SUMIF(JournalsA!D$14:D$920,TrialBalanceA!M286,JournalsA!J$14:J$920)+SUMIF(JournalsA!E$14:E$920,TrialBalanceA!M286,JournalsA!J$14:J$920)</f>
        <v>0</v>
      </c>
      <c r="H286" s="363"/>
      <c r="I286" s="332">
        <f t="shared" si="50"/>
        <v>0</v>
      </c>
      <c r="J286" s="81"/>
      <c r="K286" s="54">
        <f t="shared" si="51"/>
        <v>0</v>
      </c>
      <c r="M286" s="192" t="str">
        <f t="shared" si="52"/>
        <v>7000/027Prepaid lease agreement - amortisation this year</v>
      </c>
      <c r="N286" s="76"/>
      <c r="P286" s="77"/>
      <c r="Q286" s="57"/>
      <c r="R286" s="31"/>
    </row>
    <row r="287" spans="1:18" x14ac:dyDescent="0.2">
      <c r="A287" s="315"/>
      <c r="B287" s="110" t="s">
        <v>1111</v>
      </c>
      <c r="C287" s="316" t="s">
        <v>1112</v>
      </c>
      <c r="D287" s="358"/>
      <c r="E287" s="348"/>
      <c r="F287" s="86"/>
      <c r="G287" s="53">
        <f>SUMIF(JournalsA!D$14:D$920,TrialBalanceA!M287,JournalsA!J$14:J$920)+SUMIF(JournalsA!E$14:E$920,TrialBalanceA!M287,JournalsA!J$14:J$920)</f>
        <v>0</v>
      </c>
      <c r="H287" s="363"/>
      <c r="I287" s="332">
        <f t="shared" si="50"/>
        <v>0</v>
      </c>
      <c r="J287" s="81"/>
      <c r="K287" s="54">
        <f t="shared" si="51"/>
        <v>0</v>
      </c>
      <c r="M287" s="192" t="str">
        <f t="shared" si="52"/>
        <v>7000/030PREPAID LEASE AGREEMENT - IMPAIRMENT</v>
      </c>
      <c r="N287" s="76"/>
      <c r="P287" s="77"/>
      <c r="Q287" s="57"/>
      <c r="R287" s="31"/>
    </row>
    <row r="288" spans="1:18" x14ac:dyDescent="0.2">
      <c r="A288" s="315"/>
      <c r="B288" s="110" t="s">
        <v>1113</v>
      </c>
      <c r="C288" s="319" t="s">
        <v>1114</v>
      </c>
      <c r="D288" s="358"/>
      <c r="E288" s="348"/>
      <c r="F288" s="86">
        <f>SUM(K288:K289)</f>
        <v>0</v>
      </c>
      <c r="G288" s="53">
        <f>SUMIF(JournalsA!D$14:D$920,TrialBalanceA!M288,JournalsA!J$14:J$920)+SUMIF(JournalsA!E$14:E$920,TrialBalanceA!M288,JournalsA!J$14:J$920)</f>
        <v>0</v>
      </c>
      <c r="H288" s="363"/>
      <c r="I288" s="332">
        <f t="shared" si="50"/>
        <v>0</v>
      </c>
      <c r="J288" s="81"/>
      <c r="K288" s="54">
        <f t="shared" si="51"/>
        <v>0</v>
      </c>
      <c r="M288" s="192" t="str">
        <f t="shared" si="52"/>
        <v>7000/031Prepaid lease agreement - impairment loss b/fwd</v>
      </c>
      <c r="N288" s="76"/>
      <c r="P288" s="77"/>
      <c r="Q288" s="57"/>
      <c r="R288" s="31"/>
    </row>
    <row r="289" spans="1:18" x14ac:dyDescent="0.2">
      <c r="A289" s="315"/>
      <c r="B289" s="110" t="s">
        <v>1115</v>
      </c>
      <c r="C289" s="319" t="s">
        <v>1116</v>
      </c>
      <c r="D289" s="358"/>
      <c r="E289" s="348"/>
      <c r="F289" s="86"/>
      <c r="G289" s="53">
        <f>SUMIF(JournalsA!D$14:D$920,TrialBalanceA!M289,JournalsA!J$14:J$920)+SUMIF(JournalsA!E$14:E$920,TrialBalanceA!M289,JournalsA!J$14:J$920)</f>
        <v>0</v>
      </c>
      <c r="H289" s="363"/>
      <c r="I289" s="332">
        <f t="shared" si="50"/>
        <v>0</v>
      </c>
      <c r="J289" s="81"/>
      <c r="K289" s="54">
        <f t="shared" si="51"/>
        <v>0</v>
      </c>
      <c r="M289" s="192" t="str">
        <f t="shared" si="52"/>
        <v>7000/032Prepaid lease agreement - impairment loss this year</v>
      </c>
      <c r="N289" s="76"/>
      <c r="P289" s="77"/>
      <c r="Q289" s="57"/>
      <c r="R289" s="31"/>
    </row>
    <row r="290" spans="1:18" x14ac:dyDescent="0.2">
      <c r="A290" s="315"/>
      <c r="B290" s="60" t="s">
        <v>463</v>
      </c>
      <c r="C290" s="316" t="s">
        <v>183</v>
      </c>
      <c r="D290" s="358"/>
      <c r="E290" s="348"/>
      <c r="F290" s="86"/>
      <c r="G290" s="53">
        <f>SUMIF(JournalsA!D$14:D$920,TrialBalanceA!M290,JournalsA!J$14:J$920)+SUMIF(JournalsA!E$14:E$920,TrialBalanceA!M290,JournalsA!J$14:J$920)</f>
        <v>0</v>
      </c>
      <c r="H290" s="363"/>
      <c r="I290" s="332">
        <f t="shared" ref="I290:I300" si="53">ROUND(D290-E290+G290+F290,0)</f>
        <v>0</v>
      </c>
      <c r="J290" s="81"/>
      <c r="K290" s="54">
        <f t="shared" ref="K290:K300" si="54">ROUND(SUM(A290),0)</f>
        <v>0</v>
      </c>
      <c r="M290" s="192" t="str">
        <f t="shared" ref="M290:M367" si="55">CONCATENATE(B290,C290)</f>
        <v>7100/000INVESTMENTS</v>
      </c>
      <c r="N290" s="76"/>
      <c r="P290" s="77"/>
      <c r="Q290" s="57"/>
      <c r="R290" s="31"/>
    </row>
    <row r="291" spans="1:18" x14ac:dyDescent="0.2">
      <c r="A291" s="315"/>
      <c r="B291" s="60" t="s">
        <v>464</v>
      </c>
      <c r="C291" s="317" t="s">
        <v>465</v>
      </c>
      <c r="D291" s="357"/>
      <c r="E291" s="348"/>
      <c r="F291" s="86"/>
      <c r="G291" s="53">
        <f>SUMIF(JournalsA!D$14:D$920,TrialBalanceA!M291,JournalsA!J$14:J$920)+SUMIF(JournalsA!E$14:E$920,TrialBalanceA!M291,JournalsA!J$14:J$920)</f>
        <v>0</v>
      </c>
      <c r="H291" s="363"/>
      <c r="I291" s="332">
        <f t="shared" si="53"/>
        <v>0</v>
      </c>
      <c r="J291" s="81"/>
      <c r="K291" s="54">
        <f t="shared" si="54"/>
        <v>0</v>
      </c>
      <c r="M291" s="192" t="str">
        <f t="shared" si="55"/>
        <v>7100/100LISTED INVESTMENTS</v>
      </c>
      <c r="N291" s="76"/>
      <c r="P291" s="77"/>
      <c r="Q291" s="57"/>
      <c r="R291" s="31"/>
    </row>
    <row r="292" spans="1:18" x14ac:dyDescent="0.2">
      <c r="A292" s="315"/>
      <c r="B292" s="60" t="s">
        <v>466</v>
      </c>
      <c r="C292" s="352">
        <f>TrialBalance!C292</f>
        <v>0</v>
      </c>
      <c r="D292" s="357"/>
      <c r="E292" s="348"/>
      <c r="F292" s="86">
        <f>K292</f>
        <v>0</v>
      </c>
      <c r="G292" s="53">
        <f>SUMIF(JournalsA!D$14:D$920,TrialBalanceA!M292,JournalsA!J$14:J$920)+SUMIF(JournalsA!E$14:E$920,TrialBalanceA!M292,JournalsA!J$14:J$920)</f>
        <v>0</v>
      </c>
      <c r="H292" s="363"/>
      <c r="I292" s="332">
        <f t="shared" si="53"/>
        <v>0</v>
      </c>
      <c r="J292" s="81"/>
      <c r="K292" s="54">
        <f t="shared" si="54"/>
        <v>0</v>
      </c>
      <c r="M292" s="192" t="str">
        <f t="shared" si="55"/>
        <v>7100/1010</v>
      </c>
      <c r="N292" s="76"/>
      <c r="P292" s="77"/>
      <c r="Q292" s="57"/>
      <c r="R292" s="31"/>
    </row>
    <row r="293" spans="1:18" x14ac:dyDescent="0.2">
      <c r="A293" s="315"/>
      <c r="B293" s="60" t="s">
        <v>467</v>
      </c>
      <c r="C293" s="352">
        <f>TrialBalance!C293</f>
        <v>0</v>
      </c>
      <c r="D293" s="357"/>
      <c r="E293" s="348"/>
      <c r="F293" s="86">
        <f t="shared" ref="F293:F375" si="56">K293</f>
        <v>0</v>
      </c>
      <c r="G293" s="53">
        <f>SUMIF(JournalsA!D$14:D$920,TrialBalanceA!M293,JournalsA!J$14:J$920)+SUMIF(JournalsA!E$14:E$920,TrialBalanceA!M293,JournalsA!J$14:J$920)</f>
        <v>0</v>
      </c>
      <c r="H293" s="363"/>
      <c r="I293" s="332">
        <f t="shared" si="53"/>
        <v>0</v>
      </c>
      <c r="J293" s="81"/>
      <c r="K293" s="54">
        <f t="shared" si="54"/>
        <v>0</v>
      </c>
      <c r="M293" s="192" t="str">
        <f t="shared" si="55"/>
        <v>7100/1020</v>
      </c>
      <c r="N293" s="76"/>
      <c r="P293" s="77"/>
      <c r="Q293" s="57"/>
      <c r="R293" s="31"/>
    </row>
    <row r="294" spans="1:18" x14ac:dyDescent="0.2">
      <c r="A294" s="315"/>
      <c r="B294" s="60" t="s">
        <v>468</v>
      </c>
      <c r="C294" s="352">
        <f>TrialBalance!C294</f>
        <v>0</v>
      </c>
      <c r="D294" s="357"/>
      <c r="E294" s="348"/>
      <c r="F294" s="86">
        <f t="shared" si="56"/>
        <v>0</v>
      </c>
      <c r="G294" s="53">
        <f>SUMIF(JournalsA!D$14:D$920,TrialBalanceA!M294,JournalsA!J$14:J$920)+SUMIF(JournalsA!E$14:E$920,TrialBalanceA!M294,JournalsA!J$14:J$920)</f>
        <v>0</v>
      </c>
      <c r="H294" s="363"/>
      <c r="I294" s="332">
        <f t="shared" si="53"/>
        <v>0</v>
      </c>
      <c r="J294" s="81"/>
      <c r="K294" s="54">
        <f t="shared" si="54"/>
        <v>0</v>
      </c>
      <c r="M294" s="192" t="str">
        <f t="shared" si="55"/>
        <v>7100/1030</v>
      </c>
      <c r="N294" s="76"/>
      <c r="P294" s="77"/>
      <c r="Q294" s="57"/>
      <c r="R294" s="31"/>
    </row>
    <row r="295" spans="1:18" x14ac:dyDescent="0.2">
      <c r="A295" s="315"/>
      <c r="B295" s="60" t="s">
        <v>469</v>
      </c>
      <c r="C295" s="352">
        <f>TrialBalance!C295</f>
        <v>0</v>
      </c>
      <c r="D295" s="357"/>
      <c r="E295" s="348"/>
      <c r="F295" s="86">
        <f t="shared" si="56"/>
        <v>0</v>
      </c>
      <c r="G295" s="53">
        <f>SUMIF(JournalsA!D$14:D$920,TrialBalanceA!M295,JournalsA!J$14:J$920)+SUMIF(JournalsA!E$14:E$920,TrialBalanceA!M295,JournalsA!J$14:J$920)</f>
        <v>0</v>
      </c>
      <c r="H295" s="363"/>
      <c r="I295" s="332">
        <f t="shared" si="53"/>
        <v>0</v>
      </c>
      <c r="J295" s="81"/>
      <c r="K295" s="54">
        <f t="shared" si="54"/>
        <v>0</v>
      </c>
      <c r="M295" s="192" t="str">
        <f t="shared" si="55"/>
        <v>7100/1040</v>
      </c>
      <c r="N295" s="76"/>
      <c r="P295" s="77"/>
      <c r="Q295" s="57"/>
      <c r="R295" s="31"/>
    </row>
    <row r="296" spans="1:18" x14ac:dyDescent="0.2">
      <c r="A296" s="315"/>
      <c r="B296" s="60" t="s">
        <v>470</v>
      </c>
      <c r="C296" s="352">
        <f>TrialBalance!C296</f>
        <v>0</v>
      </c>
      <c r="D296" s="357"/>
      <c r="E296" s="348"/>
      <c r="F296" s="86">
        <f t="shared" si="56"/>
        <v>0</v>
      </c>
      <c r="G296" s="53">
        <f>SUMIF(JournalsA!D$14:D$920,TrialBalanceA!M296,JournalsA!J$14:J$920)+SUMIF(JournalsA!E$14:E$920,TrialBalanceA!M296,JournalsA!J$14:J$920)</f>
        <v>0</v>
      </c>
      <c r="H296" s="363"/>
      <c r="I296" s="332">
        <f t="shared" si="53"/>
        <v>0</v>
      </c>
      <c r="J296" s="81"/>
      <c r="K296" s="54">
        <f t="shared" si="54"/>
        <v>0</v>
      </c>
      <c r="M296" s="192" t="str">
        <f t="shared" si="55"/>
        <v>7100/1050</v>
      </c>
      <c r="N296" s="76"/>
      <c r="P296" s="77"/>
      <c r="Q296" s="57"/>
      <c r="R296" s="31"/>
    </row>
    <row r="297" spans="1:18" x14ac:dyDescent="0.2">
      <c r="A297" s="315"/>
      <c r="B297" s="60" t="s">
        <v>471</v>
      </c>
      <c r="C297" s="319" t="s">
        <v>920</v>
      </c>
      <c r="D297" s="359"/>
      <c r="E297" s="348"/>
      <c r="F297" s="86"/>
      <c r="G297" s="53">
        <f>SUMIF(JournalsA!D$14:D$920,TrialBalanceA!M297,JournalsA!J$14:J$920)+SUMIF(JournalsA!E$14:E$920,TrialBalanceA!M297,JournalsA!J$14:J$920)</f>
        <v>0</v>
      </c>
      <c r="H297" s="363"/>
      <c r="I297" s="332">
        <f t="shared" si="53"/>
        <v>0</v>
      </c>
      <c r="J297" s="81"/>
      <c r="K297" s="54">
        <f t="shared" si="54"/>
        <v>0</v>
      </c>
      <c r="M297" s="192" t="str">
        <f t="shared" si="55"/>
        <v>7100/200SHARES IN PRIVATE COMPANIES</v>
      </c>
      <c r="N297" s="76"/>
      <c r="P297" s="77"/>
      <c r="Q297" s="57"/>
      <c r="R297" s="31"/>
    </row>
    <row r="298" spans="1:18" x14ac:dyDescent="0.2">
      <c r="A298" s="315"/>
      <c r="B298" s="60" t="s">
        <v>472</v>
      </c>
      <c r="C298" s="352">
        <f>TrialBalance!C298</f>
        <v>0</v>
      </c>
      <c r="D298" s="359"/>
      <c r="E298" s="348"/>
      <c r="F298" s="86">
        <f t="shared" si="56"/>
        <v>0</v>
      </c>
      <c r="G298" s="53">
        <f>SUMIF(JournalsA!D$14:D$920,TrialBalanceA!M298,JournalsA!J$14:J$920)+SUMIF(JournalsA!E$14:E$920,TrialBalanceA!M298,JournalsA!J$14:J$920)</f>
        <v>0</v>
      </c>
      <c r="H298" s="363"/>
      <c r="I298" s="332">
        <f t="shared" si="53"/>
        <v>0</v>
      </c>
      <c r="J298" s="81"/>
      <c r="K298" s="54">
        <f t="shared" si="54"/>
        <v>0</v>
      </c>
      <c r="M298" s="192" t="str">
        <f t="shared" si="55"/>
        <v>7100/2010</v>
      </c>
      <c r="N298" s="76"/>
      <c r="P298" s="77"/>
      <c r="Q298" s="57"/>
      <c r="R298" s="31"/>
    </row>
    <row r="299" spans="1:18" x14ac:dyDescent="0.2">
      <c r="A299" s="315"/>
      <c r="B299" s="60" t="s">
        <v>473</v>
      </c>
      <c r="C299" s="352">
        <f>TrialBalance!C299</f>
        <v>0</v>
      </c>
      <c r="D299" s="359"/>
      <c r="E299" s="348"/>
      <c r="F299" s="86">
        <f t="shared" si="56"/>
        <v>0</v>
      </c>
      <c r="G299" s="53">
        <f>SUMIF(JournalsA!D$14:D$920,TrialBalanceA!M299,JournalsA!J$14:J$920)+SUMIF(JournalsA!E$14:E$920,TrialBalanceA!M299,JournalsA!J$14:J$920)</f>
        <v>0</v>
      </c>
      <c r="H299" s="363"/>
      <c r="I299" s="332">
        <f t="shared" si="53"/>
        <v>0</v>
      </c>
      <c r="J299" s="81"/>
      <c r="K299" s="54">
        <f t="shared" si="54"/>
        <v>0</v>
      </c>
      <c r="M299" s="192" t="str">
        <f t="shared" si="55"/>
        <v>7100/2020</v>
      </c>
      <c r="N299" s="76"/>
      <c r="P299" s="77"/>
      <c r="Q299" s="57"/>
      <c r="R299" s="31"/>
    </row>
    <row r="300" spans="1:18" x14ac:dyDescent="0.2">
      <c r="A300" s="315"/>
      <c r="B300" s="60" t="s">
        <v>474</v>
      </c>
      <c r="C300" s="352">
        <f>TrialBalance!C300</f>
        <v>0</v>
      </c>
      <c r="D300" s="357"/>
      <c r="E300" s="348"/>
      <c r="F300" s="86">
        <f t="shared" si="56"/>
        <v>0</v>
      </c>
      <c r="G300" s="53">
        <f>SUMIF(JournalsA!D$14:D$920,TrialBalanceA!M300,JournalsA!J$14:J$920)+SUMIF(JournalsA!E$14:E$920,TrialBalanceA!M300,JournalsA!J$14:J$920)</f>
        <v>0</v>
      </c>
      <c r="H300" s="363"/>
      <c r="I300" s="332">
        <f t="shared" si="53"/>
        <v>0</v>
      </c>
      <c r="J300" s="81"/>
      <c r="K300" s="54">
        <f t="shared" si="54"/>
        <v>0</v>
      </c>
      <c r="M300" s="192" t="str">
        <f t="shared" si="55"/>
        <v>7100/2030</v>
      </c>
      <c r="N300" s="76"/>
      <c r="P300" s="77"/>
      <c r="Q300" s="57"/>
      <c r="R300" s="31"/>
    </row>
    <row r="301" spans="1:18" x14ac:dyDescent="0.2">
      <c r="A301" s="315"/>
      <c r="B301" s="60" t="s">
        <v>475</v>
      </c>
      <c r="C301" s="352">
        <f>TrialBalance!C301</f>
        <v>0</v>
      </c>
      <c r="D301" s="357"/>
      <c r="E301" s="348"/>
      <c r="F301" s="86">
        <f t="shared" si="56"/>
        <v>0</v>
      </c>
      <c r="G301" s="53">
        <f>SUMIF(JournalsA!D$14:D$920,TrialBalanceA!M301,JournalsA!J$14:J$920)+SUMIF(JournalsA!E$14:E$920,TrialBalanceA!M301,JournalsA!J$14:J$920)</f>
        <v>0</v>
      </c>
      <c r="H301" s="363"/>
      <c r="I301" s="332">
        <f t="shared" ref="I301:I366" si="57">ROUND(D301-E301+G301+F301,0)</f>
        <v>0</v>
      </c>
      <c r="J301" s="81"/>
      <c r="K301" s="54">
        <f t="shared" ref="K301:K366" si="58">ROUND(SUM(A301),0)</f>
        <v>0</v>
      </c>
      <c r="M301" s="192" t="str">
        <f t="shared" si="55"/>
        <v>7100/2040</v>
      </c>
      <c r="N301" s="76"/>
      <c r="P301" s="77"/>
      <c r="Q301" s="57"/>
      <c r="R301" s="31"/>
    </row>
    <row r="302" spans="1:18" x14ac:dyDescent="0.2">
      <c r="A302" s="315"/>
      <c r="B302" s="60" t="s">
        <v>159</v>
      </c>
      <c r="C302" s="352">
        <f>TrialBalance!C302</f>
        <v>0</v>
      </c>
      <c r="D302" s="357"/>
      <c r="E302" s="348"/>
      <c r="F302" s="86">
        <f>K302</f>
        <v>0</v>
      </c>
      <c r="G302" s="53">
        <f>SUMIF(JournalsA!D$14:D$920,TrialBalanceA!M302,JournalsA!J$14:J$920)+SUMIF(JournalsA!E$14:E$920,TrialBalanceA!M302,JournalsA!J$14:J$920)</f>
        <v>0</v>
      </c>
      <c r="H302" s="363"/>
      <c r="I302" s="332">
        <f>ROUND(D302-E302+G302+F302,0)</f>
        <v>0</v>
      </c>
      <c r="J302" s="81"/>
      <c r="K302" s="54">
        <f>ROUND(SUM(A302),0)</f>
        <v>0</v>
      </c>
      <c r="M302" s="192" t="str">
        <f t="shared" si="55"/>
        <v>7100/2050</v>
      </c>
      <c r="N302" s="76"/>
      <c r="P302" s="77"/>
      <c r="Q302" s="57"/>
      <c r="R302" s="31"/>
    </row>
    <row r="303" spans="1:18" x14ac:dyDescent="0.2">
      <c r="A303" s="315"/>
      <c r="B303" s="110" t="s">
        <v>904</v>
      </c>
      <c r="C303" s="352">
        <f>TrialBalance!C303</f>
        <v>0</v>
      </c>
      <c r="D303" s="357"/>
      <c r="E303" s="348"/>
      <c r="F303" s="86">
        <f t="shared" ref="F303:F310" si="59">K303</f>
        <v>0</v>
      </c>
      <c r="G303" s="53">
        <f>SUMIF(JournalsA!D$14:D$920,TrialBalanceA!M303,JournalsA!J$14:J$920)+SUMIF(JournalsA!E$14:E$920,TrialBalanceA!M303,JournalsA!J$14:J$920)</f>
        <v>0</v>
      </c>
      <c r="H303" s="363"/>
      <c r="I303" s="332">
        <f t="shared" ref="I303:I311" si="60">ROUND(D303-E303+G303+F303,0)</f>
        <v>0</v>
      </c>
      <c r="J303" s="81"/>
      <c r="K303" s="54">
        <f t="shared" ref="K303:K311" si="61">ROUND(SUM(A303),0)</f>
        <v>0</v>
      </c>
      <c r="M303" s="192" t="str">
        <f t="shared" ref="M303:M312" si="62">CONCATENATE(B303,C303)</f>
        <v>7100/2060</v>
      </c>
      <c r="N303" s="76"/>
      <c r="P303" s="77"/>
      <c r="Q303" s="57"/>
      <c r="R303" s="31"/>
    </row>
    <row r="304" spans="1:18" x14ac:dyDescent="0.2">
      <c r="A304" s="315"/>
      <c r="B304" s="110" t="s">
        <v>905</v>
      </c>
      <c r="C304" s="352">
        <f>TrialBalance!C304</f>
        <v>0</v>
      </c>
      <c r="D304" s="357"/>
      <c r="E304" s="348"/>
      <c r="F304" s="86">
        <f t="shared" si="59"/>
        <v>0</v>
      </c>
      <c r="G304" s="53">
        <f>SUMIF(JournalsA!D$14:D$920,TrialBalanceA!M304,JournalsA!J$14:J$920)+SUMIF(JournalsA!E$14:E$920,TrialBalanceA!M304,JournalsA!J$14:J$920)</f>
        <v>0</v>
      </c>
      <c r="H304" s="363"/>
      <c r="I304" s="332">
        <f t="shared" si="60"/>
        <v>0</v>
      </c>
      <c r="J304" s="81"/>
      <c r="K304" s="54">
        <f t="shared" si="61"/>
        <v>0</v>
      </c>
      <c r="M304" s="192" t="str">
        <f t="shared" si="62"/>
        <v>7100/2070</v>
      </c>
      <c r="N304" s="76"/>
      <c r="P304" s="77"/>
      <c r="Q304" s="57"/>
      <c r="R304" s="31"/>
    </row>
    <row r="305" spans="1:18" x14ac:dyDescent="0.2">
      <c r="A305" s="315"/>
      <c r="B305" s="110" t="s">
        <v>906</v>
      </c>
      <c r="C305" s="352">
        <f>TrialBalance!C305</f>
        <v>0</v>
      </c>
      <c r="D305" s="357"/>
      <c r="E305" s="348"/>
      <c r="F305" s="86">
        <f t="shared" si="59"/>
        <v>0</v>
      </c>
      <c r="G305" s="53">
        <f>SUMIF(JournalsA!D$14:D$920,TrialBalanceA!M305,JournalsA!J$14:J$920)+SUMIF(JournalsA!E$14:E$920,TrialBalanceA!M305,JournalsA!J$14:J$920)</f>
        <v>0</v>
      </c>
      <c r="H305" s="363"/>
      <c r="I305" s="332">
        <f t="shared" si="60"/>
        <v>0</v>
      </c>
      <c r="J305" s="81"/>
      <c r="K305" s="54">
        <f t="shared" si="61"/>
        <v>0</v>
      </c>
      <c r="M305" s="192" t="str">
        <f t="shared" si="62"/>
        <v>7100/2080</v>
      </c>
      <c r="N305" s="76"/>
      <c r="P305" s="77"/>
      <c r="Q305" s="57"/>
      <c r="R305" s="31"/>
    </row>
    <row r="306" spans="1:18" x14ac:dyDescent="0.2">
      <c r="A306" s="315"/>
      <c r="B306" s="110" t="s">
        <v>907</v>
      </c>
      <c r="C306" s="352">
        <f>TrialBalance!C306</f>
        <v>0</v>
      </c>
      <c r="D306" s="357"/>
      <c r="E306" s="348"/>
      <c r="F306" s="86">
        <f t="shared" si="59"/>
        <v>0</v>
      </c>
      <c r="G306" s="53">
        <f>SUMIF(JournalsA!D$14:D$920,TrialBalanceA!M306,JournalsA!J$14:J$920)+SUMIF(JournalsA!E$14:E$920,TrialBalanceA!M306,JournalsA!J$14:J$920)</f>
        <v>0</v>
      </c>
      <c r="H306" s="363"/>
      <c r="I306" s="332">
        <f t="shared" si="60"/>
        <v>0</v>
      </c>
      <c r="J306" s="81"/>
      <c r="K306" s="54">
        <f t="shared" si="61"/>
        <v>0</v>
      </c>
      <c r="M306" s="192" t="str">
        <f t="shared" si="62"/>
        <v>7100/2090</v>
      </c>
      <c r="N306" s="76"/>
      <c r="P306" s="77"/>
      <c r="Q306" s="57"/>
      <c r="R306" s="31"/>
    </row>
    <row r="307" spans="1:18" x14ac:dyDescent="0.2">
      <c r="A307" s="315"/>
      <c r="B307" s="110" t="s">
        <v>908</v>
      </c>
      <c r="C307" s="352">
        <f>TrialBalance!C307</f>
        <v>0</v>
      </c>
      <c r="D307" s="357"/>
      <c r="E307" s="348"/>
      <c r="F307" s="86">
        <f t="shared" si="59"/>
        <v>0</v>
      </c>
      <c r="G307" s="53">
        <f>SUMIF(JournalsA!D$14:D$920,TrialBalanceA!M307,JournalsA!J$14:J$920)+SUMIF(JournalsA!E$14:E$920,TrialBalanceA!M307,JournalsA!J$14:J$920)</f>
        <v>0</v>
      </c>
      <c r="H307" s="363"/>
      <c r="I307" s="332">
        <f t="shared" si="60"/>
        <v>0</v>
      </c>
      <c r="J307" s="81"/>
      <c r="K307" s="54">
        <f t="shared" si="61"/>
        <v>0</v>
      </c>
      <c r="M307" s="192" t="str">
        <f t="shared" si="62"/>
        <v>7100/2100</v>
      </c>
      <c r="N307" s="76"/>
      <c r="P307" s="77"/>
      <c r="Q307" s="57"/>
      <c r="R307" s="31"/>
    </row>
    <row r="308" spans="1:18" x14ac:dyDescent="0.2">
      <c r="A308" s="315"/>
      <c r="B308" s="110" t="s">
        <v>909</v>
      </c>
      <c r="C308" s="352">
        <f>TrialBalance!C308</f>
        <v>0</v>
      </c>
      <c r="D308" s="357"/>
      <c r="E308" s="348"/>
      <c r="F308" s="86">
        <f t="shared" si="59"/>
        <v>0</v>
      </c>
      <c r="G308" s="53">
        <f>SUMIF(JournalsA!D$14:D$920,TrialBalanceA!M308,JournalsA!J$14:J$920)+SUMIF(JournalsA!E$14:E$920,TrialBalanceA!M308,JournalsA!J$14:J$920)</f>
        <v>0</v>
      </c>
      <c r="H308" s="363"/>
      <c r="I308" s="332">
        <f t="shared" si="60"/>
        <v>0</v>
      </c>
      <c r="J308" s="81"/>
      <c r="K308" s="54">
        <f t="shared" si="61"/>
        <v>0</v>
      </c>
      <c r="M308" s="192" t="str">
        <f t="shared" si="62"/>
        <v>7100/2110</v>
      </c>
      <c r="N308" s="76"/>
      <c r="P308" s="77"/>
      <c r="Q308" s="57"/>
      <c r="R308" s="31"/>
    </row>
    <row r="309" spans="1:18" x14ac:dyDescent="0.2">
      <c r="A309" s="315"/>
      <c r="B309" s="110" t="s">
        <v>910</v>
      </c>
      <c r="C309" s="352">
        <f>TrialBalance!C309</f>
        <v>0</v>
      </c>
      <c r="D309" s="357"/>
      <c r="E309" s="348"/>
      <c r="F309" s="86">
        <f t="shared" si="59"/>
        <v>0</v>
      </c>
      <c r="G309" s="53">
        <f>SUMIF(JournalsA!D$14:D$920,TrialBalanceA!M309,JournalsA!J$14:J$920)+SUMIF(JournalsA!E$14:E$920,TrialBalanceA!M309,JournalsA!J$14:J$920)</f>
        <v>0</v>
      </c>
      <c r="H309" s="363"/>
      <c r="I309" s="332">
        <f t="shared" si="60"/>
        <v>0</v>
      </c>
      <c r="J309" s="81"/>
      <c r="K309" s="54">
        <f t="shared" si="61"/>
        <v>0</v>
      </c>
      <c r="M309" s="192" t="str">
        <f t="shared" si="62"/>
        <v>7100/2120</v>
      </c>
      <c r="N309" s="76"/>
      <c r="P309" s="77"/>
      <c r="Q309" s="57"/>
      <c r="R309" s="31"/>
    </row>
    <row r="310" spans="1:18" x14ac:dyDescent="0.2">
      <c r="A310" s="315"/>
      <c r="B310" s="110" t="s">
        <v>911</v>
      </c>
      <c r="C310" s="352">
        <f>TrialBalance!C310</f>
        <v>0</v>
      </c>
      <c r="D310" s="357"/>
      <c r="E310" s="348"/>
      <c r="F310" s="86">
        <f t="shared" si="59"/>
        <v>0</v>
      </c>
      <c r="G310" s="53">
        <f>SUMIF(JournalsA!D$14:D$920,TrialBalanceA!M310,JournalsA!J$14:J$920)+SUMIF(JournalsA!E$14:E$920,TrialBalanceA!M310,JournalsA!J$14:J$920)</f>
        <v>0</v>
      </c>
      <c r="H310" s="363"/>
      <c r="I310" s="332">
        <f t="shared" si="60"/>
        <v>0</v>
      </c>
      <c r="J310" s="81"/>
      <c r="K310" s="54">
        <f t="shared" si="61"/>
        <v>0</v>
      </c>
      <c r="M310" s="192" t="str">
        <f t="shared" si="62"/>
        <v>7100/2130</v>
      </c>
      <c r="N310" s="76"/>
      <c r="P310" s="77"/>
      <c r="Q310" s="57"/>
      <c r="R310" s="31"/>
    </row>
    <row r="311" spans="1:18" x14ac:dyDescent="0.2">
      <c r="A311" s="315"/>
      <c r="B311" s="110" t="s">
        <v>912</v>
      </c>
      <c r="C311" s="352">
        <f>TrialBalance!C311</f>
        <v>0</v>
      </c>
      <c r="D311" s="357"/>
      <c r="E311" s="348"/>
      <c r="F311" s="86">
        <f>K311</f>
        <v>0</v>
      </c>
      <c r="G311" s="53">
        <f>SUMIF(JournalsA!D$14:D$920,TrialBalanceA!M311,JournalsA!J$14:J$920)+SUMIF(JournalsA!E$14:E$920,TrialBalanceA!M311,JournalsA!J$14:J$920)</f>
        <v>0</v>
      </c>
      <c r="H311" s="363"/>
      <c r="I311" s="332">
        <f t="shared" si="60"/>
        <v>0</v>
      </c>
      <c r="J311" s="81"/>
      <c r="K311" s="54">
        <f t="shared" si="61"/>
        <v>0</v>
      </c>
      <c r="M311" s="192" t="str">
        <f t="shared" si="62"/>
        <v>7100/2140</v>
      </c>
      <c r="N311" s="76"/>
      <c r="P311" s="77"/>
      <c r="Q311" s="57"/>
      <c r="R311" s="31"/>
    </row>
    <row r="312" spans="1:18" x14ac:dyDescent="0.2">
      <c r="A312" s="315"/>
      <c r="B312" s="110" t="s">
        <v>913</v>
      </c>
      <c r="C312" s="352">
        <f>TrialBalance!C312</f>
        <v>0</v>
      </c>
      <c r="D312" s="357"/>
      <c r="E312" s="348"/>
      <c r="F312" s="86">
        <f>K312</f>
        <v>0</v>
      </c>
      <c r="G312" s="53">
        <f>SUMIF(JournalsA!D$14:D$920,TrialBalanceA!M312,JournalsA!J$14:J$920)+SUMIF(JournalsA!E$14:E$920,TrialBalanceA!M312,JournalsA!J$14:J$920)</f>
        <v>0</v>
      </c>
      <c r="H312" s="363"/>
      <c r="I312" s="332">
        <f>ROUND(D312-E312+G312+F312,0)</f>
        <v>0</v>
      </c>
      <c r="J312" s="81"/>
      <c r="K312" s="54">
        <f>ROUND(SUM(A312),0)</f>
        <v>0</v>
      </c>
      <c r="M312" s="192" t="str">
        <f t="shared" si="62"/>
        <v>7100/2150</v>
      </c>
      <c r="N312" s="76"/>
      <c r="P312" s="77"/>
      <c r="Q312" s="57"/>
      <c r="R312" s="31"/>
    </row>
    <row r="313" spans="1:18" x14ac:dyDescent="0.2">
      <c r="A313" s="315"/>
      <c r="B313" s="110" t="s">
        <v>921</v>
      </c>
      <c r="C313" s="319" t="s">
        <v>922</v>
      </c>
      <c r="D313" s="357"/>
      <c r="E313" s="348"/>
      <c r="F313" s="86"/>
      <c r="G313" s="53">
        <f>SUMIF(JournalsA!D$14:D$920,TrialBalanceA!M313,JournalsA!J$14:J$920)+SUMIF(JournalsA!E$14:E$920,TrialBalanceA!M313,JournalsA!J$14:J$920)</f>
        <v>0</v>
      </c>
      <c r="H313" s="363"/>
      <c r="I313" s="332">
        <f>ROUND(D313-E313+G313+F313,0)</f>
        <v>0</v>
      </c>
      <c r="J313" s="81"/>
      <c r="K313" s="54">
        <f>ROUND(SUM(A313),0)</f>
        <v>0</v>
      </c>
      <c r="M313" s="192" t="str">
        <f t="shared" ref="M313" si="63">CONCATENATE(B313,C313)</f>
        <v>7100/250MEMBER'S INTEREST IN CLOSE CORPORATIONS</v>
      </c>
      <c r="N313" s="76"/>
      <c r="P313" s="77"/>
      <c r="Q313" s="57"/>
      <c r="R313" s="31"/>
    </row>
    <row r="314" spans="1:18" x14ac:dyDescent="0.2">
      <c r="A314" s="315"/>
      <c r="B314" s="110" t="s">
        <v>923</v>
      </c>
      <c r="C314" s="352">
        <f>TrialBalance!C314</f>
        <v>0</v>
      </c>
      <c r="D314" s="357"/>
      <c r="E314" s="348"/>
      <c r="F314" s="86">
        <f t="shared" ref="F314:F317" si="64">K314</f>
        <v>0</v>
      </c>
      <c r="G314" s="53">
        <f>SUMIF(JournalsA!D$14:D$920,TrialBalanceA!M314,JournalsA!J$14:J$920)+SUMIF(JournalsA!E$14:E$920,TrialBalanceA!M314,JournalsA!J$14:J$920)</f>
        <v>0</v>
      </c>
      <c r="H314" s="363"/>
      <c r="I314" s="332">
        <f t="shared" ref="I314:I317" si="65">ROUND(D314-E314+G314+F314,0)</f>
        <v>0</v>
      </c>
      <c r="J314" s="81"/>
      <c r="K314" s="54">
        <f t="shared" ref="K314:K317" si="66">ROUND(SUM(A314),0)</f>
        <v>0</v>
      </c>
      <c r="M314" s="192" t="str">
        <f t="shared" ref="M314:M318" si="67">CONCATENATE(B314,C314)</f>
        <v>7100/2510</v>
      </c>
      <c r="N314" s="76"/>
      <c r="P314" s="77"/>
      <c r="Q314" s="57"/>
      <c r="R314" s="31"/>
    </row>
    <row r="315" spans="1:18" x14ac:dyDescent="0.2">
      <c r="A315" s="315"/>
      <c r="B315" s="110" t="s">
        <v>924</v>
      </c>
      <c r="C315" s="352">
        <f>TrialBalance!C315</f>
        <v>0</v>
      </c>
      <c r="D315" s="357"/>
      <c r="E315" s="348"/>
      <c r="F315" s="86">
        <f t="shared" si="64"/>
        <v>0</v>
      </c>
      <c r="G315" s="53">
        <f>SUMIF(JournalsA!D$14:D$920,TrialBalanceA!M315,JournalsA!J$14:J$920)+SUMIF(JournalsA!E$14:E$920,TrialBalanceA!M315,JournalsA!J$14:J$920)</f>
        <v>0</v>
      </c>
      <c r="H315" s="363"/>
      <c r="I315" s="332">
        <f t="shared" si="65"/>
        <v>0</v>
      </c>
      <c r="J315" s="81"/>
      <c r="K315" s="54">
        <f t="shared" si="66"/>
        <v>0</v>
      </c>
      <c r="M315" s="192" t="str">
        <f t="shared" si="67"/>
        <v>7100/2520</v>
      </c>
      <c r="N315" s="76"/>
      <c r="P315" s="77"/>
      <c r="Q315" s="57"/>
      <c r="R315" s="31"/>
    </row>
    <row r="316" spans="1:18" x14ac:dyDescent="0.2">
      <c r="A316" s="315"/>
      <c r="B316" s="110" t="s">
        <v>925</v>
      </c>
      <c r="C316" s="352">
        <f>TrialBalance!C316</f>
        <v>0</v>
      </c>
      <c r="D316" s="357"/>
      <c r="E316" s="348"/>
      <c r="F316" s="86">
        <f t="shared" si="64"/>
        <v>0</v>
      </c>
      <c r="G316" s="53">
        <f>SUMIF(JournalsA!D$14:D$920,TrialBalanceA!M316,JournalsA!J$14:J$920)+SUMIF(JournalsA!E$14:E$920,TrialBalanceA!M316,JournalsA!J$14:J$920)</f>
        <v>0</v>
      </c>
      <c r="H316" s="363"/>
      <c r="I316" s="332">
        <f t="shared" si="65"/>
        <v>0</v>
      </c>
      <c r="J316" s="81"/>
      <c r="K316" s="54">
        <f t="shared" si="66"/>
        <v>0</v>
      </c>
      <c r="M316" s="192" t="str">
        <f t="shared" si="67"/>
        <v>7100/2530</v>
      </c>
      <c r="N316" s="76"/>
      <c r="P316" s="77"/>
      <c r="Q316" s="57"/>
      <c r="R316" s="31"/>
    </row>
    <row r="317" spans="1:18" x14ac:dyDescent="0.2">
      <c r="A317" s="315"/>
      <c r="B317" s="110" t="s">
        <v>926</v>
      </c>
      <c r="C317" s="352">
        <f>TrialBalance!C317</f>
        <v>0</v>
      </c>
      <c r="D317" s="357"/>
      <c r="E317" s="348"/>
      <c r="F317" s="86">
        <f t="shared" si="64"/>
        <v>0</v>
      </c>
      <c r="G317" s="53">
        <f>SUMIF(JournalsA!D$14:D$920,TrialBalanceA!M317,JournalsA!J$14:J$920)+SUMIF(JournalsA!E$14:E$920,TrialBalanceA!M317,JournalsA!J$14:J$920)</f>
        <v>0</v>
      </c>
      <c r="H317" s="363"/>
      <c r="I317" s="332">
        <f t="shared" si="65"/>
        <v>0</v>
      </c>
      <c r="J317" s="81"/>
      <c r="K317" s="54">
        <f t="shared" si="66"/>
        <v>0</v>
      </c>
      <c r="M317" s="192" t="str">
        <f t="shared" si="67"/>
        <v>7100/2540</v>
      </c>
      <c r="N317" s="76"/>
      <c r="P317" s="77"/>
      <c r="Q317" s="57"/>
      <c r="R317" s="31"/>
    </row>
    <row r="318" spans="1:18" x14ac:dyDescent="0.2">
      <c r="A318" s="315"/>
      <c r="B318" s="110" t="s">
        <v>927</v>
      </c>
      <c r="C318" s="352">
        <f>TrialBalance!C318</f>
        <v>0</v>
      </c>
      <c r="D318" s="357"/>
      <c r="E318" s="348"/>
      <c r="F318" s="86">
        <f>K318</f>
        <v>0</v>
      </c>
      <c r="G318" s="53">
        <f>SUMIF(JournalsA!D$14:D$920,TrialBalanceA!M318,JournalsA!J$14:J$920)+SUMIF(JournalsA!E$14:E$920,TrialBalanceA!M318,JournalsA!J$14:J$920)</f>
        <v>0</v>
      </c>
      <c r="H318" s="363"/>
      <c r="I318" s="332">
        <f>ROUND(D318-E318+G318+F318,0)</f>
        <v>0</v>
      </c>
      <c r="J318" s="81"/>
      <c r="K318" s="54">
        <f>ROUND(SUM(A318),0)</f>
        <v>0</v>
      </c>
      <c r="M318" s="192" t="str">
        <f t="shared" si="67"/>
        <v>7100/2550</v>
      </c>
      <c r="N318" s="76"/>
      <c r="P318" s="77"/>
      <c r="Q318" s="57"/>
      <c r="R318" s="31"/>
    </row>
    <row r="319" spans="1:18" x14ac:dyDescent="0.2">
      <c r="A319" s="315"/>
      <c r="B319" s="110" t="s">
        <v>914</v>
      </c>
      <c r="C319" s="318" t="s">
        <v>379</v>
      </c>
      <c r="D319" s="357"/>
      <c r="E319" s="348"/>
      <c r="F319" s="86"/>
      <c r="G319" s="53">
        <f>SUMIF(JournalsA!D$14:D$920,TrialBalanceA!M319,JournalsA!J$14:J$920)+SUMIF(JournalsA!E$14:E$920,TrialBalanceA!M319,JournalsA!J$14:J$920)</f>
        <v>0</v>
      </c>
      <c r="H319" s="363"/>
      <c r="I319" s="332">
        <f t="shared" ref="I319:I323" si="68">ROUND(D319-E319+G319+F319,0)</f>
        <v>0</v>
      </c>
      <c r="J319" s="81"/>
      <c r="K319" s="54">
        <f t="shared" ref="K319:K323" si="69">ROUND(SUM(A319),0)</f>
        <v>0</v>
      </c>
      <c r="M319" s="192" t="str">
        <f t="shared" ref="M319:M324" si="70">CONCATENATE(B319,C319)</f>
        <v>7100/300OTHER INVESTMENTS</v>
      </c>
      <c r="N319" s="76"/>
      <c r="P319" s="77"/>
      <c r="Q319" s="57"/>
      <c r="R319" s="31"/>
    </row>
    <row r="320" spans="1:18" x14ac:dyDescent="0.2">
      <c r="A320" s="315"/>
      <c r="B320" s="110" t="s">
        <v>915</v>
      </c>
      <c r="C320" s="352">
        <f>TrialBalance!C320</f>
        <v>0</v>
      </c>
      <c r="D320" s="357"/>
      <c r="E320" s="348"/>
      <c r="F320" s="86">
        <f t="shared" ref="F320:F323" si="71">K320</f>
        <v>0</v>
      </c>
      <c r="G320" s="53">
        <f>SUMIF(JournalsA!D$14:D$920,TrialBalanceA!M320,JournalsA!J$14:J$920)+SUMIF(JournalsA!E$14:E$920,TrialBalanceA!M320,JournalsA!J$14:J$920)</f>
        <v>0</v>
      </c>
      <c r="H320" s="363"/>
      <c r="I320" s="332">
        <f t="shared" si="68"/>
        <v>0</v>
      </c>
      <c r="J320" s="81"/>
      <c r="K320" s="54">
        <f t="shared" si="69"/>
        <v>0</v>
      </c>
      <c r="M320" s="192" t="str">
        <f t="shared" si="70"/>
        <v>7100/3010</v>
      </c>
      <c r="N320" s="76"/>
      <c r="P320" s="77"/>
      <c r="Q320" s="57"/>
      <c r="R320" s="31"/>
    </row>
    <row r="321" spans="1:18" x14ac:dyDescent="0.2">
      <c r="A321" s="315"/>
      <c r="B321" s="110" t="s">
        <v>916</v>
      </c>
      <c r="C321" s="352">
        <f>TrialBalance!C321</f>
        <v>0</v>
      </c>
      <c r="D321" s="357"/>
      <c r="E321" s="348"/>
      <c r="F321" s="86">
        <f t="shared" si="71"/>
        <v>0</v>
      </c>
      <c r="G321" s="53">
        <f>SUMIF(JournalsA!D$14:D$920,TrialBalanceA!M321,JournalsA!J$14:J$920)+SUMIF(JournalsA!E$14:E$920,TrialBalanceA!M321,JournalsA!J$14:J$920)</f>
        <v>0</v>
      </c>
      <c r="H321" s="363"/>
      <c r="I321" s="332">
        <f t="shared" si="68"/>
        <v>0</v>
      </c>
      <c r="J321" s="81"/>
      <c r="K321" s="54">
        <f t="shared" si="69"/>
        <v>0</v>
      </c>
      <c r="M321" s="192" t="str">
        <f t="shared" si="70"/>
        <v>7100/3020</v>
      </c>
      <c r="N321" s="76"/>
      <c r="P321" s="77"/>
      <c r="Q321" s="57"/>
      <c r="R321" s="31"/>
    </row>
    <row r="322" spans="1:18" x14ac:dyDescent="0.2">
      <c r="A322" s="315"/>
      <c r="B322" s="110" t="s">
        <v>917</v>
      </c>
      <c r="C322" s="352">
        <f>TrialBalance!C322</f>
        <v>0</v>
      </c>
      <c r="D322" s="357"/>
      <c r="E322" s="348"/>
      <c r="F322" s="86">
        <f t="shared" si="71"/>
        <v>0</v>
      </c>
      <c r="G322" s="53">
        <f>SUMIF(JournalsA!D$14:D$920,TrialBalanceA!M322,JournalsA!J$14:J$920)+SUMIF(JournalsA!E$14:E$920,TrialBalanceA!M322,JournalsA!J$14:J$920)</f>
        <v>0</v>
      </c>
      <c r="H322" s="363"/>
      <c r="I322" s="332">
        <f t="shared" si="68"/>
        <v>0</v>
      </c>
      <c r="J322" s="81"/>
      <c r="K322" s="54">
        <f t="shared" si="69"/>
        <v>0</v>
      </c>
      <c r="M322" s="192" t="str">
        <f t="shared" si="70"/>
        <v>7100/3030</v>
      </c>
      <c r="N322" s="76"/>
      <c r="P322" s="77"/>
      <c r="Q322" s="57"/>
      <c r="R322" s="31"/>
    </row>
    <row r="323" spans="1:18" x14ac:dyDescent="0.2">
      <c r="A323" s="315"/>
      <c r="B323" s="110" t="s">
        <v>918</v>
      </c>
      <c r="C323" s="352">
        <f>TrialBalance!C323</f>
        <v>0</v>
      </c>
      <c r="D323" s="357"/>
      <c r="E323" s="348"/>
      <c r="F323" s="86">
        <f t="shared" si="71"/>
        <v>0</v>
      </c>
      <c r="G323" s="53">
        <f>SUMIF(JournalsA!D$14:D$920,TrialBalanceA!M323,JournalsA!J$14:J$920)+SUMIF(JournalsA!E$14:E$920,TrialBalanceA!M323,JournalsA!J$14:J$920)</f>
        <v>0</v>
      </c>
      <c r="H323" s="363"/>
      <c r="I323" s="332">
        <f t="shared" si="68"/>
        <v>0</v>
      </c>
      <c r="J323" s="81"/>
      <c r="K323" s="54">
        <f t="shared" si="69"/>
        <v>0</v>
      </c>
      <c r="M323" s="192" t="str">
        <f t="shared" si="70"/>
        <v>7100/3040</v>
      </c>
      <c r="N323" s="76"/>
      <c r="P323" s="77"/>
      <c r="Q323" s="57"/>
      <c r="R323" s="31"/>
    </row>
    <row r="324" spans="1:18" x14ac:dyDescent="0.2">
      <c r="A324" s="315"/>
      <c r="B324" s="110" t="s">
        <v>919</v>
      </c>
      <c r="C324" s="352">
        <f>TrialBalance!C324</f>
        <v>0</v>
      </c>
      <c r="D324" s="357"/>
      <c r="E324" s="348"/>
      <c r="F324" s="86">
        <f>K324</f>
        <v>0</v>
      </c>
      <c r="G324" s="53">
        <f>SUMIF(JournalsA!D$14:D$920,TrialBalanceA!M324,JournalsA!J$14:J$920)+SUMIF(JournalsA!E$14:E$920,TrialBalanceA!M324,JournalsA!J$14:J$920)</f>
        <v>0</v>
      </c>
      <c r="H324" s="363"/>
      <c r="I324" s="332">
        <f>ROUND(D324-E324+G324+F324,0)</f>
        <v>0</v>
      </c>
      <c r="J324" s="81"/>
      <c r="K324" s="54">
        <f>ROUND(SUM(A324),0)</f>
        <v>0</v>
      </c>
      <c r="M324" s="192" t="str">
        <f t="shared" si="70"/>
        <v>7100/3050</v>
      </c>
      <c r="N324" s="76"/>
      <c r="P324" s="77"/>
      <c r="Q324" s="57"/>
      <c r="R324" s="31"/>
    </row>
    <row r="325" spans="1:18" x14ac:dyDescent="0.2">
      <c r="A325" s="315"/>
      <c r="B325" s="60" t="s">
        <v>160</v>
      </c>
      <c r="C325" s="319" t="s">
        <v>744</v>
      </c>
      <c r="D325" s="357"/>
      <c r="E325" s="348"/>
      <c r="F325" s="86"/>
      <c r="G325" s="53">
        <f>SUMIF(JournalsA!D$14:D$920,TrialBalanceA!M325,JournalsA!J$14:J$920)+SUMIF(JournalsA!E$14:E$920,TrialBalanceA!M325,JournalsA!J$14:J$920)</f>
        <v>0</v>
      </c>
      <c r="H325" s="363"/>
      <c r="I325" s="332">
        <f t="shared" si="57"/>
        <v>0</v>
      </c>
      <c r="J325" s="81"/>
      <c r="K325" s="54">
        <f t="shared" si="58"/>
        <v>0</v>
      </c>
      <c r="M325" s="192" t="str">
        <f t="shared" si="55"/>
        <v>7450/000CONNECTED ENTITIES LOANS</v>
      </c>
      <c r="N325" s="76"/>
      <c r="P325" s="77"/>
      <c r="Q325" s="57"/>
      <c r="R325" s="31"/>
    </row>
    <row r="326" spans="1:18" x14ac:dyDescent="0.2">
      <c r="A326" s="315"/>
      <c r="B326" s="60" t="s">
        <v>160</v>
      </c>
      <c r="C326" s="319" t="s">
        <v>644</v>
      </c>
      <c r="D326" s="357"/>
      <c r="E326" s="348"/>
      <c r="F326" s="86"/>
      <c r="G326" s="53">
        <f>SUMIF(JournalsA!D$14:D$920,TrialBalanceA!M326,JournalsA!J$14:J$920)+SUMIF(JournalsA!E$14:E$920,TrialBalanceA!M326,JournalsA!J$14:J$920)</f>
        <v>0</v>
      </c>
      <c r="H326" s="363"/>
      <c r="I326" s="332">
        <f t="shared" ref="I326" si="72">ROUND(D326-E326+G326+F326,0)</f>
        <v>0</v>
      </c>
      <c r="J326" s="81"/>
      <c r="K326" s="54">
        <f t="shared" ref="K326" si="73">ROUND(SUM(A326),0)</f>
        <v>0</v>
      </c>
      <c r="M326" s="192" t="str">
        <f t="shared" ref="M326" si="74">CONCATENATE(B326,C326)</f>
        <v>7450/000Interest bearing</v>
      </c>
      <c r="N326" s="76"/>
      <c r="P326" s="77"/>
      <c r="Q326" s="57"/>
      <c r="R326" s="31"/>
    </row>
    <row r="327" spans="1:18" x14ac:dyDescent="0.2">
      <c r="A327" s="315"/>
      <c r="B327" s="60" t="s">
        <v>161</v>
      </c>
      <c r="C327" s="352">
        <f>TrialBalance!C327</f>
        <v>0</v>
      </c>
      <c r="D327" s="359"/>
      <c r="E327" s="348"/>
      <c r="F327" s="86">
        <f t="shared" si="56"/>
        <v>0</v>
      </c>
      <c r="G327" s="53">
        <f>SUMIF(JournalsA!D$14:D$920,TrialBalanceA!M327,JournalsA!J$14:J$920)+SUMIF(JournalsA!E$14:E$920,TrialBalanceA!M327,JournalsA!J$14:J$920)</f>
        <v>0</v>
      </c>
      <c r="H327" s="363"/>
      <c r="I327" s="332">
        <f t="shared" si="57"/>
        <v>0</v>
      </c>
      <c r="J327" s="81"/>
      <c r="K327" s="54">
        <f t="shared" si="58"/>
        <v>0</v>
      </c>
      <c r="M327" s="192" t="str">
        <f t="shared" si="55"/>
        <v>7450/0010</v>
      </c>
      <c r="N327" s="76"/>
      <c r="P327" s="77"/>
      <c r="Q327" s="57"/>
      <c r="R327" s="31"/>
    </row>
    <row r="328" spans="1:18" x14ac:dyDescent="0.2">
      <c r="A328" s="315"/>
      <c r="B328" s="110" t="s">
        <v>162</v>
      </c>
      <c r="C328" s="352">
        <f>TrialBalance!C328</f>
        <v>0</v>
      </c>
      <c r="D328" s="359"/>
      <c r="E328" s="348"/>
      <c r="F328" s="86">
        <f t="shared" ref="F328:F329" si="75">K328</f>
        <v>0</v>
      </c>
      <c r="G328" s="53">
        <f>SUMIF(JournalsA!D$14:D$920,TrialBalanceA!M328,JournalsA!J$14:J$920)+SUMIF(JournalsA!E$14:E$920,TrialBalanceA!M328,JournalsA!J$14:J$920)</f>
        <v>0</v>
      </c>
      <c r="H328" s="363"/>
      <c r="I328" s="332">
        <f t="shared" ref="I328:I329" si="76">ROUND(D328-E328+G328+F328,0)</f>
        <v>0</v>
      </c>
      <c r="J328" s="81"/>
      <c r="K328" s="54">
        <f t="shared" ref="K328:K329" si="77">ROUND(SUM(A328),0)</f>
        <v>0</v>
      </c>
      <c r="M328" s="192" t="str">
        <f t="shared" ref="M328:M329" si="78">CONCATENATE(B328,C328)</f>
        <v>7450/0020</v>
      </c>
      <c r="N328" s="76"/>
      <c r="P328" s="77"/>
      <c r="Q328" s="57"/>
      <c r="R328" s="31"/>
    </row>
    <row r="329" spans="1:18" x14ac:dyDescent="0.2">
      <c r="A329" s="315"/>
      <c r="B329" s="110" t="s">
        <v>163</v>
      </c>
      <c r="C329" s="352">
        <f>TrialBalance!C329</f>
        <v>0</v>
      </c>
      <c r="D329" s="359"/>
      <c r="E329" s="348"/>
      <c r="F329" s="86">
        <f t="shared" si="75"/>
        <v>0</v>
      </c>
      <c r="G329" s="53">
        <f>SUMIF(JournalsA!D$14:D$920,TrialBalanceA!M329,JournalsA!J$14:J$920)+SUMIF(JournalsA!E$14:E$920,TrialBalanceA!M329,JournalsA!J$14:J$920)</f>
        <v>0</v>
      </c>
      <c r="H329" s="363"/>
      <c r="I329" s="332">
        <f t="shared" si="76"/>
        <v>0</v>
      </c>
      <c r="J329" s="81"/>
      <c r="K329" s="54">
        <f t="shared" si="77"/>
        <v>0</v>
      </c>
      <c r="M329" s="192" t="str">
        <f t="shared" si="78"/>
        <v>7450/0030</v>
      </c>
      <c r="N329" s="76"/>
      <c r="P329" s="77"/>
      <c r="Q329" s="57"/>
      <c r="R329" s="31"/>
    </row>
    <row r="330" spans="1:18" x14ac:dyDescent="0.2">
      <c r="A330" s="315"/>
      <c r="B330" s="110" t="s">
        <v>428</v>
      </c>
      <c r="C330" s="352">
        <f>TrialBalance!C330</f>
        <v>0</v>
      </c>
      <c r="D330" s="357"/>
      <c r="E330" s="348"/>
      <c r="F330" s="86">
        <f t="shared" si="56"/>
        <v>0</v>
      </c>
      <c r="G330" s="53">
        <f>SUMIF(JournalsA!D$14:D$920,TrialBalanceA!M330,JournalsA!J$14:J$920)+SUMIF(JournalsA!E$14:E$920,TrialBalanceA!M330,JournalsA!J$14:J$920)</f>
        <v>0</v>
      </c>
      <c r="H330" s="363"/>
      <c r="I330" s="332">
        <f t="shared" si="57"/>
        <v>0</v>
      </c>
      <c r="J330" s="81"/>
      <c r="K330" s="54">
        <f t="shared" si="58"/>
        <v>0</v>
      </c>
      <c r="M330" s="192" t="str">
        <f t="shared" si="55"/>
        <v>7450/0040</v>
      </c>
      <c r="N330" s="76"/>
      <c r="P330" s="77"/>
      <c r="Q330" s="57"/>
      <c r="R330" s="31"/>
    </row>
    <row r="331" spans="1:18" x14ac:dyDescent="0.2">
      <c r="A331" s="315"/>
      <c r="B331" s="60" t="s">
        <v>160</v>
      </c>
      <c r="C331" s="319" t="s">
        <v>643</v>
      </c>
      <c r="D331" s="357"/>
      <c r="E331" s="348"/>
      <c r="F331" s="86"/>
      <c r="G331" s="53">
        <f>SUMIF(JournalsA!D$14:D$920,TrialBalanceA!M331,JournalsA!J$14:J$920)+SUMIF(JournalsA!E$14:E$920,TrialBalanceA!M331,JournalsA!J$14:J$920)</f>
        <v>0</v>
      </c>
      <c r="H331" s="363"/>
      <c r="I331" s="332">
        <f t="shared" ref="I331" si="79">ROUND(D331-E331+G331+F331,0)</f>
        <v>0</v>
      </c>
      <c r="J331" s="81"/>
      <c r="K331" s="54">
        <f t="shared" ref="K331" si="80">ROUND(SUM(A331),0)</f>
        <v>0</v>
      </c>
      <c r="M331" s="192" t="str">
        <f t="shared" ref="M331" si="81">CONCATENATE(B331,C331)</f>
        <v>7450/000Interest free</v>
      </c>
      <c r="N331" s="76"/>
      <c r="P331" s="77"/>
      <c r="Q331" s="57"/>
      <c r="R331" s="31"/>
    </row>
    <row r="332" spans="1:18" x14ac:dyDescent="0.2">
      <c r="A332" s="315"/>
      <c r="B332" s="60" t="s">
        <v>163</v>
      </c>
      <c r="C332" s="352">
        <f>TrialBalance!C332</f>
        <v>0</v>
      </c>
      <c r="D332" s="357"/>
      <c r="E332" s="348"/>
      <c r="F332" s="86">
        <f t="shared" si="56"/>
        <v>0</v>
      </c>
      <c r="G332" s="53">
        <f>SUMIF(JournalsA!D$14:D$920,TrialBalanceA!M332,JournalsA!J$14:J$920)+SUMIF(JournalsA!E$14:E$920,TrialBalanceA!M332,JournalsA!J$14:J$920)</f>
        <v>0</v>
      </c>
      <c r="H332" s="363"/>
      <c r="I332" s="332">
        <f t="shared" si="57"/>
        <v>0</v>
      </c>
      <c r="J332" s="81"/>
      <c r="K332" s="54">
        <f t="shared" si="58"/>
        <v>0</v>
      </c>
      <c r="M332" s="192" t="str">
        <f t="shared" si="55"/>
        <v>7450/0030</v>
      </c>
      <c r="N332" s="76"/>
      <c r="P332" s="77"/>
      <c r="Q332" s="57"/>
      <c r="R332" s="31"/>
    </row>
    <row r="333" spans="1:18" x14ac:dyDescent="0.2">
      <c r="A333" s="315"/>
      <c r="B333" s="60" t="s">
        <v>428</v>
      </c>
      <c r="C333" s="352">
        <f>TrialBalance!C333</f>
        <v>0</v>
      </c>
      <c r="D333" s="357"/>
      <c r="E333" s="348"/>
      <c r="F333" s="86">
        <f t="shared" ref="F333" si="82">K333</f>
        <v>0</v>
      </c>
      <c r="G333" s="53">
        <f>SUMIF(JournalsA!D$14:D$920,TrialBalanceA!M333,JournalsA!J$14:J$920)+SUMIF(JournalsA!E$14:E$920,TrialBalanceA!M333,JournalsA!J$14:J$920)</f>
        <v>0</v>
      </c>
      <c r="H333" s="363"/>
      <c r="I333" s="332">
        <f t="shared" ref="I333" si="83">ROUND(D333-E333+G333+F333,0)</f>
        <v>0</v>
      </c>
      <c r="J333" s="81"/>
      <c r="K333" s="54">
        <f t="shared" ref="K333" si="84">ROUND(SUM(A333),0)</f>
        <v>0</v>
      </c>
      <c r="M333" s="192" t="str">
        <f t="shared" ref="M333" si="85">CONCATENATE(B333,C333)</f>
        <v>7450/0040</v>
      </c>
      <c r="N333" s="76"/>
      <c r="P333" s="77"/>
      <c r="Q333" s="57"/>
      <c r="R333" s="31"/>
    </row>
    <row r="334" spans="1:18" x14ac:dyDescent="0.2">
      <c r="A334" s="315"/>
      <c r="B334" s="60" t="s">
        <v>294</v>
      </c>
      <c r="C334" s="352">
        <f>TrialBalance!C334</f>
        <v>0</v>
      </c>
      <c r="D334" s="357"/>
      <c r="E334" s="348"/>
      <c r="F334" s="86">
        <f t="shared" si="56"/>
        <v>0</v>
      </c>
      <c r="G334" s="53">
        <f>SUMIF(JournalsA!D$14:D$920,TrialBalanceA!M334,JournalsA!J$14:J$920)+SUMIF(JournalsA!E$14:E$920,TrialBalanceA!M334,JournalsA!J$14:J$920)</f>
        <v>0</v>
      </c>
      <c r="H334" s="363"/>
      <c r="I334" s="332">
        <f t="shared" si="57"/>
        <v>0</v>
      </c>
      <c r="J334" s="81"/>
      <c r="K334" s="54">
        <f t="shared" si="58"/>
        <v>0</v>
      </c>
      <c r="M334" s="192" t="str">
        <f t="shared" si="55"/>
        <v>7450/0050</v>
      </c>
      <c r="N334" s="76"/>
      <c r="P334" s="77"/>
      <c r="Q334" s="57"/>
      <c r="R334" s="31"/>
    </row>
    <row r="335" spans="1:18" x14ac:dyDescent="0.2">
      <c r="A335" s="315"/>
      <c r="B335" s="110" t="s">
        <v>760</v>
      </c>
      <c r="C335" s="352">
        <f>TrialBalance!C335</f>
        <v>0</v>
      </c>
      <c r="D335" s="357"/>
      <c r="E335" s="348"/>
      <c r="F335" s="86">
        <f t="shared" si="56"/>
        <v>0</v>
      </c>
      <c r="G335" s="53">
        <f>SUMIF(JournalsA!D$14:D$920,TrialBalanceA!M335,JournalsA!J$14:J$920)+SUMIF(JournalsA!E$14:E$920,TrialBalanceA!M335,JournalsA!J$14:J$920)</f>
        <v>0</v>
      </c>
      <c r="H335" s="363"/>
      <c r="I335" s="332">
        <f t="shared" si="57"/>
        <v>0</v>
      </c>
      <c r="J335" s="81"/>
      <c r="K335" s="54">
        <f t="shared" si="58"/>
        <v>0</v>
      </c>
      <c r="M335" s="192" t="str">
        <f t="shared" si="55"/>
        <v>7450/0060</v>
      </c>
      <c r="N335" s="76"/>
      <c r="P335" s="77"/>
      <c r="Q335" s="57"/>
      <c r="R335" s="31"/>
    </row>
    <row r="336" spans="1:18" x14ac:dyDescent="0.2">
      <c r="A336" s="315"/>
      <c r="B336" s="60" t="s">
        <v>295</v>
      </c>
      <c r="C336" s="318" t="s">
        <v>729</v>
      </c>
      <c r="D336" s="348"/>
      <c r="E336" s="348"/>
      <c r="F336" s="86"/>
      <c r="G336" s="53">
        <f>SUMIF(JournalsA!D$14:D$920,TrialBalanceA!M336,JournalsA!J$14:J$920)+SUMIF(JournalsA!E$14:E$920,TrialBalanceA!M336,JournalsA!J$14:J$920)</f>
        <v>0</v>
      </c>
      <c r="H336" s="363"/>
      <c r="I336" s="332">
        <f t="shared" si="57"/>
        <v>0</v>
      </c>
      <c r="J336" s="81"/>
      <c r="K336" s="54">
        <f t="shared" si="58"/>
        <v>0</v>
      </c>
      <c r="M336" s="192" t="str">
        <f t="shared" si="55"/>
        <v>7460/000OTHER NON - CURRENT RECEIVABLES</v>
      </c>
      <c r="N336" s="76"/>
      <c r="P336" s="77"/>
      <c r="Q336" s="57"/>
      <c r="R336" s="31"/>
    </row>
    <row r="337" spans="1:18" x14ac:dyDescent="0.2">
      <c r="A337" s="315"/>
      <c r="B337" s="60" t="s">
        <v>295</v>
      </c>
      <c r="C337" s="318" t="s">
        <v>644</v>
      </c>
      <c r="D337" s="348"/>
      <c r="E337" s="348"/>
      <c r="F337" s="86"/>
      <c r="G337" s="53">
        <f>SUMIF(JournalsA!D$14:D$920,TrialBalanceA!M337,JournalsA!J$14:J$920)+SUMIF(JournalsA!E$14:E$920,TrialBalanceA!M337,JournalsA!J$14:J$920)</f>
        <v>0</v>
      </c>
      <c r="H337" s="363"/>
      <c r="I337" s="332">
        <f t="shared" ref="I337" si="86">ROUND(D337-E337+G337+F337,0)</f>
        <v>0</v>
      </c>
      <c r="J337" s="81"/>
      <c r="K337" s="54">
        <f t="shared" ref="K337" si="87">ROUND(SUM(A337),0)</f>
        <v>0</v>
      </c>
      <c r="M337" s="192" t="str">
        <f t="shared" ref="M337" si="88">CONCATENATE(B337,C337)</f>
        <v>7460/000Interest bearing</v>
      </c>
      <c r="N337" s="76"/>
      <c r="P337" s="77"/>
      <c r="Q337" s="57"/>
      <c r="R337" s="31"/>
    </row>
    <row r="338" spans="1:18" x14ac:dyDescent="0.2">
      <c r="A338" s="315"/>
      <c r="B338" s="60" t="s">
        <v>297</v>
      </c>
      <c r="C338" s="352">
        <f>TrialBalance!C338</f>
        <v>0</v>
      </c>
      <c r="D338" s="359"/>
      <c r="E338" s="359"/>
      <c r="F338" s="86">
        <f t="shared" si="56"/>
        <v>0</v>
      </c>
      <c r="G338" s="53">
        <f>SUMIF(JournalsA!D$14:D$920,TrialBalanceA!M338,JournalsA!J$14:J$920)+SUMIF(JournalsA!E$14:E$920,TrialBalanceA!M338,JournalsA!J$14:J$920)</f>
        <v>0</v>
      </c>
      <c r="H338" s="363"/>
      <c r="I338" s="332">
        <f t="shared" si="57"/>
        <v>0</v>
      </c>
      <c r="J338" s="81"/>
      <c r="K338" s="54">
        <f t="shared" si="58"/>
        <v>0</v>
      </c>
      <c r="M338" s="192" t="str">
        <f t="shared" si="55"/>
        <v>7460/0010</v>
      </c>
      <c r="N338" s="76"/>
      <c r="P338" s="77"/>
      <c r="Q338" s="57"/>
      <c r="R338" s="31"/>
    </row>
    <row r="339" spans="1:18" x14ac:dyDescent="0.2">
      <c r="A339" s="315"/>
      <c r="B339" s="60" t="s">
        <v>298</v>
      </c>
      <c r="C339" s="352">
        <f>TrialBalance!C339</f>
        <v>0</v>
      </c>
      <c r="D339" s="359"/>
      <c r="E339" s="359"/>
      <c r="F339" s="86">
        <f t="shared" ref="F339" si="89">K339</f>
        <v>0</v>
      </c>
      <c r="G339" s="53">
        <f>SUMIF(JournalsA!D$14:D$920,TrialBalanceA!M339,JournalsA!J$14:J$920)+SUMIF(JournalsA!E$14:E$920,TrialBalanceA!M339,JournalsA!J$14:J$920)</f>
        <v>0</v>
      </c>
      <c r="H339" s="363"/>
      <c r="I339" s="332">
        <f t="shared" ref="I339" si="90">ROUND(D339-E339+G339+F339,0)</f>
        <v>0</v>
      </c>
      <c r="J339" s="81"/>
      <c r="K339" s="54">
        <f t="shared" ref="K339" si="91">ROUND(SUM(A339),0)</f>
        <v>0</v>
      </c>
      <c r="M339" s="192" t="str">
        <f t="shared" ref="M339" si="92">CONCATENATE(B339,C339)</f>
        <v>7460/0020</v>
      </c>
      <c r="N339" s="76"/>
      <c r="P339" s="77"/>
      <c r="Q339" s="57"/>
      <c r="R339" s="31"/>
    </row>
    <row r="340" spans="1:18" x14ac:dyDescent="0.2">
      <c r="A340" s="315"/>
      <c r="B340" s="60" t="s">
        <v>299</v>
      </c>
      <c r="C340" s="352">
        <f>TrialBalance!C340</f>
        <v>0</v>
      </c>
      <c r="D340" s="357"/>
      <c r="E340" s="348"/>
      <c r="F340" s="86">
        <f t="shared" si="56"/>
        <v>0</v>
      </c>
      <c r="G340" s="53">
        <f>SUMIF(JournalsA!D$14:D$920,TrialBalanceA!M340,JournalsA!J$14:J$920)+SUMIF(JournalsA!E$14:E$920,TrialBalanceA!M340,JournalsA!J$14:J$920)</f>
        <v>0</v>
      </c>
      <c r="H340" s="363"/>
      <c r="I340" s="332">
        <f t="shared" si="57"/>
        <v>0</v>
      </c>
      <c r="J340" s="81"/>
      <c r="K340" s="54">
        <f t="shared" si="58"/>
        <v>0</v>
      </c>
      <c r="M340" s="192" t="str">
        <f t="shared" si="55"/>
        <v>7460/0030</v>
      </c>
      <c r="N340" s="76"/>
      <c r="P340" s="77"/>
      <c r="Q340" s="57"/>
      <c r="R340" s="31"/>
    </row>
    <row r="341" spans="1:18" x14ac:dyDescent="0.2">
      <c r="A341" s="315"/>
      <c r="B341" s="110" t="s">
        <v>611</v>
      </c>
      <c r="C341" s="352">
        <f>TrialBalance!C341</f>
        <v>0</v>
      </c>
      <c r="D341" s="357"/>
      <c r="E341" s="348"/>
      <c r="F341" s="86">
        <f t="shared" si="56"/>
        <v>0</v>
      </c>
      <c r="G341" s="53">
        <f>SUMIF(JournalsA!D$14:D$920,TrialBalanceA!M341,JournalsA!J$14:J$920)+SUMIF(JournalsA!E$14:E$920,TrialBalanceA!M341,JournalsA!J$14:J$920)</f>
        <v>0</v>
      </c>
      <c r="H341" s="363"/>
      <c r="I341" s="332">
        <f t="shared" si="57"/>
        <v>0</v>
      </c>
      <c r="J341" s="81"/>
      <c r="K341" s="54">
        <f t="shared" si="58"/>
        <v>0</v>
      </c>
      <c r="M341" s="192" t="str">
        <f t="shared" si="55"/>
        <v>7460/0040</v>
      </c>
      <c r="N341" s="76"/>
      <c r="P341" s="77"/>
      <c r="Q341" s="57"/>
      <c r="R341" s="31"/>
    </row>
    <row r="342" spans="1:18" x14ac:dyDescent="0.2">
      <c r="A342" s="315"/>
      <c r="B342" s="60" t="s">
        <v>295</v>
      </c>
      <c r="C342" s="319" t="s">
        <v>643</v>
      </c>
      <c r="D342" s="357"/>
      <c r="E342" s="348"/>
      <c r="F342" s="86"/>
      <c r="G342" s="53">
        <f>SUMIF(JournalsA!D$14:D$920,TrialBalanceA!M342,JournalsA!J$14:J$920)+SUMIF(JournalsA!E$14:E$920,TrialBalanceA!M342,JournalsA!J$14:J$920)</f>
        <v>0</v>
      </c>
      <c r="H342" s="363"/>
      <c r="I342" s="332">
        <f t="shared" ref="I342" si="93">ROUND(D342-E342+G342+F342,0)</f>
        <v>0</v>
      </c>
      <c r="J342" s="81"/>
      <c r="K342" s="54">
        <f t="shared" ref="K342" si="94">ROUND(SUM(A342),0)</f>
        <v>0</v>
      </c>
      <c r="M342" s="192" t="str">
        <f t="shared" ref="M342" si="95">CONCATENATE(B342,C342)</f>
        <v>7460/000Interest free</v>
      </c>
      <c r="N342" s="76"/>
      <c r="P342" s="77"/>
      <c r="Q342" s="57"/>
      <c r="R342" s="31"/>
    </row>
    <row r="343" spans="1:18" x14ac:dyDescent="0.2">
      <c r="A343" s="315"/>
      <c r="B343" s="110" t="s">
        <v>611</v>
      </c>
      <c r="C343" s="352">
        <f>TrialBalance!C343</f>
        <v>0</v>
      </c>
      <c r="D343" s="357"/>
      <c r="E343" s="348"/>
      <c r="F343" s="86">
        <f t="shared" si="56"/>
        <v>0</v>
      </c>
      <c r="G343" s="53">
        <f>SUMIF(JournalsA!D$14:D$920,TrialBalanceA!M343,JournalsA!J$14:J$920)+SUMIF(JournalsA!E$14:E$920,TrialBalanceA!M343,JournalsA!J$14:J$920)</f>
        <v>0</v>
      </c>
      <c r="H343" s="363"/>
      <c r="I343" s="332">
        <f t="shared" si="57"/>
        <v>0</v>
      </c>
      <c r="J343" s="81"/>
      <c r="K343" s="54">
        <f t="shared" si="58"/>
        <v>0</v>
      </c>
      <c r="M343" s="192" t="str">
        <f t="shared" si="55"/>
        <v>7460/0040</v>
      </c>
      <c r="N343" s="76"/>
      <c r="P343" s="77"/>
      <c r="Q343" s="57"/>
      <c r="R343" s="31"/>
    </row>
    <row r="344" spans="1:18" x14ac:dyDescent="0.2">
      <c r="A344" s="315"/>
      <c r="B344" s="110" t="s">
        <v>612</v>
      </c>
      <c r="C344" s="352">
        <f>TrialBalance!C344</f>
        <v>0</v>
      </c>
      <c r="D344" s="357"/>
      <c r="E344" s="348"/>
      <c r="F344" s="86">
        <f t="shared" si="56"/>
        <v>0</v>
      </c>
      <c r="G344" s="53">
        <f>SUMIF(JournalsA!D$14:D$920,TrialBalanceA!M344,JournalsA!J$14:J$920)+SUMIF(JournalsA!E$14:E$920,TrialBalanceA!M344,JournalsA!J$14:J$920)</f>
        <v>0</v>
      </c>
      <c r="H344" s="363"/>
      <c r="I344" s="332">
        <f t="shared" si="57"/>
        <v>0</v>
      </c>
      <c r="J344" s="81"/>
      <c r="K344" s="54">
        <f t="shared" si="58"/>
        <v>0</v>
      </c>
      <c r="M344" s="192" t="str">
        <f t="shared" si="55"/>
        <v>7460/0050</v>
      </c>
      <c r="N344" s="76"/>
      <c r="P344" s="77"/>
      <c r="Q344" s="57"/>
      <c r="R344" s="31"/>
    </row>
    <row r="345" spans="1:18" x14ac:dyDescent="0.2">
      <c r="A345" s="315"/>
      <c r="B345" s="110" t="s">
        <v>300</v>
      </c>
      <c r="C345" s="352">
        <f>TrialBalance!C345</f>
        <v>0</v>
      </c>
      <c r="D345" s="357"/>
      <c r="E345" s="348"/>
      <c r="F345" s="86">
        <f>K345</f>
        <v>0</v>
      </c>
      <c r="G345" s="53">
        <f>SUMIF(JournalsA!D$14:D$920,TrialBalanceA!M345,JournalsA!J$14:J$920)+SUMIF(JournalsA!E$14:E$920,TrialBalanceA!M345,JournalsA!J$14:J$920)</f>
        <v>0</v>
      </c>
      <c r="H345" s="363"/>
      <c r="I345" s="332">
        <f t="shared" si="57"/>
        <v>0</v>
      </c>
      <c r="J345" s="81"/>
      <c r="K345" s="54">
        <f t="shared" si="58"/>
        <v>0</v>
      </c>
      <c r="M345" s="192" t="str">
        <f t="shared" si="55"/>
        <v>7460/0060</v>
      </c>
      <c r="N345" s="76"/>
      <c r="P345" s="77"/>
      <c r="Q345" s="57"/>
      <c r="R345" s="31"/>
    </row>
    <row r="346" spans="1:18" x14ac:dyDescent="0.2">
      <c r="A346" s="315"/>
      <c r="B346" s="110" t="s">
        <v>301</v>
      </c>
      <c r="C346" s="352">
        <f>TrialBalance!C346</f>
        <v>0</v>
      </c>
      <c r="D346" s="357"/>
      <c r="E346" s="348"/>
      <c r="F346" s="86">
        <f>K346</f>
        <v>0</v>
      </c>
      <c r="G346" s="53">
        <f>SUMIF(JournalsA!D$14:D$920,TrialBalanceA!M346,JournalsA!J$14:J$920)+SUMIF(JournalsA!E$14:E$920,TrialBalanceA!M346,JournalsA!J$14:J$920)</f>
        <v>0</v>
      </c>
      <c r="H346" s="363"/>
      <c r="I346" s="332">
        <f t="shared" si="57"/>
        <v>0</v>
      </c>
      <c r="J346" s="81"/>
      <c r="K346" s="54">
        <f t="shared" si="58"/>
        <v>0</v>
      </c>
      <c r="M346" s="192" t="str">
        <f t="shared" si="55"/>
        <v>7460/0070</v>
      </c>
      <c r="N346" s="76"/>
      <c r="P346" s="77"/>
      <c r="Q346" s="57"/>
      <c r="R346" s="31"/>
    </row>
    <row r="347" spans="1:18" x14ac:dyDescent="0.2">
      <c r="A347" s="315"/>
      <c r="B347" s="110" t="s">
        <v>485</v>
      </c>
      <c r="C347" s="352">
        <f>TrialBalance!C347</f>
        <v>0</v>
      </c>
      <c r="D347" s="357"/>
      <c r="E347" s="348"/>
      <c r="F347" s="86">
        <f>K347</f>
        <v>0</v>
      </c>
      <c r="G347" s="53">
        <f>SUMIF(JournalsA!D$14:D$920,TrialBalanceA!M347,JournalsA!J$14:J$920)+SUMIF(JournalsA!E$14:E$920,TrialBalanceA!M347,JournalsA!J$14:J$920)</f>
        <v>0</v>
      </c>
      <c r="H347" s="363"/>
      <c r="I347" s="332">
        <f t="shared" si="57"/>
        <v>0</v>
      </c>
      <c r="J347" s="81"/>
      <c r="K347" s="54">
        <f t="shared" si="58"/>
        <v>0</v>
      </c>
      <c r="M347" s="192" t="str">
        <f t="shared" si="55"/>
        <v>7460/0080</v>
      </c>
      <c r="N347" s="76"/>
      <c r="P347" s="77"/>
      <c r="Q347" s="57"/>
      <c r="R347" s="31"/>
    </row>
    <row r="348" spans="1:18" x14ac:dyDescent="0.2">
      <c r="A348" s="315"/>
      <c r="B348" s="110" t="s">
        <v>929</v>
      </c>
      <c r="C348" s="318" t="s">
        <v>930</v>
      </c>
      <c r="D348" s="357"/>
      <c r="E348" s="348"/>
      <c r="F348" s="86"/>
      <c r="G348" s="53">
        <f>SUMIF(JournalsA!D$14:D$920,TrialBalanceA!M348,JournalsA!J$14:J$920)+SUMIF(JournalsA!E$14:E$920,TrialBalanceA!M348,JournalsA!J$14:J$920)</f>
        <v>0</v>
      </c>
      <c r="H348" s="363"/>
      <c r="I348" s="332">
        <f t="shared" ref="I348:I351" si="96">ROUND(D348-E348+G348+F348,0)</f>
        <v>0</v>
      </c>
      <c r="J348" s="81"/>
      <c r="K348" s="54">
        <f t="shared" ref="K348:K351" si="97">ROUND(SUM(A348),0)</f>
        <v>0</v>
      </c>
      <c r="M348" s="192" t="str">
        <f t="shared" ref="M348:M351" si="98">CONCATENATE(B348,C348)</f>
        <v>7480/000NET CAPITAL OF BUSINESS</v>
      </c>
      <c r="N348" s="76"/>
      <c r="P348" s="77"/>
      <c r="Q348" s="57"/>
      <c r="R348" s="31"/>
    </row>
    <row r="349" spans="1:18" x14ac:dyDescent="0.2">
      <c r="A349" s="315"/>
      <c r="B349" s="110" t="s">
        <v>931</v>
      </c>
      <c r="C349" s="352">
        <f>TrialBalance!C349</f>
        <v>0</v>
      </c>
      <c r="D349" s="357"/>
      <c r="E349" s="348"/>
      <c r="F349" s="86">
        <f t="shared" ref="F349:F350" si="99">K349</f>
        <v>0</v>
      </c>
      <c r="G349" s="53">
        <f>SUMIF(JournalsA!D$14:D$920,TrialBalanceA!M349,JournalsA!J$14:J$920)+SUMIF(JournalsA!E$14:E$920,TrialBalanceA!M349,JournalsA!J$14:J$920)</f>
        <v>0</v>
      </c>
      <c r="H349" s="363"/>
      <c r="I349" s="332">
        <f t="shared" si="96"/>
        <v>0</v>
      </c>
      <c r="J349" s="81"/>
      <c r="K349" s="54">
        <f t="shared" si="97"/>
        <v>0</v>
      </c>
      <c r="M349" s="192" t="str">
        <f t="shared" si="98"/>
        <v>7480/0010</v>
      </c>
      <c r="N349" s="76"/>
      <c r="P349" s="77"/>
      <c r="Q349" s="57"/>
      <c r="R349" s="31"/>
    </row>
    <row r="350" spans="1:18" x14ac:dyDescent="0.2">
      <c r="A350" s="315"/>
      <c r="B350" s="110" t="s">
        <v>932</v>
      </c>
      <c r="C350" s="352">
        <f>TrialBalance!C350</f>
        <v>0</v>
      </c>
      <c r="D350" s="357"/>
      <c r="E350" s="348"/>
      <c r="F350" s="86">
        <f t="shared" si="99"/>
        <v>0</v>
      </c>
      <c r="G350" s="53">
        <f>SUMIF(JournalsA!D$14:D$920,TrialBalanceA!M350,JournalsA!J$14:J$920)+SUMIF(JournalsA!E$14:E$920,TrialBalanceA!M350,JournalsA!J$14:J$920)</f>
        <v>0</v>
      </c>
      <c r="H350" s="363"/>
      <c r="I350" s="332">
        <f t="shared" si="96"/>
        <v>0</v>
      </c>
      <c r="J350" s="81"/>
      <c r="K350" s="54">
        <f t="shared" si="97"/>
        <v>0</v>
      </c>
      <c r="M350" s="192" t="str">
        <f t="shared" si="98"/>
        <v>7480/0020</v>
      </c>
      <c r="N350" s="76"/>
      <c r="P350" s="77"/>
      <c r="Q350" s="57"/>
      <c r="R350" s="31"/>
    </row>
    <row r="351" spans="1:18" x14ac:dyDescent="0.2">
      <c r="A351" s="315"/>
      <c r="B351" s="110" t="s">
        <v>933</v>
      </c>
      <c r="C351" s="352">
        <f>TrialBalance!C351</f>
        <v>0</v>
      </c>
      <c r="D351" s="357"/>
      <c r="E351" s="348"/>
      <c r="F351" s="86">
        <f>K351</f>
        <v>0</v>
      </c>
      <c r="G351" s="53">
        <f>SUMIF(JournalsA!D$14:D$920,TrialBalanceA!M351,JournalsA!J$14:J$920)+SUMIF(JournalsA!E$14:E$920,TrialBalanceA!M351,JournalsA!J$14:J$920)</f>
        <v>0</v>
      </c>
      <c r="H351" s="363"/>
      <c r="I351" s="332">
        <f t="shared" si="96"/>
        <v>0</v>
      </c>
      <c r="J351" s="81"/>
      <c r="K351" s="54">
        <f t="shared" si="97"/>
        <v>0</v>
      </c>
      <c r="M351" s="192" t="str">
        <f t="shared" si="98"/>
        <v>7480/0030</v>
      </c>
      <c r="N351" s="76"/>
      <c r="P351" s="77"/>
      <c r="Q351" s="57"/>
      <c r="R351" s="31"/>
    </row>
    <row r="352" spans="1:18" x14ac:dyDescent="0.2">
      <c r="A352" s="315"/>
      <c r="B352" s="60" t="s">
        <v>423</v>
      </c>
      <c r="C352" s="316" t="s">
        <v>55</v>
      </c>
      <c r="D352" s="358"/>
      <c r="E352" s="348"/>
      <c r="F352" s="86"/>
      <c r="G352" s="53">
        <f>SUMIF(JournalsA!D$14:D$920,TrialBalanceA!M352,JournalsA!J$14:J$920)+SUMIF(JournalsA!E$14:E$920,TrialBalanceA!M352,JournalsA!J$14:J$920)</f>
        <v>0</v>
      </c>
      <c r="H352" s="363"/>
      <c r="I352" s="332">
        <f t="shared" si="57"/>
        <v>0</v>
      </c>
      <c r="J352" s="81"/>
      <c r="K352" s="54">
        <f t="shared" si="58"/>
        <v>0</v>
      </c>
      <c r="M352" s="192" t="str">
        <f t="shared" si="55"/>
        <v>7500/000INVENTORY</v>
      </c>
      <c r="N352" s="76"/>
      <c r="P352" s="77"/>
      <c r="Q352" s="57"/>
      <c r="R352" s="31"/>
    </row>
    <row r="353" spans="1:18" x14ac:dyDescent="0.2">
      <c r="A353" s="315"/>
      <c r="B353" s="60" t="s">
        <v>424</v>
      </c>
      <c r="C353" s="317" t="s">
        <v>425</v>
      </c>
      <c r="D353" s="357"/>
      <c r="E353" s="348"/>
      <c r="F353" s="86">
        <f t="shared" si="56"/>
        <v>0</v>
      </c>
      <c r="G353" s="53">
        <f>SUMIF(JournalsA!D$14:D$920,TrialBalanceA!M353,JournalsA!J$14:J$920)+SUMIF(JournalsA!E$14:E$920,TrialBalanceA!M353,JournalsA!J$14:J$920)</f>
        <v>0</v>
      </c>
      <c r="H353" s="363"/>
      <c r="I353" s="332">
        <f t="shared" si="57"/>
        <v>0</v>
      </c>
      <c r="J353" s="81"/>
      <c r="K353" s="54">
        <f t="shared" si="58"/>
        <v>0</v>
      </c>
      <c r="M353" s="192" t="str">
        <f t="shared" si="55"/>
        <v>7500/001Raw materials</v>
      </c>
      <c r="N353" s="76"/>
      <c r="P353" s="77"/>
      <c r="Q353" s="57"/>
      <c r="R353" s="31"/>
    </row>
    <row r="354" spans="1:18" x14ac:dyDescent="0.2">
      <c r="A354" s="315"/>
      <c r="B354" s="60" t="s">
        <v>22</v>
      </c>
      <c r="C354" s="317" t="s">
        <v>23</v>
      </c>
      <c r="D354" s="357"/>
      <c r="E354" s="348"/>
      <c r="F354" s="86">
        <f t="shared" si="56"/>
        <v>0</v>
      </c>
      <c r="G354" s="53">
        <f>SUMIF(JournalsA!D$14:D$920,TrialBalanceA!M354,JournalsA!J$14:J$920)+SUMIF(JournalsA!E$14:E$920,TrialBalanceA!M354,JournalsA!J$14:J$920)</f>
        <v>0</v>
      </c>
      <c r="H354" s="363"/>
      <c r="I354" s="332">
        <f t="shared" si="57"/>
        <v>0</v>
      </c>
      <c r="J354" s="81"/>
      <c r="K354" s="54">
        <f t="shared" si="58"/>
        <v>0</v>
      </c>
      <c r="M354" s="192" t="str">
        <f t="shared" si="55"/>
        <v>7500/002Work in progress</v>
      </c>
      <c r="N354" s="76"/>
      <c r="P354" s="77"/>
      <c r="Q354" s="57"/>
      <c r="R354" s="31"/>
    </row>
    <row r="355" spans="1:18" x14ac:dyDescent="0.2">
      <c r="A355" s="315"/>
      <c r="B355" s="60" t="s">
        <v>24</v>
      </c>
      <c r="C355" s="317" t="s">
        <v>25</v>
      </c>
      <c r="D355" s="357"/>
      <c r="E355" s="348"/>
      <c r="F355" s="86">
        <f t="shared" si="56"/>
        <v>0</v>
      </c>
      <c r="G355" s="53">
        <f>SUMIF(JournalsA!D$14:D$920,TrialBalanceA!M355,JournalsA!J$14:J$920)+SUMIF(JournalsA!E$14:E$920,TrialBalanceA!M355,JournalsA!J$14:J$920)</f>
        <v>0</v>
      </c>
      <c r="H355" s="363"/>
      <c r="I355" s="332">
        <f t="shared" si="57"/>
        <v>0</v>
      </c>
      <c r="J355" s="81"/>
      <c r="K355" s="54">
        <f t="shared" si="58"/>
        <v>0</v>
      </c>
      <c r="M355" s="192" t="str">
        <f t="shared" si="55"/>
        <v>7500/003Finished goods</v>
      </c>
      <c r="N355" s="76"/>
      <c r="P355" s="77"/>
      <c r="Q355" s="57"/>
      <c r="R355" s="31"/>
    </row>
    <row r="356" spans="1:18" x14ac:dyDescent="0.2">
      <c r="A356" s="315"/>
      <c r="B356" s="60" t="s">
        <v>28</v>
      </c>
      <c r="C356" s="317" t="s">
        <v>29</v>
      </c>
      <c r="D356" s="357"/>
      <c r="E356" s="348"/>
      <c r="F356" s="86">
        <f t="shared" si="56"/>
        <v>0</v>
      </c>
      <c r="G356" s="53">
        <f>SUMIF(JournalsA!D$14:D$920,TrialBalanceA!M356,JournalsA!J$14:J$920)+SUMIF(JournalsA!E$14:E$920,TrialBalanceA!M356,JournalsA!J$14:J$920)</f>
        <v>0</v>
      </c>
      <c r="H356" s="363"/>
      <c r="I356" s="332">
        <f t="shared" si="57"/>
        <v>0</v>
      </c>
      <c r="J356" s="81"/>
      <c r="K356" s="54">
        <f t="shared" si="58"/>
        <v>0</v>
      </c>
      <c r="M356" s="192" t="str">
        <f t="shared" si="55"/>
        <v>7500/004Trading stock</v>
      </c>
      <c r="N356" s="76"/>
      <c r="P356" s="77"/>
      <c r="Q356" s="57"/>
      <c r="R356" s="31"/>
    </row>
    <row r="357" spans="1:18" x14ac:dyDescent="0.2">
      <c r="A357" s="315"/>
      <c r="B357" s="60" t="s">
        <v>31</v>
      </c>
      <c r="C357" s="316" t="s">
        <v>32</v>
      </c>
      <c r="D357" s="358"/>
      <c r="E357" s="348"/>
      <c r="F357" s="86"/>
      <c r="G357" s="53">
        <f>SUMIF(JournalsA!D$14:D$920,TrialBalanceA!M357,JournalsA!J$14:J$920)+SUMIF(JournalsA!E$14:E$920,TrialBalanceA!M357,JournalsA!J$14:J$920)</f>
        <v>0</v>
      </c>
      <c r="H357" s="363"/>
      <c r="I357" s="332">
        <f t="shared" si="57"/>
        <v>0</v>
      </c>
      <c r="J357" s="81"/>
      <c r="K357" s="54">
        <f t="shared" si="58"/>
        <v>0</v>
      </c>
      <c r="M357" s="192" t="str">
        <f t="shared" si="55"/>
        <v>8000/000DEBTORS</v>
      </c>
      <c r="N357" s="76"/>
      <c r="P357" s="77"/>
      <c r="Q357" s="57"/>
      <c r="R357" s="31"/>
    </row>
    <row r="358" spans="1:18" x14ac:dyDescent="0.2">
      <c r="A358" s="315"/>
      <c r="B358" s="60" t="s">
        <v>33</v>
      </c>
      <c r="C358" s="317" t="s">
        <v>34</v>
      </c>
      <c r="D358" s="357"/>
      <c r="E358" s="348"/>
      <c r="F358" s="86">
        <f t="shared" si="56"/>
        <v>0</v>
      </c>
      <c r="G358" s="53">
        <f>SUMIF(JournalsA!D$14:D$920,TrialBalanceA!M358,JournalsA!J$14:J$920)+SUMIF(JournalsA!E$14:E$920,TrialBalanceA!M358,JournalsA!J$14:J$920)</f>
        <v>0</v>
      </c>
      <c r="H358" s="363"/>
      <c r="I358" s="332">
        <f t="shared" si="57"/>
        <v>0</v>
      </c>
      <c r="J358" s="81"/>
      <c r="K358" s="54">
        <f t="shared" si="58"/>
        <v>0</v>
      </c>
      <c r="M358" s="192" t="str">
        <f t="shared" si="55"/>
        <v>8010/000Trade debtors</v>
      </c>
      <c r="N358" s="76"/>
      <c r="P358" s="77"/>
      <c r="Q358" s="57"/>
      <c r="R358" s="31"/>
    </row>
    <row r="359" spans="1:18" x14ac:dyDescent="0.2">
      <c r="A359" s="315"/>
      <c r="B359" s="110" t="s">
        <v>35</v>
      </c>
      <c r="C359" s="319" t="s">
        <v>561</v>
      </c>
      <c r="D359" s="357"/>
      <c r="E359" s="348"/>
      <c r="F359" s="86">
        <f t="shared" si="56"/>
        <v>0</v>
      </c>
      <c r="G359" s="53">
        <f>SUMIF(JournalsA!D$14:D$920,TrialBalanceA!M359,JournalsA!J$14:J$920)+SUMIF(JournalsA!E$14:E$920,TrialBalanceA!M359,JournalsA!J$14:J$920)</f>
        <v>0</v>
      </c>
      <c r="H359" s="363"/>
      <c r="I359" s="332">
        <f t="shared" si="57"/>
        <v>0</v>
      </c>
      <c r="J359" s="81"/>
      <c r="K359" s="54">
        <f t="shared" si="58"/>
        <v>0</v>
      </c>
      <c r="M359" s="192" t="str">
        <f t="shared" si="55"/>
        <v>8020/000Less: Provision for doubtful debts</v>
      </c>
      <c r="N359" s="76"/>
      <c r="P359" s="77"/>
      <c r="Q359" s="57"/>
      <c r="R359" s="31"/>
    </row>
    <row r="360" spans="1:18" x14ac:dyDescent="0.2">
      <c r="A360" s="315"/>
      <c r="B360" s="110" t="s">
        <v>563</v>
      </c>
      <c r="C360" s="317" t="s">
        <v>327</v>
      </c>
      <c r="D360" s="357"/>
      <c r="E360" s="348"/>
      <c r="F360" s="86">
        <f t="shared" si="56"/>
        <v>0</v>
      </c>
      <c r="G360" s="53">
        <f>SUMIF(JournalsA!D$14:D$920,TrialBalanceA!M360,JournalsA!J$14:J$920)+SUMIF(JournalsA!E$14:E$920,TrialBalanceA!M360,JournalsA!J$14:J$920)</f>
        <v>0</v>
      </c>
      <c r="H360" s="363"/>
      <c r="I360" s="332">
        <f t="shared" si="57"/>
        <v>0</v>
      </c>
      <c r="J360" s="81"/>
      <c r="K360" s="54">
        <f t="shared" si="58"/>
        <v>0</v>
      </c>
      <c r="M360" s="192" t="str">
        <f t="shared" si="55"/>
        <v>8030/000Service deposits</v>
      </c>
      <c r="N360" s="76"/>
      <c r="P360" s="77"/>
      <c r="Q360" s="57"/>
      <c r="R360" s="31"/>
    </row>
    <row r="361" spans="1:18" x14ac:dyDescent="0.2">
      <c r="A361" s="315"/>
      <c r="B361" s="60" t="s">
        <v>476</v>
      </c>
      <c r="C361" s="319" t="s">
        <v>801</v>
      </c>
      <c r="D361" s="357"/>
      <c r="E361" s="348"/>
      <c r="F361" s="86">
        <f t="shared" si="56"/>
        <v>0</v>
      </c>
      <c r="G361" s="53">
        <f>SUMIF(JournalsA!D$14:D$920,TrialBalanceA!M361,JournalsA!J$14:J$920)+SUMIF(JournalsA!E$14:E$920,TrialBalanceA!M361,JournalsA!J$14:J$920)</f>
        <v>0</v>
      </c>
      <c r="H361" s="363"/>
      <c r="I361" s="332">
        <f t="shared" si="57"/>
        <v>0</v>
      </c>
      <c r="J361" s="81"/>
      <c r="K361" s="54">
        <f t="shared" si="58"/>
        <v>0</v>
      </c>
      <c r="M361" s="192" t="str">
        <f t="shared" si="55"/>
        <v>8200/000Sundry customers</v>
      </c>
      <c r="N361" s="76"/>
      <c r="P361" s="77"/>
      <c r="Q361" s="57"/>
      <c r="R361" s="31"/>
    </row>
    <row r="362" spans="1:18" x14ac:dyDescent="0.2">
      <c r="A362" s="315"/>
      <c r="B362" s="60" t="s">
        <v>477</v>
      </c>
      <c r="C362" s="317" t="s">
        <v>382</v>
      </c>
      <c r="D362" s="357"/>
      <c r="E362" s="348"/>
      <c r="F362" s="86">
        <f t="shared" si="56"/>
        <v>0</v>
      </c>
      <c r="G362" s="53">
        <f>SUMIF(JournalsA!D$14:D$920,TrialBalanceA!M362,JournalsA!J$14:J$920)+SUMIF(JournalsA!E$14:E$920,TrialBalanceA!M362,JournalsA!J$14:J$920)</f>
        <v>0</v>
      </c>
      <c r="H362" s="363"/>
      <c r="I362" s="332">
        <f t="shared" si="57"/>
        <v>0</v>
      </c>
      <c r="J362" s="81"/>
      <c r="K362" s="54">
        <f t="shared" si="58"/>
        <v>0</v>
      </c>
      <c r="M362" s="192" t="str">
        <f t="shared" si="55"/>
        <v>8200/010Prepayments</v>
      </c>
      <c r="N362" s="76"/>
      <c r="P362" s="77"/>
      <c r="Q362" s="57"/>
      <c r="R362" s="31"/>
    </row>
    <row r="363" spans="1:18" x14ac:dyDescent="0.2">
      <c r="A363" s="315"/>
      <c r="B363" s="60" t="s">
        <v>244</v>
      </c>
      <c r="C363" s="318" t="s">
        <v>534</v>
      </c>
      <c r="D363" s="348"/>
      <c r="E363" s="348"/>
      <c r="F363" s="86">
        <f t="shared" si="56"/>
        <v>0</v>
      </c>
      <c r="G363" s="53">
        <f>SUMIF(JournalsA!D$14:D$920,TrialBalanceA!M363,JournalsA!J$14:J$920)+SUMIF(JournalsA!E$14:E$920,TrialBalanceA!M363,JournalsA!J$14:J$920)</f>
        <v>0</v>
      </c>
      <c r="H363" s="363"/>
      <c r="I363" s="332">
        <f t="shared" si="57"/>
        <v>0</v>
      </c>
      <c r="J363" s="81"/>
      <c r="K363" s="54">
        <f t="shared" si="58"/>
        <v>0</v>
      </c>
      <c r="M363" s="192" t="str">
        <f t="shared" si="55"/>
        <v>8200/020Staff loans</v>
      </c>
      <c r="N363" s="76"/>
      <c r="P363" s="77"/>
      <c r="Q363" s="57"/>
      <c r="R363" s="31"/>
    </row>
    <row r="364" spans="1:18" x14ac:dyDescent="0.2">
      <c r="A364" s="315"/>
      <c r="B364" s="60" t="s">
        <v>245</v>
      </c>
      <c r="C364" s="321" t="s">
        <v>132</v>
      </c>
      <c r="D364" s="346"/>
      <c r="E364" s="348"/>
      <c r="F364" s="86"/>
      <c r="G364" s="53">
        <f>SUMIF(JournalsA!D$14:D$920,TrialBalanceA!M364,JournalsA!J$14:J$920)+SUMIF(JournalsA!E$14:E$920,TrialBalanceA!M364,JournalsA!J$14:J$920)</f>
        <v>0</v>
      </c>
      <c r="H364" s="363"/>
      <c r="I364" s="332">
        <f t="shared" si="57"/>
        <v>0</v>
      </c>
      <c r="J364" s="81"/>
      <c r="K364" s="54">
        <f t="shared" si="58"/>
        <v>0</v>
      </c>
      <c r="M364" s="192" t="str">
        <f t="shared" si="55"/>
        <v>8400/000BANK ACCOUNTS</v>
      </c>
      <c r="N364" s="76"/>
      <c r="P364" s="77"/>
      <c r="Q364" s="57"/>
      <c r="R364" s="31"/>
    </row>
    <row r="365" spans="1:18" x14ac:dyDescent="0.2">
      <c r="A365" s="315"/>
      <c r="B365" s="60" t="s">
        <v>246</v>
      </c>
      <c r="C365" s="352">
        <f>TrialBalance!C365</f>
        <v>0</v>
      </c>
      <c r="D365" s="356"/>
      <c r="E365" s="348"/>
      <c r="F365" s="86">
        <f t="shared" si="56"/>
        <v>0</v>
      </c>
      <c r="G365" s="53">
        <f>SUMIF(JournalsA!D$14:D$920,TrialBalanceA!M365,JournalsA!J$14:J$920)+SUMIF(JournalsA!E$14:E$920,TrialBalanceA!M365,JournalsA!J$14:J$920)</f>
        <v>0</v>
      </c>
      <c r="H365" s="363"/>
      <c r="I365" s="332">
        <f t="shared" si="57"/>
        <v>0</v>
      </c>
      <c r="J365" s="81"/>
      <c r="K365" s="54">
        <f t="shared" si="58"/>
        <v>0</v>
      </c>
      <c r="M365" s="192" t="str">
        <f t="shared" si="55"/>
        <v>8410/0000</v>
      </c>
      <c r="N365" s="76"/>
      <c r="P365" s="77"/>
      <c r="Q365" s="57"/>
      <c r="R365" s="31"/>
    </row>
    <row r="366" spans="1:18" x14ac:dyDescent="0.2">
      <c r="A366" s="315"/>
      <c r="B366" s="60" t="s">
        <v>247</v>
      </c>
      <c r="C366" s="352">
        <f>TrialBalance!C366</f>
        <v>0</v>
      </c>
      <c r="D366" s="356"/>
      <c r="E366" s="356"/>
      <c r="F366" s="86">
        <f t="shared" si="56"/>
        <v>0</v>
      </c>
      <c r="G366" s="53">
        <f>SUMIF(JournalsA!D$14:D$920,TrialBalanceA!M366,JournalsA!J$14:J$920)+SUMIF(JournalsA!E$14:E$920,TrialBalanceA!M366,JournalsA!J$14:J$920)</f>
        <v>0</v>
      </c>
      <c r="H366" s="363"/>
      <c r="I366" s="332">
        <f t="shared" si="57"/>
        <v>0</v>
      </c>
      <c r="J366" s="81"/>
      <c r="K366" s="54">
        <f t="shared" si="58"/>
        <v>0</v>
      </c>
      <c r="M366" s="192" t="str">
        <f t="shared" si="55"/>
        <v>8420/0000</v>
      </c>
      <c r="N366" s="76"/>
      <c r="P366" s="77"/>
      <c r="Q366" s="57"/>
      <c r="R366" s="31"/>
    </row>
    <row r="367" spans="1:18" x14ac:dyDescent="0.2">
      <c r="A367" s="315"/>
      <c r="B367" s="60" t="s">
        <v>248</v>
      </c>
      <c r="C367" s="352">
        <f>TrialBalance!C367</f>
        <v>0</v>
      </c>
      <c r="D367" s="348"/>
      <c r="E367" s="348"/>
      <c r="F367" s="86">
        <f t="shared" si="56"/>
        <v>0</v>
      </c>
      <c r="G367" s="53">
        <f>SUMIF(JournalsA!D$14:D$920,TrialBalanceA!M367,JournalsA!J$14:J$920)+SUMIF(JournalsA!E$14:E$920,TrialBalanceA!M367,JournalsA!J$14:J$920)</f>
        <v>0</v>
      </c>
      <c r="H367" s="363"/>
      <c r="I367" s="332">
        <f t="shared" ref="I367:I397" si="100">ROUND(D367-E367+G367+F367,0)</f>
        <v>0</v>
      </c>
      <c r="J367" s="81"/>
      <c r="K367" s="54">
        <f t="shared" ref="K367:K397" si="101">ROUND(SUM(A367),0)</f>
        <v>0</v>
      </c>
      <c r="M367" s="192" t="str">
        <f t="shared" si="55"/>
        <v>8430/0000</v>
      </c>
      <c r="N367" s="76"/>
      <c r="P367" s="77"/>
      <c r="Q367" s="57"/>
      <c r="R367" s="31"/>
    </row>
    <row r="368" spans="1:18" x14ac:dyDescent="0.2">
      <c r="A368" s="315"/>
      <c r="B368" s="60" t="s">
        <v>249</v>
      </c>
      <c r="C368" s="352">
        <f>TrialBalance!C368</f>
        <v>0</v>
      </c>
      <c r="D368" s="357"/>
      <c r="E368" s="348"/>
      <c r="F368" s="86">
        <f t="shared" si="56"/>
        <v>0</v>
      </c>
      <c r="G368" s="53">
        <f>SUMIF(JournalsA!D$14:D$920,TrialBalanceA!M368,JournalsA!J$14:J$920)+SUMIF(JournalsA!E$14:E$920,TrialBalanceA!M368,JournalsA!J$14:J$920)</f>
        <v>0</v>
      </c>
      <c r="H368" s="363"/>
      <c r="I368" s="332">
        <f t="shared" si="100"/>
        <v>0</v>
      </c>
      <c r="J368" s="81"/>
      <c r="K368" s="54">
        <f t="shared" si="101"/>
        <v>0</v>
      </c>
      <c r="M368" s="192" t="str">
        <f t="shared" ref="M368:M397" si="102">CONCATENATE(B368,C368)</f>
        <v>8440/0000</v>
      </c>
      <c r="N368" s="76"/>
      <c r="P368" s="77"/>
      <c r="Q368" s="57"/>
      <c r="R368" s="31"/>
    </row>
    <row r="369" spans="1:18" x14ac:dyDescent="0.2">
      <c r="A369" s="315"/>
      <c r="B369" s="60" t="s">
        <v>250</v>
      </c>
      <c r="C369" s="352">
        <f>TrialBalance!C369</f>
        <v>0</v>
      </c>
      <c r="D369" s="357"/>
      <c r="E369" s="348"/>
      <c r="F369" s="86">
        <f t="shared" si="56"/>
        <v>0</v>
      </c>
      <c r="G369" s="53">
        <f>SUMIF(JournalsA!D$14:D$920,TrialBalanceA!M369,JournalsA!J$14:J$920)+SUMIF(JournalsA!E$14:E$920,TrialBalanceA!M369,JournalsA!J$14:J$920)</f>
        <v>0</v>
      </c>
      <c r="H369" s="363"/>
      <c r="I369" s="332">
        <f t="shared" si="100"/>
        <v>0</v>
      </c>
      <c r="J369" s="81"/>
      <c r="K369" s="54">
        <f t="shared" si="101"/>
        <v>0</v>
      </c>
      <c r="M369" s="192" t="str">
        <f t="shared" si="102"/>
        <v>8450/0000</v>
      </c>
      <c r="N369" s="76"/>
      <c r="P369" s="77"/>
      <c r="Q369" s="57"/>
      <c r="R369" s="31"/>
    </row>
    <row r="370" spans="1:18" x14ac:dyDescent="0.2">
      <c r="A370" s="315"/>
      <c r="B370" s="60" t="s">
        <v>133</v>
      </c>
      <c r="C370" s="352">
        <f>TrialBalance!C370</f>
        <v>0</v>
      </c>
      <c r="D370" s="357"/>
      <c r="E370" s="348"/>
      <c r="F370" s="86">
        <f t="shared" si="56"/>
        <v>0</v>
      </c>
      <c r="G370" s="53">
        <f>SUMIF(JournalsA!D$14:D$920,TrialBalanceA!M370,JournalsA!J$14:J$920)+SUMIF(JournalsA!E$14:E$920,TrialBalanceA!M370,JournalsA!J$14:J$920)</f>
        <v>0</v>
      </c>
      <c r="H370" s="363"/>
      <c r="I370" s="332">
        <f t="shared" si="100"/>
        <v>0</v>
      </c>
      <c r="J370" s="81"/>
      <c r="K370" s="54">
        <f t="shared" si="101"/>
        <v>0</v>
      </c>
      <c r="M370" s="192" t="str">
        <f t="shared" si="102"/>
        <v>8460/0000</v>
      </c>
      <c r="N370" s="76"/>
      <c r="P370" s="77"/>
      <c r="Q370" s="57"/>
      <c r="R370" s="31"/>
    </row>
    <row r="371" spans="1:18" x14ac:dyDescent="0.2">
      <c r="A371" s="315"/>
      <c r="B371" s="60" t="s">
        <v>430</v>
      </c>
      <c r="C371" s="323" t="s">
        <v>431</v>
      </c>
      <c r="D371" s="348"/>
      <c r="E371" s="348"/>
      <c r="F371" s="86">
        <f t="shared" si="56"/>
        <v>0</v>
      </c>
      <c r="G371" s="53">
        <f>SUMIF(JournalsA!D$14:D$920,TrialBalanceA!M371,JournalsA!J$14:J$920)+SUMIF(JournalsA!E$14:E$920,TrialBalanceA!M371,JournalsA!J$14:J$920)</f>
        <v>0</v>
      </c>
      <c r="H371" s="363"/>
      <c r="I371" s="332">
        <f t="shared" si="100"/>
        <v>0</v>
      </c>
      <c r="J371" s="81"/>
      <c r="K371" s="54">
        <f t="shared" si="101"/>
        <v>0</v>
      </c>
      <c r="M371" s="192" t="str">
        <f t="shared" si="102"/>
        <v>8500/000Cash on hand</v>
      </c>
      <c r="N371" s="76"/>
      <c r="P371" s="77"/>
      <c r="Q371" s="57"/>
      <c r="R371" s="31"/>
    </row>
    <row r="372" spans="1:18" x14ac:dyDescent="0.2">
      <c r="A372" s="315"/>
      <c r="B372" s="60" t="s">
        <v>432</v>
      </c>
      <c r="C372" s="321" t="s">
        <v>289</v>
      </c>
      <c r="D372" s="346"/>
      <c r="E372" s="348"/>
      <c r="F372" s="86"/>
      <c r="G372" s="53">
        <f>SUMIF(JournalsA!D$14:D$920,TrialBalanceA!M372,JournalsA!J$14:J$920)+SUMIF(JournalsA!E$14:E$920,TrialBalanceA!M372,JournalsA!J$14:J$920)</f>
        <v>0</v>
      </c>
      <c r="H372" s="363"/>
      <c r="I372" s="332">
        <f t="shared" si="100"/>
        <v>0</v>
      </c>
      <c r="J372" s="81"/>
      <c r="K372" s="54">
        <f t="shared" si="101"/>
        <v>0</v>
      </c>
      <c r="M372" s="192" t="str">
        <f t="shared" si="102"/>
        <v>8900/000SHORT TERM LOANS</v>
      </c>
      <c r="N372" s="76"/>
      <c r="P372" s="77"/>
      <c r="Q372" s="57"/>
      <c r="R372" s="31"/>
    </row>
    <row r="373" spans="1:18" x14ac:dyDescent="0.2">
      <c r="A373" s="315"/>
      <c r="B373" s="60" t="s">
        <v>433</v>
      </c>
      <c r="C373" s="352">
        <f>TrialBalance!C373</f>
        <v>0</v>
      </c>
      <c r="D373" s="348"/>
      <c r="E373" s="348"/>
      <c r="F373" s="86">
        <f t="shared" si="56"/>
        <v>0</v>
      </c>
      <c r="G373" s="53">
        <f>SUMIF(JournalsA!D$14:D$920,TrialBalanceA!M373,JournalsA!J$14:J$920)+SUMIF(JournalsA!E$14:E$920,TrialBalanceA!M373,JournalsA!J$14:J$920)</f>
        <v>0</v>
      </c>
      <c r="H373" s="363"/>
      <c r="I373" s="332">
        <f t="shared" si="100"/>
        <v>0</v>
      </c>
      <c r="J373" s="81"/>
      <c r="K373" s="54">
        <f t="shared" si="101"/>
        <v>0</v>
      </c>
      <c r="M373" s="192" t="str">
        <f t="shared" si="102"/>
        <v>8900/0010</v>
      </c>
      <c r="N373" s="76"/>
      <c r="P373" s="77"/>
      <c r="Q373" s="57"/>
      <c r="R373" s="31"/>
    </row>
    <row r="374" spans="1:18" x14ac:dyDescent="0.2">
      <c r="A374" s="315"/>
      <c r="B374" s="60" t="s">
        <v>434</v>
      </c>
      <c r="C374" s="352">
        <f>TrialBalance!C374</f>
        <v>0</v>
      </c>
      <c r="D374" s="357"/>
      <c r="E374" s="348"/>
      <c r="F374" s="86">
        <f t="shared" si="56"/>
        <v>0</v>
      </c>
      <c r="G374" s="53">
        <f>SUMIF(JournalsA!D$14:D$920,TrialBalanceA!M374,JournalsA!J$14:J$920)+SUMIF(JournalsA!E$14:E$920,TrialBalanceA!M374,JournalsA!J$14:J$920)</f>
        <v>0</v>
      </c>
      <c r="H374" s="363"/>
      <c r="I374" s="332">
        <f t="shared" si="100"/>
        <v>0</v>
      </c>
      <c r="J374" s="81"/>
      <c r="K374" s="54">
        <f t="shared" si="101"/>
        <v>0</v>
      </c>
      <c r="M374" s="192" t="str">
        <f t="shared" si="102"/>
        <v>8900/0020</v>
      </c>
      <c r="N374" s="76"/>
      <c r="P374" s="77"/>
      <c r="Q374" s="57"/>
      <c r="R374" s="31"/>
    </row>
    <row r="375" spans="1:18" x14ac:dyDescent="0.2">
      <c r="A375" s="315"/>
      <c r="B375" s="60" t="s">
        <v>435</v>
      </c>
      <c r="C375" s="352">
        <f>TrialBalance!C375</f>
        <v>0</v>
      </c>
      <c r="D375" s="357"/>
      <c r="E375" s="348"/>
      <c r="F375" s="86">
        <f t="shared" si="56"/>
        <v>0</v>
      </c>
      <c r="G375" s="53">
        <f>SUMIF(JournalsA!D$14:D$920,TrialBalanceA!M375,JournalsA!J$14:J$920)+SUMIF(JournalsA!E$14:E$920,TrialBalanceA!M375,JournalsA!J$14:J$920)</f>
        <v>0</v>
      </c>
      <c r="H375" s="363"/>
      <c r="I375" s="332">
        <f t="shared" si="100"/>
        <v>0</v>
      </c>
      <c r="J375" s="81"/>
      <c r="K375" s="54">
        <f t="shared" si="101"/>
        <v>0</v>
      </c>
      <c r="M375" s="192" t="str">
        <f t="shared" si="102"/>
        <v>8900/0030</v>
      </c>
      <c r="N375" s="76"/>
      <c r="P375" s="77"/>
      <c r="Q375" s="57"/>
      <c r="R375" s="31"/>
    </row>
    <row r="376" spans="1:18" x14ac:dyDescent="0.2">
      <c r="A376" s="315"/>
      <c r="B376" s="60" t="s">
        <v>436</v>
      </c>
      <c r="C376" s="316" t="s">
        <v>256</v>
      </c>
      <c r="D376" s="358"/>
      <c r="E376" s="348"/>
      <c r="F376" s="86"/>
      <c r="G376" s="53">
        <f>SUMIF(JournalsA!D$14:D$920,TrialBalanceA!M376,JournalsA!J$14:J$920)+SUMIF(JournalsA!E$14:E$920,TrialBalanceA!M376,JournalsA!J$14:J$920)</f>
        <v>0</v>
      </c>
      <c r="H376" s="363"/>
      <c r="I376" s="332">
        <f t="shared" si="100"/>
        <v>0</v>
      </c>
      <c r="J376" s="81"/>
      <c r="K376" s="54">
        <f t="shared" si="101"/>
        <v>0</v>
      </c>
      <c r="M376" s="192" t="str">
        <f t="shared" si="102"/>
        <v>8900/004Short term portion of long term loans</v>
      </c>
      <c r="N376" s="76"/>
      <c r="P376" s="77"/>
      <c r="Q376" s="57"/>
      <c r="R376" s="31"/>
    </row>
    <row r="377" spans="1:18" x14ac:dyDescent="0.2">
      <c r="A377" s="315"/>
      <c r="B377" s="60" t="s">
        <v>437</v>
      </c>
      <c r="C377" s="316" t="s">
        <v>438</v>
      </c>
      <c r="D377" s="358"/>
      <c r="E377" s="348"/>
      <c r="F377" s="86"/>
      <c r="G377" s="53">
        <f>SUMIF(JournalsA!D$14:D$920,TrialBalanceA!M377,JournalsA!J$14:J$920)+SUMIF(JournalsA!E$14:E$920,TrialBalanceA!M377,JournalsA!J$14:J$920)</f>
        <v>0</v>
      </c>
      <c r="H377" s="363"/>
      <c r="I377" s="332">
        <f t="shared" si="100"/>
        <v>0</v>
      </c>
      <c r="J377" s="81"/>
      <c r="K377" s="54">
        <f t="shared" si="101"/>
        <v>0</v>
      </c>
      <c r="M377" s="192" t="str">
        <f t="shared" si="102"/>
        <v>9000/000CREDITORS</v>
      </c>
      <c r="N377" s="76"/>
      <c r="P377" s="77"/>
      <c r="Q377" s="57"/>
      <c r="R377" s="31"/>
    </row>
    <row r="378" spans="1:18" x14ac:dyDescent="0.2">
      <c r="A378" s="315"/>
      <c r="B378" s="60" t="s">
        <v>439</v>
      </c>
      <c r="C378" s="317" t="s">
        <v>440</v>
      </c>
      <c r="D378" s="357"/>
      <c r="E378" s="348"/>
      <c r="F378" s="86">
        <f>K378</f>
        <v>0</v>
      </c>
      <c r="G378" s="53">
        <f>SUMIF(JournalsA!D$14:D$920,TrialBalanceA!M378,JournalsA!J$14:J$920)+SUMIF(JournalsA!E$14:E$920,TrialBalanceA!M378,JournalsA!J$14:J$920)</f>
        <v>0</v>
      </c>
      <c r="H378" s="363"/>
      <c r="I378" s="332">
        <f t="shared" si="100"/>
        <v>0</v>
      </c>
      <c r="J378" s="81"/>
      <c r="K378" s="54">
        <f t="shared" si="101"/>
        <v>0</v>
      </c>
      <c r="M378" s="192" t="str">
        <f t="shared" si="102"/>
        <v>9010/000Trade creditors</v>
      </c>
      <c r="N378" s="76"/>
      <c r="P378" s="77"/>
      <c r="Q378" s="57"/>
      <c r="R378" s="31"/>
    </row>
    <row r="379" spans="1:18" x14ac:dyDescent="0.2">
      <c r="A379" s="315"/>
      <c r="B379" s="60" t="s">
        <v>441</v>
      </c>
      <c r="C379" s="319" t="s">
        <v>548</v>
      </c>
      <c r="D379" s="357"/>
      <c r="E379" s="348"/>
      <c r="F379" s="86">
        <f>K379</f>
        <v>0</v>
      </c>
      <c r="G379" s="53">
        <f>SUMIF(JournalsA!D$14:D$920,TrialBalanceA!M379,JournalsA!J$14:J$920)+SUMIF(JournalsA!E$14:E$920,TrialBalanceA!M379,JournalsA!J$14:J$920)</f>
        <v>0</v>
      </c>
      <c r="H379" s="363"/>
      <c r="I379" s="332">
        <f t="shared" si="100"/>
        <v>0</v>
      </c>
      <c r="J379" s="81"/>
      <c r="K379" s="54">
        <f t="shared" si="101"/>
        <v>0</v>
      </c>
      <c r="M379" s="192" t="str">
        <f t="shared" si="102"/>
        <v>9200/000Sundry suppliers</v>
      </c>
      <c r="N379" s="76"/>
      <c r="P379" s="77"/>
      <c r="Q379" s="57"/>
      <c r="R379" s="31"/>
    </row>
    <row r="380" spans="1:18" x14ac:dyDescent="0.2">
      <c r="A380" s="315"/>
      <c r="B380" s="60" t="s">
        <v>442</v>
      </c>
      <c r="C380" s="319" t="s">
        <v>758</v>
      </c>
      <c r="D380" s="359"/>
      <c r="E380" s="348"/>
      <c r="F380" s="86">
        <f>K380</f>
        <v>0</v>
      </c>
      <c r="G380" s="53">
        <f>SUMIF(JournalsA!D$14:D$920,TrialBalanceA!M380,JournalsA!J$14:J$920)+SUMIF(JournalsA!E$14:E$920,TrialBalanceA!M380,JournalsA!J$14:J$920)</f>
        <v>0</v>
      </c>
      <c r="H380" s="363"/>
      <c r="I380" s="332">
        <f t="shared" si="100"/>
        <v>0</v>
      </c>
      <c r="J380" s="81"/>
      <c r="K380" s="54">
        <f t="shared" si="101"/>
        <v>0</v>
      </c>
      <c r="M380" s="192" t="str">
        <f t="shared" si="102"/>
        <v>9200/010Audit and accounting fee accrual</v>
      </c>
      <c r="N380" s="76"/>
      <c r="P380" s="77"/>
      <c r="Q380" s="57"/>
      <c r="R380" s="31"/>
    </row>
    <row r="381" spans="1:18" x14ac:dyDescent="0.2">
      <c r="A381" s="315"/>
      <c r="B381" s="60" t="s">
        <v>443</v>
      </c>
      <c r="C381" s="319" t="s">
        <v>549</v>
      </c>
      <c r="D381" s="357"/>
      <c r="E381" s="348"/>
      <c r="F381" s="86">
        <f>K381</f>
        <v>0</v>
      </c>
      <c r="G381" s="53">
        <f>SUMIF(JournalsA!D$14:D$920,TrialBalanceA!M381,JournalsA!J$14:J$920)+SUMIF(JournalsA!E$14:E$920,TrialBalanceA!M381,JournalsA!J$14:J$920)</f>
        <v>0</v>
      </c>
      <c r="H381" s="363"/>
      <c r="I381" s="332">
        <f t="shared" si="100"/>
        <v>0</v>
      </c>
      <c r="J381" s="81"/>
      <c r="K381" s="54">
        <f t="shared" si="101"/>
        <v>0</v>
      </c>
      <c r="M381" s="192" t="str">
        <f t="shared" si="102"/>
        <v>9200/020Other accruals</v>
      </c>
      <c r="N381" s="76"/>
      <c r="P381" s="77"/>
      <c r="Q381" s="57"/>
      <c r="R381" s="31"/>
    </row>
    <row r="382" spans="1:18" x14ac:dyDescent="0.2">
      <c r="A382" s="315"/>
      <c r="B382" s="60" t="s">
        <v>444</v>
      </c>
      <c r="C382" s="319" t="s">
        <v>753</v>
      </c>
      <c r="D382" s="357"/>
      <c r="E382" s="348"/>
      <c r="F382" s="86">
        <f>K382</f>
        <v>0</v>
      </c>
      <c r="G382" s="53">
        <f>SUMIF(JournalsA!D$14:D$920,TrialBalanceA!M382,JournalsA!J$14:J$920)+SUMIF(JournalsA!E$14:E$920,TrialBalanceA!M382,JournalsA!J$14:J$920)</f>
        <v>0</v>
      </c>
      <c r="H382" s="363"/>
      <c r="I382" s="332">
        <f t="shared" si="100"/>
        <v>0</v>
      </c>
      <c r="J382" s="81"/>
      <c r="K382" s="54">
        <f t="shared" si="101"/>
        <v>0</v>
      </c>
      <c r="M382" s="192" t="str">
        <f t="shared" si="102"/>
        <v>9250/000Salary and wages control</v>
      </c>
      <c r="N382" s="76"/>
      <c r="P382" s="77"/>
      <c r="Q382" s="57"/>
      <c r="R382" s="31"/>
    </row>
    <row r="383" spans="1:18" x14ac:dyDescent="0.2">
      <c r="A383" s="315"/>
      <c r="B383" s="60" t="s">
        <v>336</v>
      </c>
      <c r="C383" s="316" t="s">
        <v>124</v>
      </c>
      <c r="D383" s="358"/>
      <c r="E383" s="348"/>
      <c r="F383" s="86"/>
      <c r="G383" s="53">
        <f>SUMIF(JournalsA!D$14:D$920,TrialBalanceA!M383,JournalsA!J$14:J$920)+SUMIF(JournalsA!E$14:E$920,TrialBalanceA!M383,JournalsA!J$14:J$920)</f>
        <v>0</v>
      </c>
      <c r="H383" s="363"/>
      <c r="I383" s="332">
        <f t="shared" si="100"/>
        <v>0</v>
      </c>
      <c r="J383" s="81"/>
      <c r="K383" s="54">
        <f t="shared" si="101"/>
        <v>0</v>
      </c>
      <c r="M383" s="192" t="str">
        <f t="shared" si="102"/>
        <v>9300/000TAXATION</v>
      </c>
      <c r="N383" s="76"/>
      <c r="P383" s="77"/>
      <c r="Q383" s="57"/>
      <c r="R383" s="31"/>
    </row>
    <row r="384" spans="1:18" x14ac:dyDescent="0.2">
      <c r="A384" s="315"/>
      <c r="B384" s="60" t="s">
        <v>453</v>
      </c>
      <c r="C384" s="317" t="s">
        <v>92</v>
      </c>
      <c r="D384" s="357"/>
      <c r="E384" s="348"/>
      <c r="F384" s="86">
        <f>SUM(K384:K390)</f>
        <v>0</v>
      </c>
      <c r="G384" s="53">
        <f>SUMIF(JournalsA!D$14:D$920,TrialBalanceA!M384,JournalsA!J$14:J$920)+SUMIF(JournalsA!E$14:E$920,TrialBalanceA!M384,JournalsA!J$14:J$920)</f>
        <v>0</v>
      </c>
      <c r="H384" s="363"/>
      <c r="I384" s="332">
        <f t="shared" si="100"/>
        <v>0</v>
      </c>
      <c r="J384" s="81"/>
      <c r="K384" s="54">
        <f t="shared" si="101"/>
        <v>0</v>
      </c>
      <c r="M384" s="192" t="str">
        <f t="shared" si="102"/>
        <v>9300/010Balance b/fwd</v>
      </c>
      <c r="N384" s="76"/>
      <c r="P384" s="77"/>
      <c r="Q384" s="57"/>
      <c r="R384" s="31"/>
    </row>
    <row r="385" spans="1:18" x14ac:dyDescent="0.2">
      <c r="A385" s="315"/>
      <c r="B385" s="60" t="s">
        <v>454</v>
      </c>
      <c r="C385" s="323" t="s">
        <v>130</v>
      </c>
      <c r="D385" s="348"/>
      <c r="E385" s="348"/>
      <c r="F385" s="86"/>
      <c r="G385" s="53">
        <f>SUMIF(JournalsA!D$14:D$920,TrialBalanceA!M385,JournalsA!J$14:J$920)+SUMIF(JournalsA!E$14:E$920,TrialBalanceA!M385,JournalsA!J$14:J$920)</f>
        <v>0</v>
      </c>
      <c r="H385" s="363"/>
      <c r="I385" s="332">
        <f t="shared" si="100"/>
        <v>0</v>
      </c>
      <c r="J385" s="81"/>
      <c r="K385" s="54">
        <f t="shared" si="101"/>
        <v>0</v>
      </c>
      <c r="M385" s="192" t="str">
        <f t="shared" si="102"/>
        <v>9300/020Tax provision this year</v>
      </c>
      <c r="N385" s="76"/>
      <c r="P385" s="77"/>
      <c r="Q385" s="57"/>
      <c r="R385" s="31"/>
    </row>
    <row r="386" spans="1:18" x14ac:dyDescent="0.2">
      <c r="A386" s="315"/>
      <c r="B386" s="60" t="s">
        <v>455</v>
      </c>
      <c r="C386" s="319" t="s">
        <v>891</v>
      </c>
      <c r="D386" s="357"/>
      <c r="E386" s="348"/>
      <c r="F386" s="86"/>
      <c r="G386" s="53">
        <f>SUMIF(JournalsA!D$14:D$920,TrialBalanceA!M386,JournalsA!J$14:J$920)+SUMIF(JournalsA!E$14:E$920,TrialBalanceA!M386,JournalsA!J$14:J$920)</f>
        <v>0</v>
      </c>
      <c r="H386" s="363"/>
      <c r="I386" s="332">
        <f t="shared" si="100"/>
        <v>0</v>
      </c>
      <c r="J386" s="81"/>
      <c r="K386" s="54">
        <f t="shared" si="101"/>
        <v>0</v>
      </c>
      <c r="M386" s="192" t="str">
        <f t="shared" si="102"/>
        <v>9300/030Over-/(Under) provision previous year</v>
      </c>
      <c r="N386" s="76"/>
      <c r="P386" s="77"/>
      <c r="Q386" s="57"/>
      <c r="R386" s="31"/>
    </row>
    <row r="387" spans="1:18" x14ac:dyDescent="0.2">
      <c r="A387" s="315"/>
      <c r="B387" s="60" t="s">
        <v>456</v>
      </c>
      <c r="C387" s="319" t="s">
        <v>892</v>
      </c>
      <c r="D387" s="357"/>
      <c r="E387" s="348"/>
      <c r="F387" s="86"/>
      <c r="G387" s="53">
        <f>SUMIF(JournalsA!D$14:D$920,TrialBalanceA!M387,JournalsA!J$14:J$920)+SUMIF(JournalsA!E$14:E$920,TrialBalanceA!M387,JournalsA!J$14:J$920)</f>
        <v>0</v>
      </c>
      <c r="H387" s="363"/>
      <c r="I387" s="332">
        <f t="shared" si="100"/>
        <v>0</v>
      </c>
      <c r="J387" s="81"/>
      <c r="K387" s="54">
        <f t="shared" si="101"/>
        <v>0</v>
      </c>
      <c r="M387" s="192" t="str">
        <f t="shared" si="102"/>
        <v>9300/040Tax paid/(refund) for previous year provisions</v>
      </c>
      <c r="N387" s="76"/>
      <c r="P387" s="77"/>
      <c r="Q387" s="57"/>
      <c r="R387" s="31"/>
    </row>
    <row r="388" spans="1:18" x14ac:dyDescent="0.2">
      <c r="A388" s="315"/>
      <c r="B388" s="60" t="s">
        <v>457</v>
      </c>
      <c r="C388" s="319" t="s">
        <v>802</v>
      </c>
      <c r="D388" s="357"/>
      <c r="E388" s="348"/>
      <c r="F388" s="86"/>
      <c r="G388" s="53">
        <f>SUMIF(JournalsA!D$14:D$920,TrialBalanceA!M388,JournalsA!J$14:J$920)+SUMIF(JournalsA!E$14:E$920,TrialBalanceA!M388,JournalsA!J$14:J$920)</f>
        <v>0</v>
      </c>
      <c r="H388" s="363"/>
      <c r="I388" s="332">
        <f t="shared" si="100"/>
        <v>0</v>
      </c>
      <c r="J388" s="81"/>
      <c r="K388" s="54">
        <f t="shared" si="101"/>
        <v>0</v>
      </c>
      <c r="M388" s="192" t="str">
        <f t="shared" si="102"/>
        <v>9300/0501st Provisional paid</v>
      </c>
      <c r="N388" s="76"/>
      <c r="P388" s="77"/>
      <c r="Q388" s="57"/>
      <c r="R388" s="31"/>
    </row>
    <row r="389" spans="1:18" x14ac:dyDescent="0.2">
      <c r="A389" s="315"/>
      <c r="B389" s="60" t="s">
        <v>458</v>
      </c>
      <c r="C389" s="319" t="s">
        <v>803</v>
      </c>
      <c r="D389" s="357"/>
      <c r="E389" s="348"/>
      <c r="F389" s="86"/>
      <c r="G389" s="53">
        <f>SUMIF(JournalsA!D$14:D$920,TrialBalanceA!M389,JournalsA!J$14:J$920)+SUMIF(JournalsA!E$14:E$920,TrialBalanceA!M389,JournalsA!J$14:J$920)</f>
        <v>0</v>
      </c>
      <c r="H389" s="363"/>
      <c r="I389" s="332">
        <f t="shared" si="100"/>
        <v>0</v>
      </c>
      <c r="J389" s="81"/>
      <c r="K389" s="54">
        <f t="shared" si="101"/>
        <v>0</v>
      </c>
      <c r="M389" s="192" t="str">
        <f t="shared" si="102"/>
        <v>9300/0602nd Provisional paid</v>
      </c>
      <c r="N389" s="76"/>
      <c r="P389" s="77"/>
      <c r="Q389" s="57"/>
      <c r="R389" s="31"/>
    </row>
    <row r="390" spans="1:18" x14ac:dyDescent="0.2">
      <c r="A390" s="315"/>
      <c r="B390" s="60" t="s">
        <v>459</v>
      </c>
      <c r="C390" s="317" t="s">
        <v>131</v>
      </c>
      <c r="D390" s="357"/>
      <c r="E390" s="348"/>
      <c r="F390" s="86"/>
      <c r="G390" s="53">
        <f>SUMIF(JournalsA!D$14:D$920,TrialBalanceA!M390,JournalsA!J$14:J$920)+SUMIF(JournalsA!E$14:E$920,TrialBalanceA!M390,JournalsA!J$14:J$920)</f>
        <v>0</v>
      </c>
      <c r="H390" s="363"/>
      <c r="I390" s="332">
        <f t="shared" si="100"/>
        <v>0</v>
      </c>
      <c r="J390" s="81"/>
      <c r="K390" s="54">
        <f t="shared" si="101"/>
        <v>0</v>
      </c>
      <c r="M390" s="192" t="str">
        <f t="shared" si="102"/>
        <v>9300/0703rd Provisional paid</v>
      </c>
      <c r="N390" s="76"/>
      <c r="P390" s="77"/>
      <c r="Q390" s="57"/>
      <c r="R390" s="31"/>
    </row>
    <row r="391" spans="1:18" x14ac:dyDescent="0.2">
      <c r="A391" s="315"/>
      <c r="B391" s="60" t="s">
        <v>337</v>
      </c>
      <c r="C391" s="319" t="s">
        <v>536</v>
      </c>
      <c r="D391" s="359"/>
      <c r="E391" s="348"/>
      <c r="F391" s="86">
        <f>K391</f>
        <v>0</v>
      </c>
      <c r="G391" s="53">
        <f>SUMIF(JournalsA!D$14:D$920,TrialBalanceA!M391,JournalsA!J$14:J$920)+SUMIF(JournalsA!E$14:E$920,TrialBalanceA!M391,JournalsA!J$14:J$920)</f>
        <v>0</v>
      </c>
      <c r="H391" s="363"/>
      <c r="I391" s="332">
        <f t="shared" si="100"/>
        <v>0</v>
      </c>
      <c r="J391" s="81"/>
      <c r="K391" s="54">
        <f t="shared" si="101"/>
        <v>0</v>
      </c>
      <c r="M391" s="192" t="str">
        <f t="shared" si="102"/>
        <v>9400/000Provision for future expenses</v>
      </c>
      <c r="N391" s="76"/>
      <c r="P391" s="77"/>
      <c r="Q391" s="57"/>
      <c r="R391" s="31"/>
    </row>
    <row r="392" spans="1:18" x14ac:dyDescent="0.2">
      <c r="A392" s="315"/>
      <c r="B392" s="60" t="s">
        <v>338</v>
      </c>
      <c r="C392" s="319" t="s">
        <v>537</v>
      </c>
      <c r="D392" s="359"/>
      <c r="E392" s="348"/>
      <c r="F392" s="86">
        <f>K392</f>
        <v>0</v>
      </c>
      <c r="G392" s="53">
        <f>SUMIF(JournalsA!D$14:D$920,TrialBalanceA!M392,JournalsA!J$14:J$920)+SUMIF(JournalsA!E$14:E$920,TrialBalanceA!M392,JournalsA!J$14:J$920)</f>
        <v>0</v>
      </c>
      <c r="H392" s="363"/>
      <c r="I392" s="332">
        <f t="shared" si="100"/>
        <v>0</v>
      </c>
      <c r="J392" s="81"/>
      <c r="K392" s="54">
        <f t="shared" si="101"/>
        <v>0</v>
      </c>
      <c r="M392" s="192" t="str">
        <f t="shared" si="102"/>
        <v>9400/010Provision for insurance</v>
      </c>
      <c r="N392" s="76"/>
      <c r="P392" s="77"/>
      <c r="Q392" s="57"/>
      <c r="R392" s="31"/>
    </row>
    <row r="393" spans="1:18" x14ac:dyDescent="0.2">
      <c r="A393" s="315"/>
      <c r="B393" s="60" t="s">
        <v>339</v>
      </c>
      <c r="C393" s="319" t="s">
        <v>538</v>
      </c>
      <c r="D393" s="359"/>
      <c r="E393" s="348"/>
      <c r="F393" s="86">
        <f>K393</f>
        <v>0</v>
      </c>
      <c r="G393" s="53">
        <f>SUMIF(JournalsA!D$14:D$920,TrialBalanceA!M393,JournalsA!J$14:J$920)+SUMIF(JournalsA!E$14:E$920,TrialBalanceA!M393,JournalsA!J$14:J$920)</f>
        <v>0</v>
      </c>
      <c r="H393" s="363"/>
      <c r="I393" s="332">
        <f t="shared" si="100"/>
        <v>0</v>
      </c>
      <c r="J393" s="81"/>
      <c r="K393" s="54">
        <f t="shared" si="101"/>
        <v>0</v>
      </c>
      <c r="M393" s="192" t="str">
        <f t="shared" si="102"/>
        <v>9400/020Provision for salary bonus</v>
      </c>
      <c r="N393" s="76"/>
      <c r="P393" s="77"/>
      <c r="Q393" s="57"/>
      <c r="R393" s="31"/>
    </row>
    <row r="394" spans="1:18" x14ac:dyDescent="0.2">
      <c r="A394" s="315"/>
      <c r="B394" s="60" t="s">
        <v>340</v>
      </c>
      <c r="C394" s="316" t="s">
        <v>341</v>
      </c>
      <c r="D394" s="358"/>
      <c r="E394" s="348"/>
      <c r="F394" s="86"/>
      <c r="G394" s="53">
        <f>SUMIF(JournalsA!D$14:D$920,TrialBalanceA!M394,JournalsA!J$14:J$920)+SUMIF(JournalsA!E$14:E$920,TrialBalanceA!M394,JournalsA!J$14:J$920)</f>
        <v>0</v>
      </c>
      <c r="H394" s="363"/>
      <c r="I394" s="332">
        <f t="shared" si="100"/>
        <v>0</v>
      </c>
      <c r="J394" s="81"/>
      <c r="K394" s="54">
        <f t="shared" si="101"/>
        <v>0</v>
      </c>
      <c r="M394" s="192" t="str">
        <f t="shared" si="102"/>
        <v>9500/000VALUE ADDED TAX</v>
      </c>
      <c r="N394" s="76"/>
      <c r="P394" s="77"/>
      <c r="Q394" s="57"/>
      <c r="R394" s="31"/>
    </row>
    <row r="395" spans="1:18" x14ac:dyDescent="0.2">
      <c r="A395" s="315"/>
      <c r="B395" s="60" t="s">
        <v>342</v>
      </c>
      <c r="C395" s="317" t="s">
        <v>343</v>
      </c>
      <c r="D395" s="357"/>
      <c r="E395" s="357"/>
      <c r="F395" s="86">
        <f>K395</f>
        <v>0</v>
      </c>
      <c r="G395" s="53">
        <f>SUMIF(JournalsA!D$14:D$920,TrialBalanceA!M395,JournalsA!J$14:J$920)+SUMIF(JournalsA!E$14:E$920,TrialBalanceA!M395,JournalsA!J$14:J$920)</f>
        <v>0</v>
      </c>
      <c r="H395" s="363"/>
      <c r="I395" s="332">
        <f t="shared" si="100"/>
        <v>0</v>
      </c>
      <c r="J395" s="81"/>
      <c r="K395" s="54">
        <f t="shared" si="101"/>
        <v>0</v>
      </c>
      <c r="M395" s="192" t="str">
        <f t="shared" si="102"/>
        <v>9501/000VAT account</v>
      </c>
      <c r="N395" s="76"/>
      <c r="P395" s="77"/>
      <c r="Q395" s="57"/>
      <c r="R395" s="31"/>
    </row>
    <row r="396" spans="1:18" x14ac:dyDescent="0.2">
      <c r="A396" s="315"/>
      <c r="B396" s="60" t="s">
        <v>344</v>
      </c>
      <c r="C396" s="317" t="s">
        <v>30</v>
      </c>
      <c r="D396" s="359"/>
      <c r="E396" s="348"/>
      <c r="F396" s="86"/>
      <c r="G396" s="53">
        <f>SUMIF(JournalsA!D$14:D$920,TrialBalanceA!M396,JournalsA!J$14:J$920)+SUMIF(JournalsA!E$14:E$920,TrialBalanceA!M396,JournalsA!J$14:J$920)</f>
        <v>0</v>
      </c>
      <c r="H396" s="363"/>
      <c r="I396" s="332">
        <f t="shared" si="100"/>
        <v>0</v>
      </c>
      <c r="J396" s="81"/>
      <c r="K396" s="54">
        <f t="shared" si="101"/>
        <v>0</v>
      </c>
      <c r="M396" s="192" t="str">
        <f t="shared" si="102"/>
        <v>9510/000----------------------------------------</v>
      </c>
      <c r="N396" s="76"/>
      <c r="P396" s="77"/>
      <c r="Q396" s="57"/>
      <c r="R396" s="31"/>
    </row>
    <row r="397" spans="1:18" x14ac:dyDescent="0.2">
      <c r="A397" s="315"/>
      <c r="B397" s="60" t="s">
        <v>345</v>
      </c>
      <c r="C397" s="316" t="s">
        <v>804</v>
      </c>
      <c r="D397" s="358"/>
      <c r="E397" s="348"/>
      <c r="F397" s="86">
        <f>K397</f>
        <v>0</v>
      </c>
      <c r="G397" s="53">
        <f>SUMIF(JournalsA!D$14:D$920,TrialBalanceA!M397,JournalsA!J$14:J$920)+SUMIF(JournalsA!E$14:E$920,TrialBalanceA!M397,JournalsA!J$14:J$920)</f>
        <v>0</v>
      </c>
      <c r="H397" s="363"/>
      <c r="I397" s="332">
        <f t="shared" si="100"/>
        <v>0</v>
      </c>
      <c r="J397" s="81"/>
      <c r="K397" s="54">
        <f t="shared" si="101"/>
        <v>0</v>
      </c>
      <c r="M397" s="192" t="str">
        <f t="shared" si="102"/>
        <v>9990/000Suspense account</v>
      </c>
      <c r="N397" s="76"/>
      <c r="P397" s="77"/>
      <c r="Q397" s="57"/>
      <c r="R397" s="31"/>
    </row>
    <row r="398" spans="1:18" x14ac:dyDescent="0.2">
      <c r="A398" s="315"/>
      <c r="B398" s="60"/>
      <c r="C398" s="60"/>
      <c r="D398" s="357"/>
      <c r="E398" s="348"/>
      <c r="F398" s="86"/>
      <c r="G398" s="53"/>
      <c r="H398" s="363"/>
      <c r="I398" s="332"/>
      <c r="J398" s="81"/>
      <c r="K398" s="54"/>
      <c r="M398" s="192"/>
      <c r="N398" s="76"/>
      <c r="P398" s="77"/>
      <c r="Q398" s="57"/>
      <c r="R398" s="31"/>
    </row>
    <row r="399" spans="1:18" x14ac:dyDescent="0.2">
      <c r="A399" s="315"/>
      <c r="B399" s="60" t="s">
        <v>233</v>
      </c>
      <c r="C399" s="61" t="s">
        <v>233</v>
      </c>
      <c r="D399" s="339"/>
      <c r="E399" s="339"/>
      <c r="F399" s="89"/>
      <c r="G399" s="53"/>
      <c r="H399" s="363"/>
      <c r="I399" s="332"/>
      <c r="J399" s="81"/>
      <c r="K399" s="54"/>
      <c r="M399" s="192">
        <v>0</v>
      </c>
      <c r="N399" s="76"/>
      <c r="P399" s="79"/>
      <c r="Q399" s="79"/>
      <c r="R399" s="31"/>
    </row>
    <row r="400" spans="1:18" ht="13.5" thickBot="1" x14ac:dyDescent="0.25">
      <c r="A400" s="47">
        <f>SUM(A6:A399)</f>
        <v>0</v>
      </c>
      <c r="B400" s="60" t="s">
        <v>233</v>
      </c>
      <c r="C400" s="61" t="s">
        <v>233</v>
      </c>
      <c r="D400" s="47">
        <f>SUM(D6:D399)</f>
        <v>0</v>
      </c>
      <c r="E400" s="47">
        <f>SUM(E6:E399)</f>
        <v>0</v>
      </c>
      <c r="F400" s="47">
        <f>SUM(F6:F399)</f>
        <v>0</v>
      </c>
      <c r="G400" s="47">
        <f>SUM(G6:G399)</f>
        <v>0</v>
      </c>
      <c r="H400" s="47"/>
      <c r="I400" s="162">
        <f>SUM(I6:I399)</f>
        <v>0</v>
      </c>
      <c r="J400" s="47"/>
      <c r="K400" s="47">
        <f>SUM(K6:K399)</f>
        <v>0</v>
      </c>
      <c r="M400" s="192">
        <v>0</v>
      </c>
      <c r="N400" s="80"/>
      <c r="O400" s="80"/>
      <c r="P400" s="80"/>
      <c r="Q400" s="80"/>
      <c r="R400" s="80"/>
    </row>
    <row r="401" spans="1:17" ht="13.5" thickTop="1" x14ac:dyDescent="0.2">
      <c r="A401" s="44"/>
      <c r="B401" s="48"/>
      <c r="C401" s="51"/>
      <c r="D401" s="45"/>
      <c r="E401" s="45"/>
      <c r="F401" s="45"/>
      <c r="G401" s="45"/>
      <c r="H401" s="45"/>
      <c r="I401" s="207"/>
      <c r="J401" s="65"/>
      <c r="K401" s="44"/>
      <c r="P401" s="45"/>
      <c r="Q401" s="45"/>
    </row>
    <row r="402" spans="1:17" x14ac:dyDescent="0.2">
      <c r="A402" s="44"/>
      <c r="B402" s="48"/>
      <c r="C402" s="51"/>
      <c r="D402" s="45"/>
      <c r="E402" s="45"/>
      <c r="F402" s="45"/>
      <c r="G402" s="45"/>
      <c r="H402" s="45"/>
      <c r="K402" s="48"/>
      <c r="P402" s="45"/>
      <c r="Q402" s="45"/>
    </row>
    <row r="403" spans="1:17" x14ac:dyDescent="0.2">
      <c r="A403" s="44"/>
      <c r="B403" s="48"/>
      <c r="C403" s="51"/>
      <c r="D403" s="45"/>
      <c r="E403" s="45"/>
      <c r="F403" s="45"/>
      <c r="G403" s="45"/>
      <c r="H403" s="45"/>
      <c r="K403" s="48"/>
      <c r="P403" s="45"/>
      <c r="Q403" s="45"/>
    </row>
    <row r="404" spans="1:17" x14ac:dyDescent="0.2">
      <c r="A404" s="44"/>
      <c r="B404" s="48"/>
      <c r="C404" s="51"/>
      <c r="D404" s="45"/>
      <c r="E404" s="45"/>
      <c r="F404" s="45"/>
      <c r="G404" s="45"/>
      <c r="H404" s="45"/>
      <c r="K404" s="48"/>
      <c r="P404" s="45"/>
      <c r="Q404" s="45"/>
    </row>
    <row r="405" spans="1:17" x14ac:dyDescent="0.2">
      <c r="A405" s="44"/>
      <c r="B405" s="48"/>
      <c r="C405" s="51"/>
      <c r="D405" s="45"/>
      <c r="E405" s="45"/>
      <c r="F405" s="45"/>
      <c r="G405" s="45"/>
      <c r="H405" s="45"/>
      <c r="K405" s="48"/>
      <c r="P405" s="45"/>
      <c r="Q405" s="45"/>
    </row>
    <row r="406" spans="1:17" x14ac:dyDescent="0.2">
      <c r="A406" s="44"/>
      <c r="B406" s="48"/>
      <c r="C406" s="51"/>
      <c r="D406" s="45"/>
      <c r="E406" s="45"/>
      <c r="F406" s="45"/>
      <c r="G406" s="45"/>
      <c r="H406" s="45"/>
      <c r="K406" s="48"/>
      <c r="P406" s="45"/>
      <c r="Q406" s="45"/>
    </row>
    <row r="407" spans="1:17" x14ac:dyDescent="0.2">
      <c r="A407" s="44"/>
      <c r="B407" s="48"/>
      <c r="C407" s="51"/>
      <c r="D407" s="45"/>
      <c r="E407" s="45"/>
      <c r="F407" s="45"/>
      <c r="G407" s="45"/>
      <c r="H407" s="45"/>
      <c r="K407" s="48"/>
      <c r="P407" s="45"/>
      <c r="Q407" s="45"/>
    </row>
    <row r="408" spans="1:17" x14ac:dyDescent="0.2">
      <c r="A408" s="44"/>
      <c r="B408" s="48"/>
      <c r="C408" s="51"/>
      <c r="D408" s="45"/>
      <c r="E408" s="45"/>
      <c r="F408" s="45"/>
      <c r="G408" s="45"/>
      <c r="H408" s="45"/>
      <c r="K408" s="48"/>
      <c r="P408" s="45" t="s">
        <v>104</v>
      </c>
      <c r="Q408" s="45" t="s">
        <v>104</v>
      </c>
    </row>
    <row r="409" spans="1:17" x14ac:dyDescent="0.2">
      <c r="A409" s="44"/>
      <c r="B409" s="48"/>
      <c r="C409" s="51"/>
      <c r="D409" s="45"/>
      <c r="E409" s="45"/>
      <c r="F409" s="45"/>
      <c r="G409" s="45"/>
      <c r="H409" s="45"/>
      <c r="K409" s="48"/>
      <c r="P409" s="45" t="s">
        <v>104</v>
      </c>
      <c r="Q409" s="45" t="s">
        <v>104</v>
      </c>
    </row>
    <row r="410" spans="1:17" x14ac:dyDescent="0.2">
      <c r="A410" s="44"/>
      <c r="B410" s="48"/>
      <c r="C410" s="51"/>
      <c r="D410" s="45"/>
      <c r="E410" s="45"/>
      <c r="F410" s="45"/>
      <c r="G410" s="45"/>
      <c r="H410" s="45"/>
      <c r="K410" s="48"/>
      <c r="P410" s="45" t="s">
        <v>104</v>
      </c>
      <c r="Q410" s="45" t="s">
        <v>104</v>
      </c>
    </row>
    <row r="411" spans="1:17" x14ac:dyDescent="0.2">
      <c r="A411" s="44"/>
      <c r="B411" s="48"/>
      <c r="C411" s="51"/>
      <c r="D411" s="45"/>
      <c r="E411" s="45"/>
      <c r="F411" s="45"/>
      <c r="G411" s="45"/>
      <c r="H411" s="45"/>
      <c r="K411" s="48"/>
      <c r="P411" s="45" t="s">
        <v>104</v>
      </c>
      <c r="Q411" s="45" t="s">
        <v>104</v>
      </c>
    </row>
    <row r="412" spans="1:17" x14ac:dyDescent="0.2">
      <c r="A412" s="44"/>
      <c r="B412" s="48"/>
      <c r="C412" s="51"/>
      <c r="D412" s="45"/>
      <c r="E412" s="45"/>
      <c r="F412" s="45"/>
      <c r="G412" s="45"/>
      <c r="H412" s="45"/>
      <c r="K412" s="48"/>
      <c r="P412" s="45" t="s">
        <v>104</v>
      </c>
      <c r="Q412" s="45" t="s">
        <v>104</v>
      </c>
    </row>
    <row r="413" spans="1:17" x14ac:dyDescent="0.2">
      <c r="A413" s="44"/>
      <c r="B413" s="48"/>
      <c r="C413" s="51"/>
      <c r="D413" s="45"/>
      <c r="E413" s="45"/>
      <c r="F413" s="45"/>
      <c r="G413" s="45"/>
      <c r="H413" s="45"/>
      <c r="K413" s="48"/>
      <c r="P413" s="45"/>
      <c r="Q413" s="45"/>
    </row>
    <row r="414" spans="1:17" x14ac:dyDescent="0.2">
      <c r="A414" s="44"/>
      <c r="B414" s="48"/>
      <c r="C414" s="51"/>
      <c r="D414" s="45"/>
      <c r="E414" s="45"/>
      <c r="F414" s="45"/>
      <c r="G414" s="45"/>
      <c r="H414" s="45"/>
      <c r="K414" s="48"/>
      <c r="P414" s="45"/>
      <c r="Q414" s="45"/>
    </row>
    <row r="415" spans="1:17" x14ac:dyDescent="0.2">
      <c r="A415" s="44"/>
      <c r="B415" s="48"/>
      <c r="C415" s="51"/>
      <c r="D415" s="45"/>
      <c r="E415" s="45"/>
      <c r="F415" s="45"/>
      <c r="G415" s="45"/>
      <c r="H415" s="45"/>
      <c r="K415" s="48"/>
      <c r="P415" s="45"/>
      <c r="Q415" s="45"/>
    </row>
    <row r="416" spans="1:17" x14ac:dyDescent="0.2">
      <c r="A416" s="44"/>
      <c r="B416" s="48"/>
      <c r="C416" s="51"/>
      <c r="D416" s="45"/>
      <c r="E416" s="45"/>
      <c r="F416" s="45"/>
      <c r="G416" s="45"/>
      <c r="H416" s="45"/>
      <c r="K416" s="48"/>
      <c r="P416" s="45"/>
      <c r="Q416" s="45"/>
    </row>
    <row r="417" spans="1:17" x14ac:dyDescent="0.2">
      <c r="A417" s="44"/>
      <c r="B417" s="48"/>
      <c r="C417" s="51"/>
      <c r="D417" s="45"/>
      <c r="E417" s="45"/>
      <c r="F417" s="45"/>
      <c r="G417" s="45"/>
      <c r="H417" s="45"/>
      <c r="K417" s="48"/>
      <c r="P417" s="45"/>
      <c r="Q417" s="45"/>
    </row>
    <row r="418" spans="1:17" x14ac:dyDescent="0.2">
      <c r="A418" s="44"/>
      <c r="B418" s="48"/>
      <c r="C418" s="51"/>
      <c r="D418" s="45"/>
      <c r="E418" s="45"/>
      <c r="F418" s="45"/>
      <c r="G418" s="45"/>
      <c r="H418" s="45"/>
      <c r="K418" s="48"/>
      <c r="P418" s="45"/>
      <c r="Q418" s="45"/>
    </row>
    <row r="419" spans="1:17" x14ac:dyDescent="0.2">
      <c r="A419" s="44"/>
      <c r="B419" s="48"/>
      <c r="C419" s="51"/>
      <c r="D419" s="45"/>
      <c r="E419" s="45"/>
      <c r="F419" s="45"/>
      <c r="G419" s="45"/>
      <c r="H419" s="45"/>
      <c r="K419" s="48"/>
      <c r="P419" s="45"/>
      <c r="Q419" s="45"/>
    </row>
    <row r="420" spans="1:17" x14ac:dyDescent="0.2">
      <c r="A420" s="44"/>
      <c r="B420" s="48"/>
      <c r="C420" s="51"/>
      <c r="D420" s="45"/>
      <c r="E420" s="45"/>
      <c r="F420" s="45"/>
      <c r="G420" s="45"/>
      <c r="H420" s="45"/>
      <c r="K420" s="48"/>
      <c r="P420" s="45"/>
      <c r="Q420" s="45"/>
    </row>
    <row r="421" spans="1:17" x14ac:dyDescent="0.2">
      <c r="A421" s="44"/>
      <c r="B421" s="48"/>
      <c r="C421" s="51"/>
      <c r="D421" s="45"/>
      <c r="E421" s="45"/>
      <c r="F421" s="45"/>
      <c r="G421" s="45"/>
      <c r="H421" s="45"/>
      <c r="K421" s="48"/>
      <c r="P421" s="45"/>
      <c r="Q421" s="45"/>
    </row>
    <row r="422" spans="1:17" x14ac:dyDescent="0.2">
      <c r="A422" s="44"/>
      <c r="B422" s="48"/>
      <c r="C422" s="51"/>
      <c r="D422" s="45"/>
      <c r="E422" s="45"/>
      <c r="F422" s="45"/>
      <c r="G422" s="45"/>
      <c r="H422" s="45"/>
      <c r="K422" s="48"/>
      <c r="P422" s="45"/>
      <c r="Q422" s="45"/>
    </row>
    <row r="423" spans="1:17" x14ac:dyDescent="0.2">
      <c r="A423" s="44"/>
      <c r="B423" s="48"/>
      <c r="C423" s="51"/>
      <c r="D423" s="45"/>
      <c r="E423" s="45"/>
      <c r="F423" s="45"/>
      <c r="G423" s="45"/>
      <c r="H423" s="45"/>
      <c r="K423" s="48"/>
      <c r="P423" s="45"/>
      <c r="Q423" s="45"/>
    </row>
    <row r="424" spans="1:17" x14ac:dyDescent="0.2">
      <c r="A424" s="44"/>
      <c r="B424" s="48"/>
      <c r="C424" s="51"/>
      <c r="D424" s="45"/>
      <c r="E424" s="45"/>
      <c r="F424" s="45"/>
      <c r="G424" s="45"/>
      <c r="H424" s="45"/>
      <c r="K424" s="48"/>
      <c r="P424" s="45"/>
      <c r="Q424" s="45"/>
    </row>
    <row r="425" spans="1:17" x14ac:dyDescent="0.2">
      <c r="A425" s="44"/>
      <c r="B425" s="48"/>
      <c r="C425" s="51"/>
      <c r="D425" s="45"/>
      <c r="E425" s="45"/>
      <c r="F425" s="45"/>
      <c r="G425" s="45"/>
      <c r="H425" s="45"/>
      <c r="K425" s="48"/>
      <c r="P425" s="45"/>
      <c r="Q425" s="45"/>
    </row>
    <row r="426" spans="1:17" x14ac:dyDescent="0.2">
      <c r="A426" s="44"/>
      <c r="B426" s="48"/>
      <c r="C426" s="51"/>
      <c r="D426" s="45"/>
      <c r="E426" s="45"/>
      <c r="F426" s="45"/>
      <c r="G426" s="45"/>
      <c r="H426" s="45"/>
      <c r="K426" s="48"/>
      <c r="P426" s="45"/>
      <c r="Q426" s="45"/>
    </row>
    <row r="427" spans="1:17" x14ac:dyDescent="0.2">
      <c r="A427" s="44"/>
      <c r="B427" s="48"/>
      <c r="C427" s="51"/>
      <c r="G427" s="45"/>
      <c r="H427" s="45"/>
      <c r="K427" s="48"/>
      <c r="P427" s="45"/>
      <c r="Q427" s="45"/>
    </row>
    <row r="428" spans="1:17" x14ac:dyDescent="0.2">
      <c r="P428" s="14"/>
      <c r="Q428" s="14"/>
    </row>
  </sheetData>
  <sheetProtection algorithmName="SHA-512" hashValue="hWejemiTnF+s21Yw5bNB8o4KUgOw6utJe7ojYyJhHrV/9B3RRYbYeBb81wHgyraU025851btI7GHlHm0ViH7AQ==" saltValue="kTtIgtTg8BNxU8NLJ5S4Yw==" spinCount="100000" sheet="1" objects="1" scenarios="1" formatColumns="0" selectLockedCells="1"/>
  <mergeCells count="1">
    <mergeCell ref="D2:E2"/>
  </mergeCells>
  <hyperlinks>
    <hyperlink ref="B6" location="bank2!A1" display="1000/001" xr:uid="{25140F35-C323-4713-84F6-C50B3B9CDE7F}"/>
    <hyperlink ref="B14" location="bank2!A1" display="2000/010" xr:uid="{7EB4243E-DE9B-4826-A021-9D4CA612247E}"/>
    <hyperlink ref="B15" location="bank2!A1" display="2000/011" xr:uid="{79391743-9494-4631-850F-537D2BEF2173}"/>
    <hyperlink ref="C1" location="TrialBalance!A1" display="TrialBalance!A1" xr:uid="{379A1FED-5D69-48C4-8690-D0443BF52FA5}"/>
  </hyperlinks>
  <pageMargins left="0.75" right="0.75" top="1" bottom="1" header="0.5" footer="0.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3E002-9AEC-4D61-BAD3-4B83DD557B57}">
  <dimension ref="A1:M486"/>
  <sheetViews>
    <sheetView view="pageBreakPreview" zoomScale="85" zoomScaleNormal="85" zoomScaleSheetLayoutView="85" workbookViewId="0">
      <pane ySplit="13" topLeftCell="A14" activePane="bottomLeft" state="frozen"/>
      <selection pane="bottomLeft" activeCell="D15" sqref="D15"/>
    </sheetView>
  </sheetViews>
  <sheetFormatPr defaultColWidth="11.28515625" defaultRowHeight="15.75" x14ac:dyDescent="0.25"/>
  <cols>
    <col min="1" max="1" width="12.28515625" style="2" bestFit="1" customWidth="1"/>
    <col min="2" max="2" width="5.85546875" style="5" customWidth="1"/>
    <col min="3" max="3" width="38.42578125" style="2" customWidth="1"/>
    <col min="4" max="4" width="30" style="2" customWidth="1"/>
    <col min="5" max="5" width="35.42578125" style="2" customWidth="1"/>
    <col min="6" max="6" width="16.85546875" style="4" customWidth="1"/>
    <col min="7" max="7" width="16.140625" style="4" bestFit="1" customWidth="1"/>
    <col min="8" max="8" width="15.7109375" style="4" bestFit="1" customWidth="1"/>
    <col min="9" max="9" width="16.140625" style="4" bestFit="1" customWidth="1"/>
    <col min="10" max="10" width="15.7109375" style="2" bestFit="1" customWidth="1"/>
    <col min="11" max="13" width="11.28515625" style="2" bestFit="1" customWidth="1"/>
    <col min="14" max="255" width="11.28515625" bestFit="1" customWidth="1"/>
  </cols>
  <sheetData>
    <row r="1" spans="1:13" x14ac:dyDescent="0.25">
      <c r="H1" s="41"/>
      <c r="I1" s="41"/>
    </row>
    <row r="2" spans="1:13" x14ac:dyDescent="0.25">
      <c r="C2" s="3" t="str">
        <f>Criteria!E9</f>
        <v>ABC TRUST</v>
      </c>
    </row>
    <row r="3" spans="1:13" x14ac:dyDescent="0.25">
      <c r="H3" s="84" t="s">
        <v>90</v>
      </c>
      <c r="I3" s="84"/>
    </row>
    <row r="4" spans="1:13" x14ac:dyDescent="0.25">
      <c r="C4" s="3" t="s">
        <v>89</v>
      </c>
      <c r="D4" s="41" t="str">
        <f>Criteria!E20</f>
        <v>29 FEBRUARY 2024</v>
      </c>
    </row>
    <row r="5" spans="1:13" x14ac:dyDescent="0.25">
      <c r="H5" s="84" t="s">
        <v>91</v>
      </c>
      <c r="I5" s="84"/>
    </row>
    <row r="6" spans="1:13" x14ac:dyDescent="0.25">
      <c r="C6" s="3" t="s">
        <v>178</v>
      </c>
      <c r="H6" s="41"/>
      <c r="I6" s="41"/>
    </row>
    <row r="7" spans="1:13" x14ac:dyDescent="0.25">
      <c r="C7" s="6"/>
      <c r="D7" s="6"/>
      <c r="E7" s="6"/>
      <c r="F7" s="85"/>
      <c r="G7" s="85"/>
      <c r="H7" s="85"/>
      <c r="I7" s="85"/>
    </row>
    <row r="8" spans="1:13" x14ac:dyDescent="0.25">
      <c r="D8" s="8" t="str">
        <f>IF(F8=0," ","OUT OF BALANCE")</f>
        <v xml:space="preserve"> </v>
      </c>
      <c r="E8" s="8"/>
      <c r="F8" s="4">
        <f>ROUND(F484-G484+H484-I484,2)</f>
        <v>0</v>
      </c>
    </row>
    <row r="9" spans="1:13" x14ac:dyDescent="0.25">
      <c r="D9" s="8" t="s">
        <v>296</v>
      </c>
      <c r="E9" s="8"/>
      <c r="F9" s="4">
        <f>F486</f>
        <v>0</v>
      </c>
    </row>
    <row r="10" spans="1:13" x14ac:dyDescent="0.25">
      <c r="D10" s="8"/>
      <c r="E10" s="8"/>
    </row>
    <row r="11" spans="1:13" x14ac:dyDescent="0.25">
      <c r="A11" s="40" t="s">
        <v>271</v>
      </c>
      <c r="F11" s="511"/>
      <c r="G11" s="511"/>
      <c r="H11" s="511"/>
      <c r="I11" s="511"/>
    </row>
    <row r="12" spans="1:13" x14ac:dyDescent="0.25">
      <c r="A12" s="40" t="s">
        <v>628</v>
      </c>
      <c r="F12" s="511" t="s">
        <v>349</v>
      </c>
      <c r="G12" s="511"/>
      <c r="H12" s="511" t="s">
        <v>101</v>
      </c>
      <c r="I12" s="511"/>
    </row>
    <row r="13" spans="1:13" x14ac:dyDescent="0.25">
      <c r="A13" s="40" t="s">
        <v>272</v>
      </c>
      <c r="B13" s="32" t="s">
        <v>177</v>
      </c>
      <c r="C13" s="32" t="s">
        <v>231</v>
      </c>
      <c r="D13" s="32" t="s">
        <v>252</v>
      </c>
      <c r="E13" s="32" t="s">
        <v>421</v>
      </c>
      <c r="F13" s="22" t="s">
        <v>234</v>
      </c>
      <c r="G13" s="22" t="s">
        <v>235</v>
      </c>
      <c r="H13" s="22" t="s">
        <v>234</v>
      </c>
      <c r="I13" s="22" t="s">
        <v>235</v>
      </c>
    </row>
    <row r="14" spans="1:13" x14ac:dyDescent="0.25">
      <c r="A14" s="40"/>
    </row>
    <row r="15" spans="1:13" x14ac:dyDescent="0.25">
      <c r="A15" s="40" t="str">
        <f t="shared" ref="A15:A78" si="0">IF(COUNTIF(K15:M15,"ERROR")&gt;0,"ERROR"," ")</f>
        <v xml:space="preserve"> </v>
      </c>
      <c r="B15" s="5">
        <v>1</v>
      </c>
      <c r="D15" s="39"/>
      <c r="E15" s="39"/>
      <c r="J15" s="15">
        <f>F15-G15+H15-I15</f>
        <v>0</v>
      </c>
      <c r="K15" s="2" t="str">
        <f>IF(COUNTA(D15:E15)=2,"ERROR"," ")</f>
        <v xml:space="preserve"> </v>
      </c>
      <c r="L15" s="2" t="str">
        <f t="shared" ref="L15:L78" si="1">IF(D15=0," ",IF(COUNTIF(ProfitLoss2,D15)&gt;0," ","ERROR"))</f>
        <v xml:space="preserve"> </v>
      </c>
      <c r="M15" s="2" t="str">
        <f t="shared" ref="M15:M78" si="2">IF(E15=0," ",IF(COUNTIF(BalanceSheetA,E15)&gt;0," ","ERROR"))</f>
        <v xml:space="preserve"> </v>
      </c>
    </row>
    <row r="16" spans="1:13" x14ac:dyDescent="0.25">
      <c r="A16" s="40" t="str">
        <f t="shared" si="0"/>
        <v xml:space="preserve"> </v>
      </c>
      <c r="B16" s="25"/>
      <c r="D16" s="39"/>
      <c r="E16" s="39"/>
      <c r="J16" s="15">
        <f t="shared" ref="J16:J79" si="3">F16-G16+H16-I16</f>
        <v>0</v>
      </c>
      <c r="K16" s="2" t="str">
        <f t="shared" ref="K16:K79" si="4">IF(COUNTA(D16:E16)=2,"ERROR"," ")</f>
        <v xml:space="preserve"> </v>
      </c>
      <c r="L16" s="2" t="str">
        <f t="shared" si="1"/>
        <v xml:space="preserve"> </v>
      </c>
      <c r="M16" s="2" t="str">
        <f t="shared" si="2"/>
        <v xml:space="preserve"> </v>
      </c>
    </row>
    <row r="17" spans="1:13" x14ac:dyDescent="0.25">
      <c r="A17" s="40" t="str">
        <f t="shared" si="0"/>
        <v xml:space="preserve"> </v>
      </c>
      <c r="D17" s="39"/>
      <c r="E17" s="39"/>
      <c r="J17" s="15">
        <f t="shared" si="3"/>
        <v>0</v>
      </c>
      <c r="K17" s="2" t="str">
        <f t="shared" si="4"/>
        <v xml:space="preserve"> </v>
      </c>
      <c r="L17" s="2" t="str">
        <f t="shared" si="1"/>
        <v xml:space="preserve"> </v>
      </c>
      <c r="M17" s="2" t="str">
        <f t="shared" si="2"/>
        <v xml:space="preserve"> </v>
      </c>
    </row>
    <row r="18" spans="1:13" x14ac:dyDescent="0.25">
      <c r="A18" s="40" t="str">
        <f t="shared" si="0"/>
        <v xml:space="preserve"> </v>
      </c>
      <c r="D18" s="39"/>
      <c r="E18" s="39"/>
      <c r="J18" s="15">
        <f t="shared" si="3"/>
        <v>0</v>
      </c>
      <c r="K18" s="2" t="str">
        <f t="shared" si="4"/>
        <v xml:space="preserve"> </v>
      </c>
      <c r="L18" s="2" t="str">
        <f t="shared" si="1"/>
        <v xml:space="preserve"> </v>
      </c>
      <c r="M18" s="2" t="str">
        <f t="shared" si="2"/>
        <v xml:space="preserve"> </v>
      </c>
    </row>
    <row r="19" spans="1:13" x14ac:dyDescent="0.25">
      <c r="A19" s="40" t="str">
        <f t="shared" si="0"/>
        <v xml:space="preserve"> </v>
      </c>
      <c r="D19" s="39"/>
      <c r="E19" s="39"/>
      <c r="J19" s="15">
        <f t="shared" si="3"/>
        <v>0</v>
      </c>
      <c r="K19" s="2" t="str">
        <f t="shared" si="4"/>
        <v xml:space="preserve"> </v>
      </c>
      <c r="L19" s="2" t="str">
        <f t="shared" si="1"/>
        <v xml:space="preserve"> </v>
      </c>
      <c r="M19" s="2" t="str">
        <f t="shared" si="2"/>
        <v xml:space="preserve"> </v>
      </c>
    </row>
    <row r="20" spans="1:13" x14ac:dyDescent="0.25">
      <c r="A20" s="40" t="str">
        <f t="shared" si="0"/>
        <v xml:space="preserve"> </v>
      </c>
      <c r="D20" s="39"/>
      <c r="E20" s="39"/>
      <c r="J20" s="15">
        <f t="shared" si="3"/>
        <v>0</v>
      </c>
      <c r="K20" s="2" t="str">
        <f t="shared" si="4"/>
        <v xml:space="preserve"> </v>
      </c>
      <c r="L20" s="2" t="str">
        <f t="shared" si="1"/>
        <v xml:space="preserve"> </v>
      </c>
      <c r="M20" s="2" t="str">
        <f t="shared" si="2"/>
        <v xml:space="preserve"> </v>
      </c>
    </row>
    <row r="21" spans="1:13" x14ac:dyDescent="0.25">
      <c r="A21" s="40" t="str">
        <f t="shared" si="0"/>
        <v xml:space="preserve"> </v>
      </c>
      <c r="D21" s="39"/>
      <c r="E21" s="39"/>
      <c r="J21" s="15">
        <f t="shared" si="3"/>
        <v>0</v>
      </c>
      <c r="K21" s="2" t="str">
        <f t="shared" si="4"/>
        <v xml:space="preserve"> </v>
      </c>
      <c r="L21" s="2" t="str">
        <f t="shared" si="1"/>
        <v xml:space="preserve"> </v>
      </c>
      <c r="M21" s="2" t="str">
        <f t="shared" si="2"/>
        <v xml:space="preserve"> </v>
      </c>
    </row>
    <row r="22" spans="1:13" x14ac:dyDescent="0.25">
      <c r="A22" s="40" t="str">
        <f t="shared" si="0"/>
        <v xml:space="preserve"> </v>
      </c>
      <c r="D22" s="39"/>
      <c r="E22" s="39"/>
      <c r="J22" s="15">
        <f t="shared" si="3"/>
        <v>0</v>
      </c>
      <c r="K22" s="2" t="str">
        <f t="shared" si="4"/>
        <v xml:space="preserve"> </v>
      </c>
      <c r="L22" s="2" t="str">
        <f t="shared" si="1"/>
        <v xml:space="preserve"> </v>
      </c>
      <c r="M22" s="2" t="str">
        <f t="shared" si="2"/>
        <v xml:space="preserve"> </v>
      </c>
    </row>
    <row r="23" spans="1:13" x14ac:dyDescent="0.25">
      <c r="A23" s="40" t="str">
        <f t="shared" si="0"/>
        <v xml:space="preserve"> </v>
      </c>
      <c r="D23" s="39"/>
      <c r="E23" s="39"/>
      <c r="J23" s="15">
        <f t="shared" si="3"/>
        <v>0</v>
      </c>
      <c r="K23" s="2" t="str">
        <f t="shared" si="4"/>
        <v xml:space="preserve"> </v>
      </c>
      <c r="L23" s="2" t="str">
        <f t="shared" si="1"/>
        <v xml:space="preserve"> </v>
      </c>
      <c r="M23" s="2" t="str">
        <f t="shared" si="2"/>
        <v xml:space="preserve"> </v>
      </c>
    </row>
    <row r="24" spans="1:13" x14ac:dyDescent="0.25">
      <c r="A24" s="40" t="str">
        <f t="shared" si="0"/>
        <v xml:space="preserve"> </v>
      </c>
      <c r="D24" s="39"/>
      <c r="E24" s="39"/>
      <c r="J24" s="15">
        <f t="shared" si="3"/>
        <v>0</v>
      </c>
      <c r="K24" s="2" t="str">
        <f t="shared" si="4"/>
        <v xml:space="preserve"> </v>
      </c>
      <c r="L24" s="2" t="str">
        <f t="shared" si="1"/>
        <v xml:space="preserve"> </v>
      </c>
      <c r="M24" s="2" t="str">
        <f t="shared" si="2"/>
        <v xml:space="preserve"> </v>
      </c>
    </row>
    <row r="25" spans="1:13" x14ac:dyDescent="0.25">
      <c r="A25" s="40" t="str">
        <f t="shared" si="0"/>
        <v xml:space="preserve"> </v>
      </c>
      <c r="C25" s="58"/>
      <c r="D25" s="39"/>
      <c r="E25" s="39"/>
      <c r="J25" s="15">
        <f t="shared" si="3"/>
        <v>0</v>
      </c>
      <c r="K25" s="2" t="str">
        <f t="shared" si="4"/>
        <v xml:space="preserve"> </v>
      </c>
      <c r="L25" s="2" t="str">
        <f t="shared" si="1"/>
        <v xml:space="preserve"> </v>
      </c>
      <c r="M25" s="2" t="str">
        <f t="shared" si="2"/>
        <v xml:space="preserve"> </v>
      </c>
    </row>
    <row r="26" spans="1:13" x14ac:dyDescent="0.25">
      <c r="A26" s="40" t="str">
        <f t="shared" si="0"/>
        <v xml:space="preserve"> </v>
      </c>
      <c r="D26" s="39"/>
      <c r="E26" s="39"/>
      <c r="J26" s="15">
        <f t="shared" si="3"/>
        <v>0</v>
      </c>
      <c r="K26" s="2" t="str">
        <f t="shared" si="4"/>
        <v xml:space="preserve"> </v>
      </c>
      <c r="L26" s="2" t="str">
        <f t="shared" si="1"/>
        <v xml:space="preserve"> </v>
      </c>
      <c r="M26" s="2" t="str">
        <f t="shared" si="2"/>
        <v xml:space="preserve"> </v>
      </c>
    </row>
    <row r="27" spans="1:13" x14ac:dyDescent="0.25">
      <c r="A27" s="40" t="str">
        <f t="shared" si="0"/>
        <v xml:space="preserve"> </v>
      </c>
      <c r="D27" s="39"/>
      <c r="E27" s="39"/>
      <c r="J27" s="15">
        <f t="shared" si="3"/>
        <v>0</v>
      </c>
      <c r="K27" s="2" t="str">
        <f t="shared" si="4"/>
        <v xml:space="preserve"> </v>
      </c>
      <c r="L27" s="2" t="str">
        <f t="shared" si="1"/>
        <v xml:space="preserve"> </v>
      </c>
      <c r="M27" s="2" t="str">
        <f t="shared" si="2"/>
        <v xml:space="preserve"> </v>
      </c>
    </row>
    <row r="28" spans="1:13" x14ac:dyDescent="0.25">
      <c r="A28" s="40" t="str">
        <f t="shared" si="0"/>
        <v xml:space="preserve"> </v>
      </c>
      <c r="D28" s="39"/>
      <c r="E28" s="39"/>
      <c r="J28" s="15">
        <f t="shared" si="3"/>
        <v>0</v>
      </c>
      <c r="K28" s="2" t="str">
        <f t="shared" si="4"/>
        <v xml:space="preserve"> </v>
      </c>
      <c r="L28" s="2" t="str">
        <f t="shared" si="1"/>
        <v xml:space="preserve"> </v>
      </c>
      <c r="M28" s="2" t="str">
        <f t="shared" si="2"/>
        <v xml:space="preserve"> </v>
      </c>
    </row>
    <row r="29" spans="1:13" x14ac:dyDescent="0.25">
      <c r="A29" s="40" t="str">
        <f t="shared" si="0"/>
        <v xml:space="preserve"> </v>
      </c>
      <c r="D29" s="39"/>
      <c r="E29" s="39"/>
      <c r="J29" s="15">
        <f t="shared" si="3"/>
        <v>0</v>
      </c>
      <c r="K29" s="2" t="str">
        <f t="shared" si="4"/>
        <v xml:space="preserve"> </v>
      </c>
      <c r="L29" s="2" t="str">
        <f t="shared" si="1"/>
        <v xml:space="preserve"> </v>
      </c>
      <c r="M29" s="2" t="str">
        <f t="shared" si="2"/>
        <v xml:space="preserve"> </v>
      </c>
    </row>
    <row r="30" spans="1:13" x14ac:dyDescent="0.25">
      <c r="A30" s="40" t="str">
        <f t="shared" si="0"/>
        <v xml:space="preserve"> </v>
      </c>
      <c r="D30" s="39"/>
      <c r="E30" s="39"/>
      <c r="J30" s="15">
        <f t="shared" si="3"/>
        <v>0</v>
      </c>
      <c r="K30" s="2" t="str">
        <f t="shared" si="4"/>
        <v xml:space="preserve"> </v>
      </c>
      <c r="L30" s="2" t="str">
        <f t="shared" si="1"/>
        <v xml:space="preserve"> </v>
      </c>
      <c r="M30" s="2" t="str">
        <f t="shared" si="2"/>
        <v xml:space="preserve"> </v>
      </c>
    </row>
    <row r="31" spans="1:13" x14ac:dyDescent="0.25">
      <c r="A31" s="40" t="str">
        <f t="shared" si="0"/>
        <v xml:space="preserve"> </v>
      </c>
      <c r="D31" s="39"/>
      <c r="E31" s="39"/>
      <c r="J31" s="15">
        <f t="shared" si="3"/>
        <v>0</v>
      </c>
      <c r="K31" s="2" t="str">
        <f t="shared" si="4"/>
        <v xml:space="preserve"> </v>
      </c>
      <c r="L31" s="2" t="str">
        <f t="shared" si="1"/>
        <v xml:space="preserve"> </v>
      </c>
      <c r="M31" s="2" t="str">
        <f t="shared" si="2"/>
        <v xml:space="preserve"> </v>
      </c>
    </row>
    <row r="32" spans="1:13" x14ac:dyDescent="0.25">
      <c r="A32" s="40" t="str">
        <f t="shared" si="0"/>
        <v xml:space="preserve"> </v>
      </c>
      <c r="D32" s="39"/>
      <c r="E32" s="39"/>
      <c r="J32" s="15">
        <f t="shared" si="3"/>
        <v>0</v>
      </c>
      <c r="K32" s="2" t="str">
        <f t="shared" si="4"/>
        <v xml:space="preserve"> </v>
      </c>
      <c r="L32" s="2" t="str">
        <f t="shared" si="1"/>
        <v xml:space="preserve"> </v>
      </c>
      <c r="M32" s="2" t="str">
        <f t="shared" si="2"/>
        <v xml:space="preserve"> </v>
      </c>
    </row>
    <row r="33" spans="1:13" x14ac:dyDescent="0.25">
      <c r="A33" s="40" t="str">
        <f t="shared" si="0"/>
        <v xml:space="preserve"> </v>
      </c>
      <c r="D33" s="39"/>
      <c r="E33" s="39"/>
      <c r="J33" s="15">
        <f t="shared" si="3"/>
        <v>0</v>
      </c>
      <c r="K33" s="2" t="str">
        <f t="shared" si="4"/>
        <v xml:space="preserve"> </v>
      </c>
      <c r="L33" s="2" t="str">
        <f t="shared" si="1"/>
        <v xml:space="preserve"> </v>
      </c>
      <c r="M33" s="2" t="str">
        <f t="shared" si="2"/>
        <v xml:space="preserve"> </v>
      </c>
    </row>
    <row r="34" spans="1:13" x14ac:dyDescent="0.25">
      <c r="A34" s="40" t="str">
        <f t="shared" si="0"/>
        <v xml:space="preserve"> </v>
      </c>
      <c r="D34" s="39"/>
      <c r="E34" s="39"/>
      <c r="J34" s="15">
        <f t="shared" si="3"/>
        <v>0</v>
      </c>
      <c r="K34" s="2" t="str">
        <f t="shared" si="4"/>
        <v xml:space="preserve"> </v>
      </c>
      <c r="L34" s="2" t="str">
        <f t="shared" si="1"/>
        <v xml:space="preserve"> </v>
      </c>
      <c r="M34" s="2" t="str">
        <f t="shared" si="2"/>
        <v xml:space="preserve"> </v>
      </c>
    </row>
    <row r="35" spans="1:13" x14ac:dyDescent="0.25">
      <c r="A35" s="40" t="str">
        <f t="shared" si="0"/>
        <v xml:space="preserve"> </v>
      </c>
      <c r="D35" s="39"/>
      <c r="E35" s="39"/>
      <c r="J35" s="15">
        <f t="shared" si="3"/>
        <v>0</v>
      </c>
      <c r="K35" s="2" t="str">
        <f t="shared" si="4"/>
        <v xml:space="preserve"> </v>
      </c>
      <c r="L35" s="2" t="str">
        <f t="shared" si="1"/>
        <v xml:space="preserve"> </v>
      </c>
      <c r="M35" s="2" t="str">
        <f t="shared" si="2"/>
        <v xml:space="preserve"> </v>
      </c>
    </row>
    <row r="36" spans="1:13" x14ac:dyDescent="0.25">
      <c r="A36" s="40" t="str">
        <f t="shared" si="0"/>
        <v xml:space="preserve"> </v>
      </c>
      <c r="D36" s="39"/>
      <c r="E36" s="39"/>
      <c r="J36" s="15">
        <f t="shared" si="3"/>
        <v>0</v>
      </c>
      <c r="K36" s="2" t="str">
        <f t="shared" si="4"/>
        <v xml:space="preserve"> </v>
      </c>
      <c r="L36" s="2" t="str">
        <f t="shared" si="1"/>
        <v xml:space="preserve"> </v>
      </c>
      <c r="M36" s="2" t="str">
        <f t="shared" si="2"/>
        <v xml:space="preserve"> </v>
      </c>
    </row>
    <row r="37" spans="1:13" x14ac:dyDescent="0.25">
      <c r="A37" s="40" t="str">
        <f t="shared" si="0"/>
        <v xml:space="preserve"> </v>
      </c>
      <c r="D37" s="39"/>
      <c r="E37" s="39"/>
      <c r="J37" s="15">
        <f t="shared" si="3"/>
        <v>0</v>
      </c>
      <c r="K37" s="2" t="str">
        <f t="shared" si="4"/>
        <v xml:space="preserve"> </v>
      </c>
      <c r="L37" s="2" t="str">
        <f t="shared" si="1"/>
        <v xml:space="preserve"> </v>
      </c>
      <c r="M37" s="2" t="str">
        <f t="shared" si="2"/>
        <v xml:space="preserve"> </v>
      </c>
    </row>
    <row r="38" spans="1:13" x14ac:dyDescent="0.25">
      <c r="A38" s="40" t="str">
        <f t="shared" si="0"/>
        <v xml:space="preserve"> </v>
      </c>
      <c r="D38" s="39"/>
      <c r="E38" s="39"/>
      <c r="J38" s="15">
        <f t="shared" si="3"/>
        <v>0</v>
      </c>
      <c r="K38" s="2" t="str">
        <f t="shared" si="4"/>
        <v xml:space="preserve"> </v>
      </c>
      <c r="L38" s="2" t="str">
        <f t="shared" si="1"/>
        <v xml:space="preserve"> </v>
      </c>
      <c r="M38" s="2" t="str">
        <f t="shared" si="2"/>
        <v xml:space="preserve"> </v>
      </c>
    </row>
    <row r="39" spans="1:13" x14ac:dyDescent="0.25">
      <c r="A39" s="40" t="str">
        <f t="shared" si="0"/>
        <v xml:space="preserve"> </v>
      </c>
      <c r="D39" s="39"/>
      <c r="E39" s="39"/>
      <c r="J39" s="15">
        <f t="shared" si="3"/>
        <v>0</v>
      </c>
      <c r="K39" s="2" t="str">
        <f t="shared" si="4"/>
        <v xml:space="preserve"> </v>
      </c>
      <c r="L39" s="2" t="str">
        <f t="shared" si="1"/>
        <v xml:space="preserve"> </v>
      </c>
      <c r="M39" s="2" t="str">
        <f t="shared" si="2"/>
        <v xml:space="preserve"> </v>
      </c>
    </row>
    <row r="40" spans="1:13" x14ac:dyDescent="0.25">
      <c r="A40" s="40" t="str">
        <f t="shared" si="0"/>
        <v xml:space="preserve"> </v>
      </c>
      <c r="D40" s="39"/>
      <c r="E40" s="39"/>
      <c r="J40" s="15">
        <f t="shared" si="3"/>
        <v>0</v>
      </c>
      <c r="K40" s="2" t="str">
        <f t="shared" si="4"/>
        <v xml:space="preserve"> </v>
      </c>
      <c r="L40" s="2" t="str">
        <f t="shared" si="1"/>
        <v xml:space="preserve"> </v>
      </c>
      <c r="M40" s="2" t="str">
        <f t="shared" si="2"/>
        <v xml:space="preserve"> </v>
      </c>
    </row>
    <row r="41" spans="1:13" x14ac:dyDescent="0.25">
      <c r="A41" s="40" t="str">
        <f t="shared" si="0"/>
        <v xml:space="preserve"> </v>
      </c>
      <c r="D41" s="39"/>
      <c r="E41" s="39"/>
      <c r="J41" s="15">
        <f t="shared" si="3"/>
        <v>0</v>
      </c>
      <c r="K41" s="2" t="str">
        <f t="shared" si="4"/>
        <v xml:space="preserve"> </v>
      </c>
      <c r="L41" s="2" t="str">
        <f t="shared" si="1"/>
        <v xml:space="preserve"> </v>
      </c>
      <c r="M41" s="2" t="str">
        <f t="shared" si="2"/>
        <v xml:space="preserve"> </v>
      </c>
    </row>
    <row r="42" spans="1:13" x14ac:dyDescent="0.25">
      <c r="A42" s="40" t="str">
        <f t="shared" si="0"/>
        <v xml:space="preserve"> </v>
      </c>
      <c r="D42" s="39"/>
      <c r="E42" s="39"/>
      <c r="J42" s="15">
        <f t="shared" si="3"/>
        <v>0</v>
      </c>
      <c r="K42" s="2" t="str">
        <f t="shared" si="4"/>
        <v xml:space="preserve"> </v>
      </c>
      <c r="L42" s="2" t="str">
        <f t="shared" si="1"/>
        <v xml:space="preserve"> </v>
      </c>
      <c r="M42" s="2" t="str">
        <f t="shared" si="2"/>
        <v xml:space="preserve"> </v>
      </c>
    </row>
    <row r="43" spans="1:13" x14ac:dyDescent="0.25">
      <c r="A43" s="40" t="str">
        <f t="shared" si="0"/>
        <v xml:space="preserve"> </v>
      </c>
      <c r="D43" s="39"/>
      <c r="E43" s="39"/>
      <c r="J43" s="15">
        <f t="shared" si="3"/>
        <v>0</v>
      </c>
      <c r="K43" s="2" t="str">
        <f t="shared" si="4"/>
        <v xml:space="preserve"> </v>
      </c>
      <c r="L43" s="2" t="str">
        <f t="shared" si="1"/>
        <v xml:space="preserve"> </v>
      </c>
      <c r="M43" s="2" t="str">
        <f t="shared" si="2"/>
        <v xml:space="preserve"> </v>
      </c>
    </row>
    <row r="44" spans="1:13" x14ac:dyDescent="0.25">
      <c r="A44" s="40" t="str">
        <f t="shared" si="0"/>
        <v xml:space="preserve"> </v>
      </c>
      <c r="D44" s="39"/>
      <c r="E44" s="39"/>
      <c r="J44" s="15">
        <f t="shared" si="3"/>
        <v>0</v>
      </c>
      <c r="K44" s="2" t="str">
        <f t="shared" si="4"/>
        <v xml:space="preserve"> </v>
      </c>
      <c r="L44" s="2" t="str">
        <f t="shared" si="1"/>
        <v xml:space="preserve"> </v>
      </c>
      <c r="M44" s="2" t="str">
        <f t="shared" si="2"/>
        <v xml:space="preserve"> </v>
      </c>
    </row>
    <row r="45" spans="1:13" x14ac:dyDescent="0.25">
      <c r="A45" s="40" t="str">
        <f t="shared" si="0"/>
        <v xml:space="preserve"> </v>
      </c>
      <c r="D45" s="39"/>
      <c r="E45" s="39"/>
      <c r="J45" s="15">
        <f t="shared" si="3"/>
        <v>0</v>
      </c>
      <c r="K45" s="2" t="str">
        <f t="shared" si="4"/>
        <v xml:space="preserve"> </v>
      </c>
      <c r="L45" s="2" t="str">
        <f t="shared" si="1"/>
        <v xml:space="preserve"> </v>
      </c>
      <c r="M45" s="2" t="str">
        <f t="shared" si="2"/>
        <v xml:space="preserve"> </v>
      </c>
    </row>
    <row r="46" spans="1:13" x14ac:dyDescent="0.25">
      <c r="A46" s="40" t="str">
        <f t="shared" si="0"/>
        <v xml:space="preserve"> </v>
      </c>
      <c r="D46" s="39"/>
      <c r="E46" s="39"/>
      <c r="J46" s="15">
        <f t="shared" si="3"/>
        <v>0</v>
      </c>
      <c r="K46" s="2" t="str">
        <f t="shared" si="4"/>
        <v xml:space="preserve"> </v>
      </c>
      <c r="L46" s="2" t="str">
        <f t="shared" si="1"/>
        <v xml:space="preserve"> </v>
      </c>
      <c r="M46" s="2" t="str">
        <f t="shared" si="2"/>
        <v xml:space="preserve"> </v>
      </c>
    </row>
    <row r="47" spans="1:13" x14ac:dyDescent="0.25">
      <c r="A47" s="40" t="str">
        <f t="shared" si="0"/>
        <v xml:space="preserve"> </v>
      </c>
      <c r="D47" s="39"/>
      <c r="E47" s="39"/>
      <c r="J47" s="15">
        <f t="shared" si="3"/>
        <v>0</v>
      </c>
      <c r="K47" s="2" t="str">
        <f t="shared" si="4"/>
        <v xml:space="preserve"> </v>
      </c>
      <c r="L47" s="2" t="str">
        <f t="shared" si="1"/>
        <v xml:space="preserve"> </v>
      </c>
      <c r="M47" s="2" t="str">
        <f t="shared" si="2"/>
        <v xml:space="preserve"> </v>
      </c>
    </row>
    <row r="48" spans="1:13" x14ac:dyDescent="0.25">
      <c r="A48" s="40" t="str">
        <f t="shared" si="0"/>
        <v xml:space="preserve"> </v>
      </c>
      <c r="D48" s="39"/>
      <c r="E48" s="39"/>
      <c r="J48" s="15">
        <f t="shared" si="3"/>
        <v>0</v>
      </c>
      <c r="K48" s="2" t="str">
        <f t="shared" si="4"/>
        <v xml:space="preserve"> </v>
      </c>
      <c r="L48" s="2" t="str">
        <f t="shared" si="1"/>
        <v xml:space="preserve"> </v>
      </c>
      <c r="M48" s="2" t="str">
        <f t="shared" si="2"/>
        <v xml:space="preserve"> </v>
      </c>
    </row>
    <row r="49" spans="1:13" x14ac:dyDescent="0.25">
      <c r="A49" s="40" t="str">
        <f t="shared" si="0"/>
        <v xml:space="preserve"> </v>
      </c>
      <c r="D49" s="39"/>
      <c r="E49" s="39"/>
      <c r="J49" s="15">
        <f t="shared" si="3"/>
        <v>0</v>
      </c>
      <c r="K49" s="2" t="str">
        <f t="shared" si="4"/>
        <v xml:space="preserve"> </v>
      </c>
      <c r="L49" s="2" t="str">
        <f t="shared" si="1"/>
        <v xml:space="preserve"> </v>
      </c>
      <c r="M49" s="2" t="str">
        <f t="shared" si="2"/>
        <v xml:space="preserve"> </v>
      </c>
    </row>
    <row r="50" spans="1:13" x14ac:dyDescent="0.25">
      <c r="A50" s="40" t="str">
        <f t="shared" si="0"/>
        <v xml:space="preserve"> </v>
      </c>
      <c r="D50" s="39"/>
      <c r="E50" s="39"/>
      <c r="J50" s="15">
        <f t="shared" si="3"/>
        <v>0</v>
      </c>
      <c r="K50" s="2" t="str">
        <f t="shared" si="4"/>
        <v xml:space="preserve"> </v>
      </c>
      <c r="L50" s="2" t="str">
        <f t="shared" si="1"/>
        <v xml:space="preserve"> </v>
      </c>
      <c r="M50" s="2" t="str">
        <f t="shared" si="2"/>
        <v xml:space="preserve"> </v>
      </c>
    </row>
    <row r="51" spans="1:13" x14ac:dyDescent="0.25">
      <c r="A51" s="40" t="str">
        <f t="shared" si="0"/>
        <v xml:space="preserve"> </v>
      </c>
      <c r="D51" s="39"/>
      <c r="E51" s="39"/>
      <c r="J51" s="15">
        <f t="shared" si="3"/>
        <v>0</v>
      </c>
      <c r="K51" s="2" t="str">
        <f t="shared" si="4"/>
        <v xml:space="preserve"> </v>
      </c>
      <c r="L51" s="2" t="str">
        <f t="shared" si="1"/>
        <v xml:space="preserve"> </v>
      </c>
      <c r="M51" s="2" t="str">
        <f t="shared" si="2"/>
        <v xml:space="preserve"> </v>
      </c>
    </row>
    <row r="52" spans="1:13" x14ac:dyDescent="0.25">
      <c r="A52" s="40" t="str">
        <f t="shared" si="0"/>
        <v xml:space="preserve"> </v>
      </c>
      <c r="D52" s="39"/>
      <c r="E52" s="39"/>
      <c r="J52" s="15">
        <f t="shared" si="3"/>
        <v>0</v>
      </c>
      <c r="K52" s="2" t="str">
        <f t="shared" si="4"/>
        <v xml:space="preserve"> </v>
      </c>
      <c r="L52" s="2" t="str">
        <f t="shared" si="1"/>
        <v xml:space="preserve"> </v>
      </c>
      <c r="M52" s="2" t="str">
        <f t="shared" si="2"/>
        <v xml:space="preserve"> </v>
      </c>
    </row>
    <row r="53" spans="1:13" x14ac:dyDescent="0.25">
      <c r="A53" s="40" t="str">
        <f t="shared" si="0"/>
        <v xml:space="preserve"> </v>
      </c>
      <c r="D53" s="39"/>
      <c r="E53" s="39"/>
      <c r="J53" s="15">
        <f t="shared" si="3"/>
        <v>0</v>
      </c>
      <c r="K53" s="2" t="str">
        <f t="shared" si="4"/>
        <v xml:space="preserve"> </v>
      </c>
      <c r="L53" s="2" t="str">
        <f t="shared" si="1"/>
        <v xml:space="preserve"> </v>
      </c>
      <c r="M53" s="2" t="str">
        <f t="shared" si="2"/>
        <v xml:space="preserve"> </v>
      </c>
    </row>
    <row r="54" spans="1:13" x14ac:dyDescent="0.25">
      <c r="A54" s="40" t="str">
        <f t="shared" si="0"/>
        <v xml:space="preserve"> </v>
      </c>
      <c r="D54" s="39"/>
      <c r="E54" s="39"/>
      <c r="J54" s="15">
        <f t="shared" si="3"/>
        <v>0</v>
      </c>
      <c r="K54" s="2" t="str">
        <f t="shared" si="4"/>
        <v xml:space="preserve"> </v>
      </c>
      <c r="L54" s="2" t="str">
        <f t="shared" si="1"/>
        <v xml:space="preserve"> </v>
      </c>
      <c r="M54" s="2" t="str">
        <f t="shared" si="2"/>
        <v xml:space="preserve"> </v>
      </c>
    </row>
    <row r="55" spans="1:13" x14ac:dyDescent="0.25">
      <c r="A55" s="40" t="str">
        <f t="shared" si="0"/>
        <v xml:space="preserve"> </v>
      </c>
      <c r="D55" s="39"/>
      <c r="E55" s="39"/>
      <c r="J55" s="15">
        <f t="shared" si="3"/>
        <v>0</v>
      </c>
      <c r="K55" s="2" t="str">
        <f t="shared" si="4"/>
        <v xml:space="preserve"> </v>
      </c>
      <c r="L55" s="2" t="str">
        <f t="shared" si="1"/>
        <v xml:space="preserve"> </v>
      </c>
      <c r="M55" s="2" t="str">
        <f t="shared" si="2"/>
        <v xml:space="preserve"> </v>
      </c>
    </row>
    <row r="56" spans="1:13" x14ac:dyDescent="0.25">
      <c r="A56" s="40" t="str">
        <f t="shared" si="0"/>
        <v xml:space="preserve"> </v>
      </c>
      <c r="D56" s="39"/>
      <c r="E56" s="39"/>
      <c r="J56" s="15">
        <f t="shared" si="3"/>
        <v>0</v>
      </c>
      <c r="K56" s="2" t="str">
        <f t="shared" si="4"/>
        <v xml:space="preserve"> </v>
      </c>
      <c r="L56" s="2" t="str">
        <f t="shared" si="1"/>
        <v xml:space="preserve"> </v>
      </c>
      <c r="M56" s="2" t="str">
        <f t="shared" si="2"/>
        <v xml:space="preserve"> </v>
      </c>
    </row>
    <row r="57" spans="1:13" x14ac:dyDescent="0.25">
      <c r="A57" s="40" t="str">
        <f t="shared" si="0"/>
        <v xml:space="preserve"> </v>
      </c>
      <c r="D57" s="39"/>
      <c r="E57" s="39"/>
      <c r="J57" s="15">
        <f t="shared" si="3"/>
        <v>0</v>
      </c>
      <c r="K57" s="2" t="str">
        <f t="shared" si="4"/>
        <v xml:space="preserve"> </v>
      </c>
      <c r="L57" s="2" t="str">
        <f t="shared" si="1"/>
        <v xml:space="preserve"> </v>
      </c>
      <c r="M57" s="2" t="str">
        <f t="shared" si="2"/>
        <v xml:space="preserve"> </v>
      </c>
    </row>
    <row r="58" spans="1:13" x14ac:dyDescent="0.25">
      <c r="A58" s="40" t="str">
        <f t="shared" si="0"/>
        <v xml:space="preserve"> </v>
      </c>
      <c r="D58" s="39"/>
      <c r="E58" s="39"/>
      <c r="J58" s="15">
        <f t="shared" si="3"/>
        <v>0</v>
      </c>
      <c r="K58" s="2" t="str">
        <f t="shared" si="4"/>
        <v xml:space="preserve"> </v>
      </c>
      <c r="L58" s="2" t="str">
        <f t="shared" si="1"/>
        <v xml:space="preserve"> </v>
      </c>
      <c r="M58" s="2" t="str">
        <f t="shared" si="2"/>
        <v xml:space="preserve"> </v>
      </c>
    </row>
    <row r="59" spans="1:13" x14ac:dyDescent="0.25">
      <c r="A59" s="40" t="str">
        <f t="shared" si="0"/>
        <v xml:space="preserve"> </v>
      </c>
      <c r="D59" s="39"/>
      <c r="E59" s="39"/>
      <c r="J59" s="15">
        <f t="shared" si="3"/>
        <v>0</v>
      </c>
      <c r="K59" s="2" t="str">
        <f t="shared" si="4"/>
        <v xml:space="preserve"> </v>
      </c>
      <c r="L59" s="2" t="str">
        <f t="shared" si="1"/>
        <v xml:space="preserve"> </v>
      </c>
      <c r="M59" s="2" t="str">
        <f t="shared" si="2"/>
        <v xml:space="preserve"> </v>
      </c>
    </row>
    <row r="60" spans="1:13" x14ac:dyDescent="0.25">
      <c r="A60" s="40" t="str">
        <f t="shared" si="0"/>
        <v xml:space="preserve"> </v>
      </c>
      <c r="D60" s="39"/>
      <c r="E60" s="39"/>
      <c r="J60" s="15">
        <f t="shared" si="3"/>
        <v>0</v>
      </c>
      <c r="K60" s="2" t="str">
        <f t="shared" si="4"/>
        <v xml:space="preserve"> </v>
      </c>
      <c r="L60" s="2" t="str">
        <f t="shared" si="1"/>
        <v xml:space="preserve"> </v>
      </c>
      <c r="M60" s="2" t="str">
        <f t="shared" si="2"/>
        <v xml:space="preserve"> </v>
      </c>
    </row>
    <row r="61" spans="1:13" x14ac:dyDescent="0.25">
      <c r="A61" s="40" t="str">
        <f t="shared" si="0"/>
        <v xml:space="preserve"> </v>
      </c>
      <c r="D61" s="39"/>
      <c r="E61" s="39"/>
      <c r="J61" s="15">
        <f t="shared" si="3"/>
        <v>0</v>
      </c>
      <c r="K61" s="2" t="str">
        <f t="shared" si="4"/>
        <v xml:space="preserve"> </v>
      </c>
      <c r="L61" s="2" t="str">
        <f t="shared" si="1"/>
        <v xml:space="preserve"> </v>
      </c>
      <c r="M61" s="2" t="str">
        <f t="shared" si="2"/>
        <v xml:space="preserve"> </v>
      </c>
    </row>
    <row r="62" spans="1:13" x14ac:dyDescent="0.25">
      <c r="A62" s="40" t="str">
        <f t="shared" si="0"/>
        <v xml:space="preserve"> </v>
      </c>
      <c r="D62" s="39"/>
      <c r="E62" s="39"/>
      <c r="J62" s="15">
        <f t="shared" si="3"/>
        <v>0</v>
      </c>
      <c r="K62" s="2" t="str">
        <f t="shared" si="4"/>
        <v xml:space="preserve"> </v>
      </c>
      <c r="L62" s="2" t="str">
        <f t="shared" si="1"/>
        <v xml:space="preserve"> </v>
      </c>
      <c r="M62" s="2" t="str">
        <f t="shared" si="2"/>
        <v xml:space="preserve"> </v>
      </c>
    </row>
    <row r="63" spans="1:13" x14ac:dyDescent="0.25">
      <c r="A63" s="40" t="str">
        <f t="shared" si="0"/>
        <v xml:space="preserve"> </v>
      </c>
      <c r="D63" s="39"/>
      <c r="E63" s="39"/>
      <c r="J63" s="15">
        <f t="shared" si="3"/>
        <v>0</v>
      </c>
      <c r="K63" s="2" t="str">
        <f t="shared" si="4"/>
        <v xml:space="preserve"> </v>
      </c>
      <c r="L63" s="2" t="str">
        <f t="shared" si="1"/>
        <v xml:space="preserve"> </v>
      </c>
      <c r="M63" s="2" t="str">
        <f t="shared" si="2"/>
        <v xml:space="preserve"> </v>
      </c>
    </row>
    <row r="64" spans="1:13" x14ac:dyDescent="0.25">
      <c r="A64" s="40" t="str">
        <f t="shared" si="0"/>
        <v xml:space="preserve"> </v>
      </c>
      <c r="D64" s="39"/>
      <c r="E64" s="39"/>
      <c r="J64" s="15">
        <f t="shared" si="3"/>
        <v>0</v>
      </c>
      <c r="K64" s="2" t="str">
        <f t="shared" si="4"/>
        <v xml:space="preserve"> </v>
      </c>
      <c r="L64" s="2" t="str">
        <f t="shared" si="1"/>
        <v xml:space="preserve"> </v>
      </c>
      <c r="M64" s="2" t="str">
        <f t="shared" si="2"/>
        <v xml:space="preserve"> </v>
      </c>
    </row>
    <row r="65" spans="1:13" x14ac:dyDescent="0.25">
      <c r="A65" s="40" t="str">
        <f t="shared" si="0"/>
        <v xml:space="preserve"> </v>
      </c>
      <c r="D65" s="39"/>
      <c r="E65" s="39"/>
      <c r="J65" s="15">
        <f t="shared" si="3"/>
        <v>0</v>
      </c>
      <c r="K65" s="2" t="str">
        <f t="shared" si="4"/>
        <v xml:space="preserve"> </v>
      </c>
      <c r="L65" s="2" t="str">
        <f t="shared" si="1"/>
        <v xml:space="preserve"> </v>
      </c>
      <c r="M65" s="2" t="str">
        <f t="shared" si="2"/>
        <v xml:space="preserve"> </v>
      </c>
    </row>
    <row r="66" spans="1:13" x14ac:dyDescent="0.25">
      <c r="A66" s="40" t="str">
        <f t="shared" si="0"/>
        <v xml:space="preserve"> </v>
      </c>
      <c r="D66" s="39"/>
      <c r="E66" s="39"/>
      <c r="J66" s="15">
        <f t="shared" si="3"/>
        <v>0</v>
      </c>
      <c r="K66" s="2" t="str">
        <f t="shared" si="4"/>
        <v xml:space="preserve"> </v>
      </c>
      <c r="L66" s="2" t="str">
        <f t="shared" si="1"/>
        <v xml:space="preserve"> </v>
      </c>
      <c r="M66" s="2" t="str">
        <f t="shared" si="2"/>
        <v xml:space="preserve"> </v>
      </c>
    </row>
    <row r="67" spans="1:13" x14ac:dyDescent="0.25">
      <c r="A67" s="40" t="str">
        <f t="shared" si="0"/>
        <v xml:space="preserve"> </v>
      </c>
      <c r="D67" s="39"/>
      <c r="E67" s="39"/>
      <c r="J67" s="15">
        <f t="shared" si="3"/>
        <v>0</v>
      </c>
      <c r="K67" s="2" t="str">
        <f t="shared" si="4"/>
        <v xml:space="preserve"> </v>
      </c>
      <c r="L67" s="2" t="str">
        <f t="shared" si="1"/>
        <v xml:space="preserve"> </v>
      </c>
      <c r="M67" s="2" t="str">
        <f t="shared" si="2"/>
        <v xml:space="preserve"> </v>
      </c>
    </row>
    <row r="68" spans="1:13" x14ac:dyDescent="0.25">
      <c r="A68" s="40" t="str">
        <f t="shared" si="0"/>
        <v xml:space="preserve"> </v>
      </c>
      <c r="D68" s="39"/>
      <c r="E68" s="39"/>
      <c r="J68" s="15">
        <f t="shared" si="3"/>
        <v>0</v>
      </c>
      <c r="K68" s="2" t="str">
        <f t="shared" si="4"/>
        <v xml:space="preserve"> </v>
      </c>
      <c r="L68" s="2" t="str">
        <f t="shared" si="1"/>
        <v xml:space="preserve"> </v>
      </c>
      <c r="M68" s="2" t="str">
        <f t="shared" si="2"/>
        <v xml:space="preserve"> </v>
      </c>
    </row>
    <row r="69" spans="1:13" x14ac:dyDescent="0.25">
      <c r="A69" s="40" t="str">
        <f t="shared" si="0"/>
        <v xml:space="preserve"> </v>
      </c>
      <c r="D69" s="39"/>
      <c r="E69" s="39"/>
      <c r="J69" s="15">
        <f t="shared" si="3"/>
        <v>0</v>
      </c>
      <c r="K69" s="2" t="str">
        <f t="shared" si="4"/>
        <v xml:space="preserve"> </v>
      </c>
      <c r="L69" s="2" t="str">
        <f t="shared" si="1"/>
        <v xml:space="preserve"> </v>
      </c>
      <c r="M69" s="2" t="str">
        <f t="shared" si="2"/>
        <v xml:space="preserve"> </v>
      </c>
    </row>
    <row r="70" spans="1:13" x14ac:dyDescent="0.25">
      <c r="A70" s="40" t="str">
        <f t="shared" si="0"/>
        <v xml:space="preserve"> </v>
      </c>
      <c r="D70" s="39"/>
      <c r="E70" s="39"/>
      <c r="J70" s="15">
        <f t="shared" si="3"/>
        <v>0</v>
      </c>
      <c r="K70" s="2" t="str">
        <f t="shared" si="4"/>
        <v xml:space="preserve"> </v>
      </c>
      <c r="L70" s="2" t="str">
        <f t="shared" si="1"/>
        <v xml:space="preserve"> </v>
      </c>
      <c r="M70" s="2" t="str">
        <f t="shared" si="2"/>
        <v xml:space="preserve"> </v>
      </c>
    </row>
    <row r="71" spans="1:13" x14ac:dyDescent="0.25">
      <c r="A71" s="40" t="str">
        <f t="shared" si="0"/>
        <v xml:space="preserve"> </v>
      </c>
      <c r="D71" s="39"/>
      <c r="E71" s="39"/>
      <c r="J71" s="15">
        <f t="shared" si="3"/>
        <v>0</v>
      </c>
      <c r="K71" s="2" t="str">
        <f t="shared" si="4"/>
        <v xml:space="preserve"> </v>
      </c>
      <c r="L71" s="2" t="str">
        <f t="shared" si="1"/>
        <v xml:space="preserve"> </v>
      </c>
      <c r="M71" s="2" t="str">
        <f t="shared" si="2"/>
        <v xml:space="preserve"> </v>
      </c>
    </row>
    <row r="72" spans="1:13" x14ac:dyDescent="0.25">
      <c r="A72" s="40" t="str">
        <f t="shared" si="0"/>
        <v xml:space="preserve"> </v>
      </c>
      <c r="D72" s="39"/>
      <c r="E72" s="39"/>
      <c r="J72" s="15">
        <f t="shared" si="3"/>
        <v>0</v>
      </c>
      <c r="K72" s="2" t="str">
        <f t="shared" si="4"/>
        <v xml:space="preserve"> </v>
      </c>
      <c r="L72" s="2" t="str">
        <f t="shared" si="1"/>
        <v xml:space="preserve"> </v>
      </c>
      <c r="M72" s="2" t="str">
        <f t="shared" si="2"/>
        <v xml:space="preserve"> </v>
      </c>
    </row>
    <row r="73" spans="1:13" x14ac:dyDescent="0.25">
      <c r="A73" s="40" t="str">
        <f t="shared" si="0"/>
        <v xml:space="preserve"> </v>
      </c>
      <c r="D73" s="39"/>
      <c r="E73" s="39"/>
      <c r="J73" s="15">
        <f t="shared" si="3"/>
        <v>0</v>
      </c>
      <c r="K73" s="2" t="str">
        <f t="shared" si="4"/>
        <v xml:space="preserve"> </v>
      </c>
      <c r="L73" s="2" t="str">
        <f t="shared" si="1"/>
        <v xml:space="preserve"> </v>
      </c>
      <c r="M73" s="2" t="str">
        <f t="shared" si="2"/>
        <v xml:space="preserve"> </v>
      </c>
    </row>
    <row r="74" spans="1:13" x14ac:dyDescent="0.25">
      <c r="A74" s="40" t="str">
        <f t="shared" si="0"/>
        <v xml:space="preserve"> </v>
      </c>
      <c r="D74" s="39"/>
      <c r="E74" s="39"/>
      <c r="J74" s="15">
        <f t="shared" si="3"/>
        <v>0</v>
      </c>
      <c r="K74" s="2" t="str">
        <f t="shared" si="4"/>
        <v xml:space="preserve"> </v>
      </c>
      <c r="L74" s="2" t="str">
        <f t="shared" si="1"/>
        <v xml:space="preserve"> </v>
      </c>
      <c r="M74" s="2" t="str">
        <f t="shared" si="2"/>
        <v xml:space="preserve"> </v>
      </c>
    </row>
    <row r="75" spans="1:13" x14ac:dyDescent="0.25">
      <c r="A75" s="40" t="str">
        <f t="shared" si="0"/>
        <v xml:space="preserve"> </v>
      </c>
      <c r="D75" s="39"/>
      <c r="E75" s="39"/>
      <c r="J75" s="15">
        <f t="shared" si="3"/>
        <v>0</v>
      </c>
      <c r="K75" s="2" t="str">
        <f t="shared" si="4"/>
        <v xml:space="preserve"> </v>
      </c>
      <c r="L75" s="2" t="str">
        <f t="shared" si="1"/>
        <v xml:space="preserve"> </v>
      </c>
      <c r="M75" s="2" t="str">
        <f t="shared" si="2"/>
        <v xml:space="preserve"> </v>
      </c>
    </row>
    <row r="76" spans="1:13" x14ac:dyDescent="0.25">
      <c r="A76" s="40" t="str">
        <f t="shared" si="0"/>
        <v xml:space="preserve"> </v>
      </c>
      <c r="D76" s="39"/>
      <c r="E76" s="39"/>
      <c r="J76" s="15">
        <f t="shared" si="3"/>
        <v>0</v>
      </c>
      <c r="K76" s="2" t="str">
        <f t="shared" si="4"/>
        <v xml:space="preserve"> </v>
      </c>
      <c r="L76" s="2" t="str">
        <f t="shared" si="1"/>
        <v xml:space="preserve"> </v>
      </c>
      <c r="M76" s="2" t="str">
        <f t="shared" si="2"/>
        <v xml:space="preserve"> </v>
      </c>
    </row>
    <row r="77" spans="1:13" x14ac:dyDescent="0.25">
      <c r="A77" s="40" t="str">
        <f t="shared" si="0"/>
        <v xml:space="preserve"> </v>
      </c>
      <c r="D77" s="39"/>
      <c r="E77" s="39"/>
      <c r="J77" s="15">
        <f t="shared" si="3"/>
        <v>0</v>
      </c>
      <c r="K77" s="2" t="str">
        <f t="shared" si="4"/>
        <v xml:space="preserve"> </v>
      </c>
      <c r="L77" s="2" t="str">
        <f t="shared" si="1"/>
        <v xml:space="preserve"> </v>
      </c>
      <c r="M77" s="2" t="str">
        <f t="shared" si="2"/>
        <v xml:space="preserve"> </v>
      </c>
    </row>
    <row r="78" spans="1:13" x14ac:dyDescent="0.25">
      <c r="A78" s="40" t="str">
        <f t="shared" si="0"/>
        <v xml:space="preserve"> </v>
      </c>
      <c r="D78" s="39"/>
      <c r="E78" s="39"/>
      <c r="J78" s="15">
        <f t="shared" si="3"/>
        <v>0</v>
      </c>
      <c r="K78" s="2" t="str">
        <f t="shared" si="4"/>
        <v xml:space="preserve"> </v>
      </c>
      <c r="L78" s="2" t="str">
        <f t="shared" si="1"/>
        <v xml:space="preserve"> </v>
      </c>
      <c r="M78" s="2" t="str">
        <f t="shared" si="2"/>
        <v xml:space="preserve"> </v>
      </c>
    </row>
    <row r="79" spans="1:13" x14ac:dyDescent="0.25">
      <c r="A79" s="40" t="str">
        <f t="shared" ref="A79:A142" si="5">IF(COUNTIF(K79:M79,"ERROR")&gt;0,"ERROR"," ")</f>
        <v xml:space="preserve"> </v>
      </c>
      <c r="D79" s="39"/>
      <c r="E79" s="39"/>
      <c r="J79" s="15">
        <f t="shared" si="3"/>
        <v>0</v>
      </c>
      <c r="K79" s="2" t="str">
        <f t="shared" si="4"/>
        <v xml:space="preserve"> </v>
      </c>
      <c r="L79" s="2" t="str">
        <f t="shared" ref="L79:L142" si="6">IF(D79=0," ",IF(COUNTIF(ProfitLoss2,D79)&gt;0," ","ERROR"))</f>
        <v xml:space="preserve"> </v>
      </c>
      <c r="M79" s="2" t="str">
        <f t="shared" ref="M79:M142" si="7">IF(E79=0," ",IF(COUNTIF(BalanceSheetA,E79)&gt;0," ","ERROR"))</f>
        <v xml:space="preserve"> </v>
      </c>
    </row>
    <row r="80" spans="1:13" x14ac:dyDescent="0.25">
      <c r="A80" s="40" t="str">
        <f t="shared" si="5"/>
        <v xml:space="preserve"> </v>
      </c>
      <c r="D80" s="39"/>
      <c r="E80" s="39"/>
      <c r="J80" s="15">
        <f t="shared" ref="J80:J143" si="8">F80-G80+H80-I80</f>
        <v>0</v>
      </c>
      <c r="K80" s="2" t="str">
        <f t="shared" ref="K80:K143" si="9">IF(COUNTA(D80:E80)=2,"ERROR"," ")</f>
        <v xml:space="preserve"> </v>
      </c>
      <c r="L80" s="2" t="str">
        <f t="shared" si="6"/>
        <v xml:space="preserve"> </v>
      </c>
      <c r="M80" s="2" t="str">
        <f t="shared" si="7"/>
        <v xml:space="preserve"> </v>
      </c>
    </row>
    <row r="81" spans="1:13" x14ac:dyDescent="0.25">
      <c r="A81" s="40" t="str">
        <f t="shared" si="5"/>
        <v xml:space="preserve"> </v>
      </c>
      <c r="D81" s="39"/>
      <c r="E81" s="39"/>
      <c r="J81" s="15">
        <f t="shared" si="8"/>
        <v>0</v>
      </c>
      <c r="K81" s="2" t="str">
        <f t="shared" si="9"/>
        <v xml:space="preserve"> </v>
      </c>
      <c r="L81" s="2" t="str">
        <f t="shared" si="6"/>
        <v xml:space="preserve"> </v>
      </c>
      <c r="M81" s="2" t="str">
        <f t="shared" si="7"/>
        <v xml:space="preserve"> </v>
      </c>
    </row>
    <row r="82" spans="1:13" x14ac:dyDescent="0.25">
      <c r="A82" s="40" t="str">
        <f t="shared" si="5"/>
        <v xml:space="preserve"> </v>
      </c>
      <c r="D82" s="39"/>
      <c r="E82" s="39"/>
      <c r="J82" s="15">
        <f t="shared" si="8"/>
        <v>0</v>
      </c>
      <c r="K82" s="2" t="str">
        <f t="shared" si="9"/>
        <v xml:space="preserve"> </v>
      </c>
      <c r="L82" s="2" t="str">
        <f t="shared" si="6"/>
        <v xml:space="preserve"> </v>
      </c>
      <c r="M82" s="2" t="str">
        <f t="shared" si="7"/>
        <v xml:space="preserve"> </v>
      </c>
    </row>
    <row r="83" spans="1:13" x14ac:dyDescent="0.25">
      <c r="A83" s="40" t="str">
        <f t="shared" si="5"/>
        <v xml:space="preserve"> </v>
      </c>
      <c r="D83" s="39"/>
      <c r="E83" s="39"/>
      <c r="J83" s="15">
        <f t="shared" si="8"/>
        <v>0</v>
      </c>
      <c r="K83" s="2" t="str">
        <f t="shared" si="9"/>
        <v xml:space="preserve"> </v>
      </c>
      <c r="L83" s="2" t="str">
        <f t="shared" si="6"/>
        <v xml:space="preserve"> </v>
      </c>
      <c r="M83" s="2" t="str">
        <f t="shared" si="7"/>
        <v xml:space="preserve"> </v>
      </c>
    </row>
    <row r="84" spans="1:13" x14ac:dyDescent="0.25">
      <c r="A84" s="40" t="str">
        <f t="shared" si="5"/>
        <v xml:space="preserve"> </v>
      </c>
      <c r="D84" s="39"/>
      <c r="E84" s="39"/>
      <c r="J84" s="15">
        <f t="shared" si="8"/>
        <v>0</v>
      </c>
      <c r="K84" s="2" t="str">
        <f t="shared" si="9"/>
        <v xml:space="preserve"> </v>
      </c>
      <c r="L84" s="2" t="str">
        <f t="shared" si="6"/>
        <v xml:space="preserve"> </v>
      </c>
      <c r="M84" s="2" t="str">
        <f t="shared" si="7"/>
        <v xml:space="preserve"> </v>
      </c>
    </row>
    <row r="85" spans="1:13" x14ac:dyDescent="0.25">
      <c r="A85" s="40" t="str">
        <f t="shared" si="5"/>
        <v xml:space="preserve"> </v>
      </c>
      <c r="D85" s="39"/>
      <c r="E85" s="39"/>
      <c r="J85" s="15">
        <f t="shared" si="8"/>
        <v>0</v>
      </c>
      <c r="K85" s="2" t="str">
        <f t="shared" si="9"/>
        <v xml:space="preserve"> </v>
      </c>
      <c r="L85" s="2" t="str">
        <f t="shared" si="6"/>
        <v xml:space="preserve"> </v>
      </c>
      <c r="M85" s="2" t="str">
        <f t="shared" si="7"/>
        <v xml:space="preserve"> </v>
      </c>
    </row>
    <row r="86" spans="1:13" x14ac:dyDescent="0.25">
      <c r="A86" s="40" t="str">
        <f t="shared" si="5"/>
        <v xml:space="preserve"> </v>
      </c>
      <c r="D86" s="39"/>
      <c r="E86" s="39"/>
      <c r="J86" s="15">
        <f t="shared" si="8"/>
        <v>0</v>
      </c>
      <c r="K86" s="2" t="str">
        <f t="shared" si="9"/>
        <v xml:space="preserve"> </v>
      </c>
      <c r="L86" s="2" t="str">
        <f t="shared" si="6"/>
        <v xml:space="preserve"> </v>
      </c>
      <c r="M86" s="2" t="str">
        <f t="shared" si="7"/>
        <v xml:space="preserve"> </v>
      </c>
    </row>
    <row r="87" spans="1:13" x14ac:dyDescent="0.25">
      <c r="A87" s="40" t="str">
        <f t="shared" si="5"/>
        <v xml:space="preserve"> </v>
      </c>
      <c r="D87" s="39"/>
      <c r="E87" s="39"/>
      <c r="J87" s="15">
        <f t="shared" si="8"/>
        <v>0</v>
      </c>
      <c r="K87" s="2" t="str">
        <f t="shared" si="9"/>
        <v xml:space="preserve"> </v>
      </c>
      <c r="L87" s="2" t="str">
        <f t="shared" si="6"/>
        <v xml:space="preserve"> </v>
      </c>
      <c r="M87" s="2" t="str">
        <f t="shared" si="7"/>
        <v xml:space="preserve"> </v>
      </c>
    </row>
    <row r="88" spans="1:13" x14ac:dyDescent="0.25">
      <c r="A88" s="40" t="str">
        <f t="shared" si="5"/>
        <v xml:space="preserve"> </v>
      </c>
      <c r="D88" s="39"/>
      <c r="E88" s="39"/>
      <c r="J88" s="15">
        <f t="shared" si="8"/>
        <v>0</v>
      </c>
      <c r="K88" s="2" t="str">
        <f t="shared" si="9"/>
        <v xml:space="preserve"> </v>
      </c>
      <c r="L88" s="2" t="str">
        <f t="shared" si="6"/>
        <v xml:space="preserve"> </v>
      </c>
      <c r="M88" s="2" t="str">
        <f t="shared" si="7"/>
        <v xml:space="preserve"> </v>
      </c>
    </row>
    <row r="89" spans="1:13" x14ac:dyDescent="0.25">
      <c r="A89" s="40" t="str">
        <f t="shared" si="5"/>
        <v xml:space="preserve"> </v>
      </c>
      <c r="D89" s="39"/>
      <c r="E89" s="39"/>
      <c r="J89" s="15">
        <f t="shared" si="8"/>
        <v>0</v>
      </c>
      <c r="K89" s="2" t="str">
        <f t="shared" si="9"/>
        <v xml:space="preserve"> </v>
      </c>
      <c r="L89" s="2" t="str">
        <f t="shared" si="6"/>
        <v xml:space="preserve"> </v>
      </c>
      <c r="M89" s="2" t="str">
        <f t="shared" si="7"/>
        <v xml:space="preserve"> </v>
      </c>
    </row>
    <row r="90" spans="1:13" x14ac:dyDescent="0.25">
      <c r="A90" s="40" t="str">
        <f t="shared" si="5"/>
        <v xml:space="preserve"> </v>
      </c>
      <c r="D90" s="39"/>
      <c r="E90" s="39"/>
      <c r="J90" s="15">
        <f t="shared" si="8"/>
        <v>0</v>
      </c>
      <c r="K90" s="2" t="str">
        <f t="shared" si="9"/>
        <v xml:space="preserve"> </v>
      </c>
      <c r="L90" s="2" t="str">
        <f t="shared" si="6"/>
        <v xml:space="preserve"> </v>
      </c>
      <c r="M90" s="2" t="str">
        <f t="shared" si="7"/>
        <v xml:space="preserve"> </v>
      </c>
    </row>
    <row r="91" spans="1:13" x14ac:dyDescent="0.25">
      <c r="A91" s="40" t="str">
        <f t="shared" si="5"/>
        <v xml:space="preserve"> </v>
      </c>
      <c r="D91" s="39"/>
      <c r="E91" s="39"/>
      <c r="J91" s="15">
        <f t="shared" si="8"/>
        <v>0</v>
      </c>
      <c r="K91" s="2" t="str">
        <f t="shared" si="9"/>
        <v xml:space="preserve"> </v>
      </c>
      <c r="L91" s="2" t="str">
        <f t="shared" si="6"/>
        <v xml:space="preserve"> </v>
      </c>
      <c r="M91" s="2" t="str">
        <f t="shared" si="7"/>
        <v xml:space="preserve"> </v>
      </c>
    </row>
    <row r="92" spans="1:13" x14ac:dyDescent="0.25">
      <c r="A92" s="40" t="str">
        <f t="shared" si="5"/>
        <v xml:space="preserve"> </v>
      </c>
      <c r="D92" s="39"/>
      <c r="E92" s="39"/>
      <c r="J92" s="15">
        <f t="shared" si="8"/>
        <v>0</v>
      </c>
      <c r="K92" s="2" t="str">
        <f t="shared" si="9"/>
        <v xml:space="preserve"> </v>
      </c>
      <c r="L92" s="2" t="str">
        <f t="shared" si="6"/>
        <v xml:space="preserve"> </v>
      </c>
      <c r="M92" s="2" t="str">
        <f t="shared" si="7"/>
        <v xml:space="preserve"> </v>
      </c>
    </row>
    <row r="93" spans="1:13" x14ac:dyDescent="0.25">
      <c r="A93" s="40" t="str">
        <f t="shared" si="5"/>
        <v xml:space="preserve"> </v>
      </c>
      <c r="D93" s="39"/>
      <c r="E93" s="39"/>
      <c r="J93" s="15">
        <f t="shared" si="8"/>
        <v>0</v>
      </c>
      <c r="K93" s="2" t="str">
        <f t="shared" si="9"/>
        <v xml:space="preserve"> </v>
      </c>
      <c r="L93" s="2" t="str">
        <f t="shared" si="6"/>
        <v xml:space="preserve"> </v>
      </c>
      <c r="M93" s="2" t="str">
        <f t="shared" si="7"/>
        <v xml:space="preserve"> </v>
      </c>
    </row>
    <row r="94" spans="1:13" x14ac:dyDescent="0.25">
      <c r="A94" s="40" t="str">
        <f t="shared" si="5"/>
        <v xml:space="preserve"> </v>
      </c>
      <c r="D94" s="39"/>
      <c r="E94" s="39"/>
      <c r="J94" s="15">
        <f t="shared" si="8"/>
        <v>0</v>
      </c>
      <c r="K94" s="2" t="str">
        <f t="shared" si="9"/>
        <v xml:space="preserve"> </v>
      </c>
      <c r="L94" s="2" t="str">
        <f t="shared" si="6"/>
        <v xml:space="preserve"> </v>
      </c>
      <c r="M94" s="2" t="str">
        <f t="shared" si="7"/>
        <v xml:space="preserve"> </v>
      </c>
    </row>
    <row r="95" spans="1:13" x14ac:dyDescent="0.25">
      <c r="A95" s="40" t="str">
        <f t="shared" si="5"/>
        <v xml:space="preserve"> </v>
      </c>
      <c r="D95" s="39"/>
      <c r="E95" s="39"/>
      <c r="J95" s="15">
        <f t="shared" si="8"/>
        <v>0</v>
      </c>
      <c r="K95" s="2" t="str">
        <f t="shared" si="9"/>
        <v xml:space="preserve"> </v>
      </c>
      <c r="L95" s="2" t="str">
        <f t="shared" si="6"/>
        <v xml:space="preserve"> </v>
      </c>
      <c r="M95" s="2" t="str">
        <f t="shared" si="7"/>
        <v xml:space="preserve"> </v>
      </c>
    </row>
    <row r="96" spans="1:13" x14ac:dyDescent="0.25">
      <c r="A96" s="40" t="str">
        <f t="shared" si="5"/>
        <v xml:space="preserve"> </v>
      </c>
      <c r="D96" s="39"/>
      <c r="E96" s="39"/>
      <c r="J96" s="15">
        <f t="shared" si="8"/>
        <v>0</v>
      </c>
      <c r="K96" s="2" t="str">
        <f t="shared" si="9"/>
        <v xml:space="preserve"> </v>
      </c>
      <c r="L96" s="2" t="str">
        <f t="shared" si="6"/>
        <v xml:space="preserve"> </v>
      </c>
      <c r="M96" s="2" t="str">
        <f t="shared" si="7"/>
        <v xml:space="preserve"> </v>
      </c>
    </row>
    <row r="97" spans="1:13" x14ac:dyDescent="0.25">
      <c r="A97" s="40" t="str">
        <f t="shared" si="5"/>
        <v xml:space="preserve"> </v>
      </c>
      <c r="D97" s="39"/>
      <c r="E97" s="39"/>
      <c r="J97" s="15">
        <f t="shared" si="8"/>
        <v>0</v>
      </c>
      <c r="K97" s="2" t="str">
        <f t="shared" si="9"/>
        <v xml:space="preserve"> </v>
      </c>
      <c r="L97" s="2" t="str">
        <f t="shared" si="6"/>
        <v xml:space="preserve"> </v>
      </c>
      <c r="M97" s="2" t="str">
        <f t="shared" si="7"/>
        <v xml:space="preserve"> </v>
      </c>
    </row>
    <row r="98" spans="1:13" x14ac:dyDescent="0.25">
      <c r="A98" s="40" t="str">
        <f t="shared" si="5"/>
        <v xml:space="preserve"> </v>
      </c>
      <c r="D98" s="39"/>
      <c r="E98" s="39"/>
      <c r="J98" s="15">
        <f t="shared" si="8"/>
        <v>0</v>
      </c>
      <c r="K98" s="2" t="str">
        <f t="shared" si="9"/>
        <v xml:space="preserve"> </v>
      </c>
      <c r="L98" s="2" t="str">
        <f t="shared" si="6"/>
        <v xml:space="preserve"> </v>
      </c>
      <c r="M98" s="2" t="str">
        <f t="shared" si="7"/>
        <v xml:space="preserve"> </v>
      </c>
    </row>
    <row r="99" spans="1:13" x14ac:dyDescent="0.25">
      <c r="A99" s="40" t="str">
        <f t="shared" si="5"/>
        <v xml:space="preserve"> </v>
      </c>
      <c r="D99" s="39"/>
      <c r="E99" s="39"/>
      <c r="J99" s="15">
        <f t="shared" si="8"/>
        <v>0</v>
      </c>
      <c r="K99" s="2" t="str">
        <f t="shared" si="9"/>
        <v xml:space="preserve"> </v>
      </c>
      <c r="L99" s="2" t="str">
        <f t="shared" si="6"/>
        <v xml:space="preserve"> </v>
      </c>
      <c r="M99" s="2" t="str">
        <f t="shared" si="7"/>
        <v xml:space="preserve"> </v>
      </c>
    </row>
    <row r="100" spans="1:13" x14ac:dyDescent="0.25">
      <c r="A100" s="40" t="str">
        <f t="shared" si="5"/>
        <v xml:space="preserve"> </v>
      </c>
      <c r="D100" s="39"/>
      <c r="E100" s="39"/>
      <c r="J100" s="15">
        <f t="shared" si="8"/>
        <v>0</v>
      </c>
      <c r="K100" s="2" t="str">
        <f t="shared" si="9"/>
        <v xml:space="preserve"> </v>
      </c>
      <c r="L100" s="2" t="str">
        <f t="shared" si="6"/>
        <v xml:space="preserve"> </v>
      </c>
      <c r="M100" s="2" t="str">
        <f t="shared" si="7"/>
        <v xml:space="preserve"> </v>
      </c>
    </row>
    <row r="101" spans="1:13" x14ac:dyDescent="0.25">
      <c r="A101" s="40" t="str">
        <f t="shared" si="5"/>
        <v xml:space="preserve"> </v>
      </c>
      <c r="D101" s="39"/>
      <c r="E101" s="39"/>
      <c r="J101" s="15">
        <f t="shared" si="8"/>
        <v>0</v>
      </c>
      <c r="K101" s="2" t="str">
        <f t="shared" si="9"/>
        <v xml:space="preserve"> </v>
      </c>
      <c r="L101" s="2" t="str">
        <f t="shared" si="6"/>
        <v xml:space="preserve"> </v>
      </c>
      <c r="M101" s="2" t="str">
        <f t="shared" si="7"/>
        <v xml:space="preserve"> </v>
      </c>
    </row>
    <row r="102" spans="1:13" x14ac:dyDescent="0.25">
      <c r="A102" s="40" t="str">
        <f t="shared" si="5"/>
        <v xml:space="preserve"> </v>
      </c>
      <c r="D102" s="39"/>
      <c r="E102" s="39"/>
      <c r="J102" s="15">
        <f t="shared" si="8"/>
        <v>0</v>
      </c>
      <c r="K102" s="2" t="str">
        <f t="shared" si="9"/>
        <v xml:space="preserve"> </v>
      </c>
      <c r="L102" s="2" t="str">
        <f t="shared" si="6"/>
        <v xml:space="preserve"> </v>
      </c>
      <c r="M102" s="2" t="str">
        <f t="shared" si="7"/>
        <v xml:space="preserve"> </v>
      </c>
    </row>
    <row r="103" spans="1:13" x14ac:dyDescent="0.25">
      <c r="A103" s="40" t="str">
        <f t="shared" si="5"/>
        <v xml:space="preserve"> </v>
      </c>
      <c r="D103" s="39"/>
      <c r="E103" s="39"/>
      <c r="J103" s="15">
        <f t="shared" si="8"/>
        <v>0</v>
      </c>
      <c r="K103" s="2" t="str">
        <f t="shared" si="9"/>
        <v xml:space="preserve"> </v>
      </c>
      <c r="L103" s="2" t="str">
        <f t="shared" si="6"/>
        <v xml:space="preserve"> </v>
      </c>
      <c r="M103" s="2" t="str">
        <f t="shared" si="7"/>
        <v xml:space="preserve"> </v>
      </c>
    </row>
    <row r="104" spans="1:13" x14ac:dyDescent="0.25">
      <c r="A104" s="40" t="str">
        <f t="shared" si="5"/>
        <v xml:space="preserve"> </v>
      </c>
      <c r="D104" s="39"/>
      <c r="E104" s="39"/>
      <c r="J104" s="15">
        <f t="shared" si="8"/>
        <v>0</v>
      </c>
      <c r="K104" s="2" t="str">
        <f t="shared" si="9"/>
        <v xml:space="preserve"> </v>
      </c>
      <c r="L104" s="2" t="str">
        <f t="shared" si="6"/>
        <v xml:space="preserve"> </v>
      </c>
      <c r="M104" s="2" t="str">
        <f t="shared" si="7"/>
        <v xml:space="preserve"> </v>
      </c>
    </row>
    <row r="105" spans="1:13" x14ac:dyDescent="0.25">
      <c r="A105" s="40" t="str">
        <f t="shared" si="5"/>
        <v xml:space="preserve"> </v>
      </c>
      <c r="D105" s="39"/>
      <c r="E105" s="39"/>
      <c r="J105" s="15">
        <f t="shared" si="8"/>
        <v>0</v>
      </c>
      <c r="K105" s="2" t="str">
        <f t="shared" si="9"/>
        <v xml:space="preserve"> </v>
      </c>
      <c r="L105" s="2" t="str">
        <f t="shared" si="6"/>
        <v xml:space="preserve"> </v>
      </c>
      <c r="M105" s="2" t="str">
        <f t="shared" si="7"/>
        <v xml:space="preserve"> </v>
      </c>
    </row>
    <row r="106" spans="1:13" x14ac:dyDescent="0.25">
      <c r="A106" s="40" t="str">
        <f t="shared" si="5"/>
        <v xml:space="preserve"> </v>
      </c>
      <c r="D106" s="39"/>
      <c r="E106" s="39"/>
      <c r="J106" s="15">
        <f t="shared" si="8"/>
        <v>0</v>
      </c>
      <c r="K106" s="2" t="str">
        <f t="shared" si="9"/>
        <v xml:space="preserve"> </v>
      </c>
      <c r="L106" s="2" t="str">
        <f t="shared" si="6"/>
        <v xml:space="preserve"> </v>
      </c>
      <c r="M106" s="2" t="str">
        <f t="shared" si="7"/>
        <v xml:space="preserve"> </v>
      </c>
    </row>
    <row r="107" spans="1:13" x14ac:dyDescent="0.25">
      <c r="A107" s="40" t="str">
        <f t="shared" si="5"/>
        <v xml:space="preserve"> </v>
      </c>
      <c r="D107" s="39"/>
      <c r="E107" s="39"/>
      <c r="J107" s="15">
        <f t="shared" si="8"/>
        <v>0</v>
      </c>
      <c r="K107" s="2" t="str">
        <f t="shared" si="9"/>
        <v xml:space="preserve"> </v>
      </c>
      <c r="L107" s="2" t="str">
        <f t="shared" si="6"/>
        <v xml:space="preserve"> </v>
      </c>
      <c r="M107" s="2" t="str">
        <f t="shared" si="7"/>
        <v xml:space="preserve"> </v>
      </c>
    </row>
    <row r="108" spans="1:13" x14ac:dyDescent="0.25">
      <c r="A108" s="40" t="str">
        <f t="shared" si="5"/>
        <v xml:space="preserve"> </v>
      </c>
      <c r="D108" s="39"/>
      <c r="E108" s="39"/>
      <c r="J108" s="15">
        <f t="shared" si="8"/>
        <v>0</v>
      </c>
      <c r="K108" s="2" t="str">
        <f t="shared" si="9"/>
        <v xml:space="preserve"> </v>
      </c>
      <c r="L108" s="2" t="str">
        <f t="shared" si="6"/>
        <v xml:space="preserve"> </v>
      </c>
      <c r="M108" s="2" t="str">
        <f t="shared" si="7"/>
        <v xml:space="preserve"> </v>
      </c>
    </row>
    <row r="109" spans="1:13" x14ac:dyDescent="0.25">
      <c r="A109" s="40" t="str">
        <f t="shared" si="5"/>
        <v xml:space="preserve"> </v>
      </c>
      <c r="D109" s="39"/>
      <c r="E109" s="39"/>
      <c r="J109" s="15">
        <f t="shared" si="8"/>
        <v>0</v>
      </c>
      <c r="K109" s="2" t="str">
        <f t="shared" si="9"/>
        <v xml:space="preserve"> </v>
      </c>
      <c r="L109" s="2" t="str">
        <f t="shared" si="6"/>
        <v xml:space="preserve"> </v>
      </c>
      <c r="M109" s="2" t="str">
        <f t="shared" si="7"/>
        <v xml:space="preserve"> </v>
      </c>
    </row>
    <row r="110" spans="1:13" x14ac:dyDescent="0.25">
      <c r="A110" s="40" t="str">
        <f t="shared" si="5"/>
        <v xml:space="preserve"> </v>
      </c>
      <c r="B110" s="18"/>
      <c r="D110" s="39"/>
      <c r="E110" s="39"/>
      <c r="J110" s="15">
        <f t="shared" si="8"/>
        <v>0</v>
      </c>
      <c r="K110" s="2" t="str">
        <f t="shared" si="9"/>
        <v xml:space="preserve"> </v>
      </c>
      <c r="L110" s="2" t="str">
        <f t="shared" si="6"/>
        <v xml:space="preserve"> </v>
      </c>
      <c r="M110" s="2" t="str">
        <f t="shared" si="7"/>
        <v xml:space="preserve"> </v>
      </c>
    </row>
    <row r="111" spans="1:13" x14ac:dyDescent="0.25">
      <c r="A111" s="40" t="str">
        <f t="shared" si="5"/>
        <v xml:space="preserve"> </v>
      </c>
      <c r="D111" s="39"/>
      <c r="E111" s="39"/>
      <c r="J111" s="15">
        <f t="shared" si="8"/>
        <v>0</v>
      </c>
      <c r="K111" s="2" t="str">
        <f t="shared" si="9"/>
        <v xml:space="preserve"> </v>
      </c>
      <c r="L111" s="2" t="str">
        <f t="shared" si="6"/>
        <v xml:space="preserve"> </v>
      </c>
      <c r="M111" s="2" t="str">
        <f t="shared" si="7"/>
        <v xml:space="preserve"> </v>
      </c>
    </row>
    <row r="112" spans="1:13" x14ac:dyDescent="0.25">
      <c r="A112" s="40" t="str">
        <f t="shared" si="5"/>
        <v xml:space="preserve"> </v>
      </c>
      <c r="D112" s="39"/>
      <c r="E112" s="39"/>
      <c r="J112" s="15">
        <f t="shared" si="8"/>
        <v>0</v>
      </c>
      <c r="K112" s="2" t="str">
        <f t="shared" si="9"/>
        <v xml:space="preserve"> </v>
      </c>
      <c r="L112" s="2" t="str">
        <f t="shared" si="6"/>
        <v xml:space="preserve"> </v>
      </c>
      <c r="M112" s="2" t="str">
        <f t="shared" si="7"/>
        <v xml:space="preserve"> </v>
      </c>
    </row>
    <row r="113" spans="1:13" x14ac:dyDescent="0.25">
      <c r="A113" s="40" t="str">
        <f t="shared" si="5"/>
        <v xml:space="preserve"> </v>
      </c>
      <c r="D113" s="39"/>
      <c r="E113" s="39"/>
      <c r="J113" s="15">
        <f t="shared" si="8"/>
        <v>0</v>
      </c>
      <c r="K113" s="2" t="str">
        <f t="shared" si="9"/>
        <v xml:space="preserve"> </v>
      </c>
      <c r="L113" s="2" t="str">
        <f t="shared" si="6"/>
        <v xml:space="preserve"> </v>
      </c>
      <c r="M113" s="2" t="str">
        <f t="shared" si="7"/>
        <v xml:space="preserve"> </v>
      </c>
    </row>
    <row r="114" spans="1:13" x14ac:dyDescent="0.25">
      <c r="A114" s="40" t="str">
        <f t="shared" si="5"/>
        <v xml:space="preserve"> </v>
      </c>
      <c r="D114" s="39"/>
      <c r="E114" s="39"/>
      <c r="J114" s="15">
        <f t="shared" si="8"/>
        <v>0</v>
      </c>
      <c r="K114" s="2" t="str">
        <f t="shared" si="9"/>
        <v xml:space="preserve"> </v>
      </c>
      <c r="L114" s="2" t="str">
        <f t="shared" si="6"/>
        <v xml:space="preserve"> </v>
      </c>
      <c r="M114" s="2" t="str">
        <f t="shared" si="7"/>
        <v xml:space="preserve"> </v>
      </c>
    </row>
    <row r="115" spans="1:13" x14ac:dyDescent="0.25">
      <c r="A115" s="40" t="str">
        <f t="shared" si="5"/>
        <v xml:space="preserve"> </v>
      </c>
      <c r="D115" s="39"/>
      <c r="E115" s="39"/>
      <c r="J115" s="15">
        <f t="shared" si="8"/>
        <v>0</v>
      </c>
      <c r="K115" s="2" t="str">
        <f t="shared" si="9"/>
        <v xml:space="preserve"> </v>
      </c>
      <c r="L115" s="2" t="str">
        <f t="shared" si="6"/>
        <v xml:space="preserve"> </v>
      </c>
      <c r="M115" s="2" t="str">
        <f t="shared" si="7"/>
        <v xml:space="preserve"> </v>
      </c>
    </row>
    <row r="116" spans="1:13" x14ac:dyDescent="0.25">
      <c r="A116" s="40" t="str">
        <f t="shared" si="5"/>
        <v xml:space="preserve"> </v>
      </c>
      <c r="D116" s="39"/>
      <c r="E116" s="39"/>
      <c r="J116" s="15">
        <f t="shared" si="8"/>
        <v>0</v>
      </c>
      <c r="K116" s="2" t="str">
        <f t="shared" si="9"/>
        <v xml:space="preserve"> </v>
      </c>
      <c r="L116" s="2" t="str">
        <f t="shared" si="6"/>
        <v xml:space="preserve"> </v>
      </c>
      <c r="M116" s="2" t="str">
        <f t="shared" si="7"/>
        <v xml:space="preserve"> </v>
      </c>
    </row>
    <row r="117" spans="1:13" x14ac:dyDescent="0.25">
      <c r="A117" s="40" t="str">
        <f t="shared" si="5"/>
        <v xml:space="preserve"> </v>
      </c>
      <c r="D117" s="39"/>
      <c r="E117" s="39"/>
      <c r="J117" s="15">
        <f t="shared" si="8"/>
        <v>0</v>
      </c>
      <c r="K117" s="2" t="str">
        <f t="shared" si="9"/>
        <v xml:space="preserve"> </v>
      </c>
      <c r="L117" s="2" t="str">
        <f t="shared" si="6"/>
        <v xml:space="preserve"> </v>
      </c>
      <c r="M117" s="2" t="str">
        <f t="shared" si="7"/>
        <v xml:space="preserve"> </v>
      </c>
    </row>
    <row r="118" spans="1:13" x14ac:dyDescent="0.25">
      <c r="A118" s="40" t="str">
        <f t="shared" si="5"/>
        <v xml:space="preserve"> </v>
      </c>
      <c r="D118" s="39"/>
      <c r="E118" s="39"/>
      <c r="J118" s="15">
        <f t="shared" si="8"/>
        <v>0</v>
      </c>
      <c r="K118" s="2" t="str">
        <f t="shared" si="9"/>
        <v xml:space="preserve"> </v>
      </c>
      <c r="L118" s="2" t="str">
        <f t="shared" si="6"/>
        <v xml:space="preserve"> </v>
      </c>
      <c r="M118" s="2" t="str">
        <f t="shared" si="7"/>
        <v xml:space="preserve"> </v>
      </c>
    </row>
    <row r="119" spans="1:13" x14ac:dyDescent="0.25">
      <c r="A119" s="40" t="str">
        <f t="shared" si="5"/>
        <v xml:space="preserve"> </v>
      </c>
      <c r="D119" s="39"/>
      <c r="E119" s="39"/>
      <c r="J119" s="15">
        <f t="shared" si="8"/>
        <v>0</v>
      </c>
      <c r="K119" s="2" t="str">
        <f t="shared" si="9"/>
        <v xml:space="preserve"> </v>
      </c>
      <c r="L119" s="2" t="str">
        <f t="shared" si="6"/>
        <v xml:space="preserve"> </v>
      </c>
      <c r="M119" s="2" t="str">
        <f t="shared" si="7"/>
        <v xml:space="preserve"> </v>
      </c>
    </row>
    <row r="120" spans="1:13" x14ac:dyDescent="0.25">
      <c r="A120" s="40" t="str">
        <f t="shared" si="5"/>
        <v xml:space="preserve"> </v>
      </c>
      <c r="D120" s="39"/>
      <c r="E120" s="39"/>
      <c r="J120" s="15">
        <f t="shared" si="8"/>
        <v>0</v>
      </c>
      <c r="K120" s="2" t="str">
        <f t="shared" si="9"/>
        <v xml:space="preserve"> </v>
      </c>
      <c r="L120" s="2" t="str">
        <f t="shared" si="6"/>
        <v xml:space="preserve"> </v>
      </c>
      <c r="M120" s="2" t="str">
        <f t="shared" si="7"/>
        <v xml:space="preserve"> </v>
      </c>
    </row>
    <row r="121" spans="1:13" x14ac:dyDescent="0.25">
      <c r="A121" s="40" t="str">
        <f t="shared" si="5"/>
        <v xml:space="preserve"> </v>
      </c>
      <c r="D121" s="39"/>
      <c r="E121" s="39"/>
      <c r="J121" s="15">
        <f t="shared" si="8"/>
        <v>0</v>
      </c>
      <c r="K121" s="2" t="str">
        <f t="shared" si="9"/>
        <v xml:space="preserve"> </v>
      </c>
      <c r="L121" s="2" t="str">
        <f t="shared" si="6"/>
        <v xml:space="preserve"> </v>
      </c>
      <c r="M121" s="2" t="str">
        <f t="shared" si="7"/>
        <v xml:space="preserve"> </v>
      </c>
    </row>
    <row r="122" spans="1:13" x14ac:dyDescent="0.25">
      <c r="A122" s="40" t="str">
        <f t="shared" si="5"/>
        <v xml:space="preserve"> </v>
      </c>
      <c r="D122" s="39"/>
      <c r="E122" s="39"/>
      <c r="J122" s="15">
        <f t="shared" si="8"/>
        <v>0</v>
      </c>
      <c r="K122" s="2" t="str">
        <f t="shared" si="9"/>
        <v xml:space="preserve"> </v>
      </c>
      <c r="L122" s="2" t="str">
        <f t="shared" si="6"/>
        <v xml:space="preserve"> </v>
      </c>
      <c r="M122" s="2" t="str">
        <f t="shared" si="7"/>
        <v xml:space="preserve"> </v>
      </c>
    </row>
    <row r="123" spans="1:13" x14ac:dyDescent="0.25">
      <c r="A123" s="40" t="str">
        <f t="shared" si="5"/>
        <v xml:space="preserve"> </v>
      </c>
      <c r="D123" s="39"/>
      <c r="E123" s="39"/>
      <c r="J123" s="15">
        <f t="shared" si="8"/>
        <v>0</v>
      </c>
      <c r="K123" s="2" t="str">
        <f t="shared" si="9"/>
        <v xml:space="preserve"> </v>
      </c>
      <c r="L123" s="2" t="str">
        <f t="shared" si="6"/>
        <v xml:space="preserve"> </v>
      </c>
      <c r="M123" s="2" t="str">
        <f t="shared" si="7"/>
        <v xml:space="preserve"> </v>
      </c>
    </row>
    <row r="124" spans="1:13" x14ac:dyDescent="0.25">
      <c r="A124" s="40" t="str">
        <f t="shared" si="5"/>
        <v xml:space="preserve"> </v>
      </c>
      <c r="C124" s="46"/>
      <c r="D124" s="39"/>
      <c r="E124" s="39"/>
      <c r="J124" s="15">
        <f t="shared" si="8"/>
        <v>0</v>
      </c>
      <c r="K124" s="2" t="str">
        <f t="shared" si="9"/>
        <v xml:space="preserve"> </v>
      </c>
      <c r="L124" s="2" t="str">
        <f t="shared" si="6"/>
        <v xml:space="preserve"> </v>
      </c>
      <c r="M124" s="2" t="str">
        <f t="shared" si="7"/>
        <v xml:space="preserve"> </v>
      </c>
    </row>
    <row r="125" spans="1:13" x14ac:dyDescent="0.25">
      <c r="A125" s="40" t="str">
        <f t="shared" si="5"/>
        <v xml:space="preserve"> </v>
      </c>
      <c r="D125" s="39"/>
      <c r="E125" s="39"/>
      <c r="J125" s="15">
        <f t="shared" si="8"/>
        <v>0</v>
      </c>
      <c r="K125" s="2" t="str">
        <f t="shared" si="9"/>
        <v xml:space="preserve"> </v>
      </c>
      <c r="L125" s="2" t="str">
        <f t="shared" si="6"/>
        <v xml:space="preserve"> </v>
      </c>
      <c r="M125" s="2" t="str">
        <f t="shared" si="7"/>
        <v xml:space="preserve"> </v>
      </c>
    </row>
    <row r="126" spans="1:13" x14ac:dyDescent="0.25">
      <c r="A126" s="40" t="str">
        <f t="shared" si="5"/>
        <v xml:space="preserve"> </v>
      </c>
      <c r="D126" s="39"/>
      <c r="E126" s="39"/>
      <c r="J126" s="15">
        <f t="shared" si="8"/>
        <v>0</v>
      </c>
      <c r="K126" s="2" t="str">
        <f t="shared" si="9"/>
        <v xml:space="preserve"> </v>
      </c>
      <c r="L126" s="2" t="str">
        <f t="shared" si="6"/>
        <v xml:space="preserve"> </v>
      </c>
      <c r="M126" s="2" t="str">
        <f t="shared" si="7"/>
        <v xml:space="preserve"> </v>
      </c>
    </row>
    <row r="127" spans="1:13" x14ac:dyDescent="0.25">
      <c r="A127" s="40" t="str">
        <f t="shared" si="5"/>
        <v xml:space="preserve"> </v>
      </c>
      <c r="D127" s="39"/>
      <c r="E127" s="39"/>
      <c r="J127" s="15">
        <f t="shared" si="8"/>
        <v>0</v>
      </c>
      <c r="K127" s="2" t="str">
        <f t="shared" si="9"/>
        <v xml:space="preserve"> </v>
      </c>
      <c r="L127" s="2" t="str">
        <f t="shared" si="6"/>
        <v xml:space="preserve"> </v>
      </c>
      <c r="M127" s="2" t="str">
        <f t="shared" si="7"/>
        <v xml:space="preserve"> </v>
      </c>
    </row>
    <row r="128" spans="1:13" x14ac:dyDescent="0.25">
      <c r="A128" s="40" t="str">
        <f t="shared" si="5"/>
        <v xml:space="preserve"> </v>
      </c>
      <c r="D128" s="39"/>
      <c r="E128" s="39"/>
      <c r="J128" s="15">
        <f t="shared" si="8"/>
        <v>0</v>
      </c>
      <c r="K128" s="2" t="str">
        <f t="shared" si="9"/>
        <v xml:space="preserve"> </v>
      </c>
      <c r="L128" s="2" t="str">
        <f t="shared" si="6"/>
        <v xml:space="preserve"> </v>
      </c>
      <c r="M128" s="2" t="str">
        <f t="shared" si="7"/>
        <v xml:space="preserve"> </v>
      </c>
    </row>
    <row r="129" spans="1:13" x14ac:dyDescent="0.25">
      <c r="A129" s="40" t="str">
        <f t="shared" si="5"/>
        <v xml:space="preserve"> </v>
      </c>
      <c r="D129" s="39"/>
      <c r="E129" s="39"/>
      <c r="J129" s="15">
        <f t="shared" si="8"/>
        <v>0</v>
      </c>
      <c r="K129" s="2" t="str">
        <f t="shared" si="9"/>
        <v xml:space="preserve"> </v>
      </c>
      <c r="L129" s="2" t="str">
        <f t="shared" si="6"/>
        <v xml:space="preserve"> </v>
      </c>
      <c r="M129" s="2" t="str">
        <f t="shared" si="7"/>
        <v xml:space="preserve"> </v>
      </c>
    </row>
    <row r="130" spans="1:13" x14ac:dyDescent="0.25">
      <c r="A130" s="40" t="str">
        <f t="shared" si="5"/>
        <v xml:space="preserve"> </v>
      </c>
      <c r="D130" s="39"/>
      <c r="E130" s="39"/>
      <c r="J130" s="15">
        <f t="shared" si="8"/>
        <v>0</v>
      </c>
      <c r="K130" s="2" t="str">
        <f t="shared" si="9"/>
        <v xml:space="preserve"> </v>
      </c>
      <c r="L130" s="2" t="str">
        <f t="shared" si="6"/>
        <v xml:space="preserve"> </v>
      </c>
      <c r="M130" s="2" t="str">
        <f t="shared" si="7"/>
        <v xml:space="preserve"> </v>
      </c>
    </row>
    <row r="131" spans="1:13" x14ac:dyDescent="0.25">
      <c r="A131" s="40" t="str">
        <f t="shared" si="5"/>
        <v xml:space="preserve"> </v>
      </c>
      <c r="D131" s="39"/>
      <c r="E131" s="39"/>
      <c r="J131" s="15">
        <f t="shared" si="8"/>
        <v>0</v>
      </c>
      <c r="K131" s="2" t="str">
        <f t="shared" si="9"/>
        <v xml:space="preserve"> </v>
      </c>
      <c r="L131" s="2" t="str">
        <f t="shared" si="6"/>
        <v xml:space="preserve"> </v>
      </c>
      <c r="M131" s="2" t="str">
        <f t="shared" si="7"/>
        <v xml:space="preserve"> </v>
      </c>
    </row>
    <row r="132" spans="1:13" x14ac:dyDescent="0.25">
      <c r="A132" s="40" t="str">
        <f t="shared" si="5"/>
        <v xml:space="preserve"> </v>
      </c>
      <c r="D132" s="39"/>
      <c r="E132" s="39"/>
      <c r="J132" s="15">
        <f t="shared" si="8"/>
        <v>0</v>
      </c>
      <c r="K132" s="2" t="str">
        <f t="shared" si="9"/>
        <v xml:space="preserve"> </v>
      </c>
      <c r="L132" s="2" t="str">
        <f t="shared" si="6"/>
        <v xml:space="preserve"> </v>
      </c>
      <c r="M132" s="2" t="str">
        <f t="shared" si="7"/>
        <v xml:space="preserve"> </v>
      </c>
    </row>
    <row r="133" spans="1:13" x14ac:dyDescent="0.25">
      <c r="A133" s="40" t="str">
        <f t="shared" si="5"/>
        <v xml:space="preserve"> </v>
      </c>
      <c r="D133" s="39"/>
      <c r="E133" s="39"/>
      <c r="J133" s="15">
        <f t="shared" si="8"/>
        <v>0</v>
      </c>
      <c r="K133" s="2" t="str">
        <f t="shared" si="9"/>
        <v xml:space="preserve"> </v>
      </c>
      <c r="L133" s="2" t="str">
        <f t="shared" si="6"/>
        <v xml:space="preserve"> </v>
      </c>
      <c r="M133" s="2" t="str">
        <f t="shared" si="7"/>
        <v xml:space="preserve"> </v>
      </c>
    </row>
    <row r="134" spans="1:13" x14ac:dyDescent="0.25">
      <c r="A134" s="40" t="str">
        <f t="shared" si="5"/>
        <v xml:space="preserve"> </v>
      </c>
      <c r="D134" s="39"/>
      <c r="E134" s="39"/>
      <c r="J134" s="15">
        <f t="shared" si="8"/>
        <v>0</v>
      </c>
      <c r="K134" s="2" t="str">
        <f t="shared" si="9"/>
        <v xml:space="preserve"> </v>
      </c>
      <c r="L134" s="2" t="str">
        <f t="shared" si="6"/>
        <v xml:space="preserve"> </v>
      </c>
      <c r="M134" s="2" t="str">
        <f t="shared" si="7"/>
        <v xml:space="preserve"> </v>
      </c>
    </row>
    <row r="135" spans="1:13" x14ac:dyDescent="0.25">
      <c r="A135" s="40" t="str">
        <f t="shared" si="5"/>
        <v xml:space="preserve"> </v>
      </c>
      <c r="D135" s="39"/>
      <c r="E135" s="39"/>
      <c r="J135" s="15">
        <f t="shared" si="8"/>
        <v>0</v>
      </c>
      <c r="K135" s="2" t="str">
        <f t="shared" si="9"/>
        <v xml:space="preserve"> </v>
      </c>
      <c r="L135" s="2" t="str">
        <f t="shared" si="6"/>
        <v xml:space="preserve"> </v>
      </c>
      <c r="M135" s="2" t="str">
        <f t="shared" si="7"/>
        <v xml:space="preserve"> </v>
      </c>
    </row>
    <row r="136" spans="1:13" x14ac:dyDescent="0.25">
      <c r="A136" s="40" t="str">
        <f t="shared" si="5"/>
        <v xml:space="preserve"> </v>
      </c>
      <c r="D136" s="39"/>
      <c r="E136" s="39"/>
      <c r="J136" s="15">
        <f t="shared" si="8"/>
        <v>0</v>
      </c>
      <c r="K136" s="2" t="str">
        <f t="shared" si="9"/>
        <v xml:space="preserve"> </v>
      </c>
      <c r="L136" s="2" t="str">
        <f t="shared" si="6"/>
        <v xml:space="preserve"> </v>
      </c>
      <c r="M136" s="2" t="str">
        <f t="shared" si="7"/>
        <v xml:space="preserve"> </v>
      </c>
    </row>
    <row r="137" spans="1:13" x14ac:dyDescent="0.25">
      <c r="A137" s="40" t="str">
        <f t="shared" si="5"/>
        <v xml:space="preserve"> </v>
      </c>
      <c r="D137" s="39"/>
      <c r="E137" s="39"/>
      <c r="J137" s="15">
        <f t="shared" si="8"/>
        <v>0</v>
      </c>
      <c r="K137" s="2" t="str">
        <f t="shared" si="9"/>
        <v xml:space="preserve"> </v>
      </c>
      <c r="L137" s="2" t="str">
        <f t="shared" si="6"/>
        <v xml:space="preserve"> </v>
      </c>
      <c r="M137" s="2" t="str">
        <f t="shared" si="7"/>
        <v xml:space="preserve"> </v>
      </c>
    </row>
    <row r="138" spans="1:13" x14ac:dyDescent="0.25">
      <c r="A138" s="40" t="str">
        <f t="shared" si="5"/>
        <v xml:space="preserve"> </v>
      </c>
      <c r="D138" s="39"/>
      <c r="E138" s="39"/>
      <c r="J138" s="15">
        <f t="shared" si="8"/>
        <v>0</v>
      </c>
      <c r="K138" s="2" t="str">
        <f t="shared" si="9"/>
        <v xml:space="preserve"> </v>
      </c>
      <c r="L138" s="2" t="str">
        <f t="shared" si="6"/>
        <v xml:space="preserve"> </v>
      </c>
      <c r="M138" s="2" t="str">
        <f t="shared" si="7"/>
        <v xml:space="preserve"> </v>
      </c>
    </row>
    <row r="139" spans="1:13" x14ac:dyDescent="0.25">
      <c r="A139" s="40" t="str">
        <f t="shared" si="5"/>
        <v xml:space="preserve"> </v>
      </c>
      <c r="D139" s="39"/>
      <c r="E139" s="39"/>
      <c r="J139" s="15">
        <f t="shared" si="8"/>
        <v>0</v>
      </c>
      <c r="K139" s="2" t="str">
        <f t="shared" si="9"/>
        <v xml:space="preserve"> </v>
      </c>
      <c r="L139" s="2" t="str">
        <f t="shared" si="6"/>
        <v xml:space="preserve"> </v>
      </c>
      <c r="M139" s="2" t="str">
        <f t="shared" si="7"/>
        <v xml:space="preserve"> </v>
      </c>
    </row>
    <row r="140" spans="1:13" x14ac:dyDescent="0.25">
      <c r="A140" s="40" t="str">
        <f t="shared" si="5"/>
        <v xml:space="preserve"> </v>
      </c>
      <c r="D140" s="39"/>
      <c r="E140" s="39"/>
      <c r="J140" s="15">
        <f t="shared" si="8"/>
        <v>0</v>
      </c>
      <c r="K140" s="2" t="str">
        <f t="shared" si="9"/>
        <v xml:space="preserve"> </v>
      </c>
      <c r="L140" s="2" t="str">
        <f t="shared" si="6"/>
        <v xml:space="preserve"> </v>
      </c>
      <c r="M140" s="2" t="str">
        <f t="shared" si="7"/>
        <v xml:space="preserve"> </v>
      </c>
    </row>
    <row r="141" spans="1:13" x14ac:dyDescent="0.25">
      <c r="A141" s="40" t="str">
        <f t="shared" si="5"/>
        <v xml:space="preserve"> </v>
      </c>
      <c r="D141" s="39"/>
      <c r="E141" s="39"/>
      <c r="J141" s="15">
        <f t="shared" si="8"/>
        <v>0</v>
      </c>
      <c r="K141" s="2" t="str">
        <f t="shared" si="9"/>
        <v xml:space="preserve"> </v>
      </c>
      <c r="L141" s="2" t="str">
        <f t="shared" si="6"/>
        <v xml:space="preserve"> </v>
      </c>
      <c r="M141" s="2" t="str">
        <f t="shared" si="7"/>
        <v xml:space="preserve"> </v>
      </c>
    </row>
    <row r="142" spans="1:13" x14ac:dyDescent="0.25">
      <c r="A142" s="40" t="str">
        <f t="shared" si="5"/>
        <v xml:space="preserve"> </v>
      </c>
      <c r="D142" s="39"/>
      <c r="E142" s="39"/>
      <c r="J142" s="15">
        <f t="shared" si="8"/>
        <v>0</v>
      </c>
      <c r="K142" s="2" t="str">
        <f t="shared" si="9"/>
        <v xml:space="preserve"> </v>
      </c>
      <c r="L142" s="2" t="str">
        <f t="shared" si="6"/>
        <v xml:space="preserve"> </v>
      </c>
      <c r="M142" s="2" t="str">
        <f t="shared" si="7"/>
        <v xml:space="preserve"> </v>
      </c>
    </row>
    <row r="143" spans="1:13" x14ac:dyDescent="0.25">
      <c r="A143" s="40" t="str">
        <f t="shared" ref="A143:A206" si="10">IF(COUNTIF(K143:M143,"ERROR")&gt;0,"ERROR"," ")</f>
        <v xml:space="preserve"> </v>
      </c>
      <c r="D143" s="39"/>
      <c r="E143" s="39"/>
      <c r="J143" s="15">
        <f t="shared" si="8"/>
        <v>0</v>
      </c>
      <c r="K143" s="2" t="str">
        <f t="shared" si="9"/>
        <v xml:space="preserve"> </v>
      </c>
      <c r="L143" s="2" t="str">
        <f t="shared" ref="L143:L206" si="11">IF(D143=0," ",IF(COUNTIF(ProfitLoss2,D143)&gt;0," ","ERROR"))</f>
        <v xml:space="preserve"> </v>
      </c>
      <c r="M143" s="2" t="str">
        <f t="shared" ref="M143:M206" si="12">IF(E143=0," ",IF(COUNTIF(BalanceSheetA,E143)&gt;0," ","ERROR"))</f>
        <v xml:space="preserve"> </v>
      </c>
    </row>
    <row r="144" spans="1:13" x14ac:dyDescent="0.25">
      <c r="A144" s="40" t="str">
        <f t="shared" si="10"/>
        <v xml:space="preserve"> </v>
      </c>
      <c r="D144" s="39"/>
      <c r="E144" s="39"/>
      <c r="J144" s="15">
        <f t="shared" ref="J144:J207" si="13">F144-G144+H144-I144</f>
        <v>0</v>
      </c>
      <c r="K144" s="2" t="str">
        <f t="shared" ref="K144:K207" si="14">IF(COUNTA(D144:E144)=2,"ERROR"," ")</f>
        <v xml:space="preserve"> </v>
      </c>
      <c r="L144" s="2" t="str">
        <f t="shared" si="11"/>
        <v xml:space="preserve"> </v>
      </c>
      <c r="M144" s="2" t="str">
        <f t="shared" si="12"/>
        <v xml:space="preserve"> </v>
      </c>
    </row>
    <row r="145" spans="1:13" x14ac:dyDescent="0.25">
      <c r="A145" s="40" t="str">
        <f t="shared" si="10"/>
        <v xml:space="preserve"> </v>
      </c>
      <c r="D145" s="39"/>
      <c r="E145" s="39"/>
      <c r="J145" s="15">
        <f t="shared" si="13"/>
        <v>0</v>
      </c>
      <c r="K145" s="2" t="str">
        <f t="shared" si="14"/>
        <v xml:space="preserve"> </v>
      </c>
      <c r="L145" s="2" t="str">
        <f t="shared" si="11"/>
        <v xml:space="preserve"> </v>
      </c>
      <c r="M145" s="2" t="str">
        <f t="shared" si="12"/>
        <v xml:space="preserve"> </v>
      </c>
    </row>
    <row r="146" spans="1:13" x14ac:dyDescent="0.25">
      <c r="A146" s="40" t="str">
        <f t="shared" si="10"/>
        <v xml:space="preserve"> </v>
      </c>
      <c r="D146" s="39"/>
      <c r="E146" s="39"/>
      <c r="J146" s="15">
        <f t="shared" si="13"/>
        <v>0</v>
      </c>
      <c r="K146" s="2" t="str">
        <f t="shared" si="14"/>
        <v xml:space="preserve"> </v>
      </c>
      <c r="L146" s="2" t="str">
        <f t="shared" si="11"/>
        <v xml:space="preserve"> </v>
      </c>
      <c r="M146" s="2" t="str">
        <f t="shared" si="12"/>
        <v xml:space="preserve"> </v>
      </c>
    </row>
    <row r="147" spans="1:13" x14ac:dyDescent="0.25">
      <c r="A147" s="40" t="str">
        <f t="shared" si="10"/>
        <v xml:space="preserve"> </v>
      </c>
      <c r="D147" s="39"/>
      <c r="E147" s="39"/>
      <c r="J147" s="15">
        <f t="shared" si="13"/>
        <v>0</v>
      </c>
      <c r="K147" s="2" t="str">
        <f t="shared" si="14"/>
        <v xml:space="preserve"> </v>
      </c>
      <c r="L147" s="2" t="str">
        <f t="shared" si="11"/>
        <v xml:space="preserve"> </v>
      </c>
      <c r="M147" s="2" t="str">
        <f t="shared" si="12"/>
        <v xml:space="preserve"> </v>
      </c>
    </row>
    <row r="148" spans="1:13" x14ac:dyDescent="0.25">
      <c r="A148" s="40" t="str">
        <f t="shared" si="10"/>
        <v xml:space="preserve"> </v>
      </c>
      <c r="D148" s="39"/>
      <c r="E148" s="39"/>
      <c r="J148" s="15">
        <f t="shared" si="13"/>
        <v>0</v>
      </c>
      <c r="K148" s="2" t="str">
        <f t="shared" si="14"/>
        <v xml:space="preserve"> </v>
      </c>
      <c r="L148" s="2" t="str">
        <f t="shared" si="11"/>
        <v xml:space="preserve"> </v>
      </c>
      <c r="M148" s="2" t="str">
        <f t="shared" si="12"/>
        <v xml:space="preserve"> </v>
      </c>
    </row>
    <row r="149" spans="1:13" x14ac:dyDescent="0.25">
      <c r="A149" s="40" t="str">
        <f t="shared" si="10"/>
        <v xml:space="preserve"> </v>
      </c>
      <c r="D149" s="39"/>
      <c r="E149" s="39"/>
      <c r="J149" s="15">
        <f t="shared" si="13"/>
        <v>0</v>
      </c>
      <c r="K149" s="2" t="str">
        <f t="shared" si="14"/>
        <v xml:space="preserve"> </v>
      </c>
      <c r="L149" s="2" t="str">
        <f t="shared" si="11"/>
        <v xml:space="preserve"> </v>
      </c>
      <c r="M149" s="2" t="str">
        <f t="shared" si="12"/>
        <v xml:space="preserve"> </v>
      </c>
    </row>
    <row r="150" spans="1:13" x14ac:dyDescent="0.25">
      <c r="A150" s="40" t="str">
        <f t="shared" si="10"/>
        <v xml:space="preserve"> </v>
      </c>
      <c r="D150" s="39"/>
      <c r="E150" s="39"/>
      <c r="J150" s="15">
        <f t="shared" si="13"/>
        <v>0</v>
      </c>
      <c r="K150" s="2" t="str">
        <f t="shared" si="14"/>
        <v xml:space="preserve"> </v>
      </c>
      <c r="L150" s="2" t="str">
        <f t="shared" si="11"/>
        <v xml:space="preserve"> </v>
      </c>
      <c r="M150" s="2" t="str">
        <f t="shared" si="12"/>
        <v xml:space="preserve"> </v>
      </c>
    </row>
    <row r="151" spans="1:13" x14ac:dyDescent="0.25">
      <c r="A151" s="40" t="str">
        <f t="shared" si="10"/>
        <v xml:space="preserve"> </v>
      </c>
      <c r="D151" s="39"/>
      <c r="E151" s="39"/>
      <c r="J151" s="15">
        <f t="shared" si="13"/>
        <v>0</v>
      </c>
      <c r="K151" s="2" t="str">
        <f t="shared" si="14"/>
        <v xml:space="preserve"> </v>
      </c>
      <c r="L151" s="2" t="str">
        <f t="shared" si="11"/>
        <v xml:space="preserve"> </v>
      </c>
      <c r="M151" s="2" t="str">
        <f t="shared" si="12"/>
        <v xml:space="preserve"> </v>
      </c>
    </row>
    <row r="152" spans="1:13" x14ac:dyDescent="0.25">
      <c r="A152" s="40" t="str">
        <f t="shared" si="10"/>
        <v xml:space="preserve"> </v>
      </c>
      <c r="D152" s="39"/>
      <c r="E152" s="39"/>
      <c r="J152" s="15">
        <f t="shared" si="13"/>
        <v>0</v>
      </c>
      <c r="K152" s="2" t="str">
        <f t="shared" si="14"/>
        <v xml:space="preserve"> </v>
      </c>
      <c r="L152" s="2" t="str">
        <f t="shared" si="11"/>
        <v xml:space="preserve"> </v>
      </c>
      <c r="M152" s="2" t="str">
        <f t="shared" si="12"/>
        <v xml:space="preserve"> </v>
      </c>
    </row>
    <row r="153" spans="1:13" x14ac:dyDescent="0.25">
      <c r="A153" s="40" t="str">
        <f t="shared" si="10"/>
        <v xml:space="preserve"> </v>
      </c>
      <c r="D153" s="39"/>
      <c r="E153" s="39"/>
      <c r="J153" s="15">
        <f t="shared" si="13"/>
        <v>0</v>
      </c>
      <c r="K153" s="2" t="str">
        <f t="shared" si="14"/>
        <v xml:space="preserve"> </v>
      </c>
      <c r="L153" s="2" t="str">
        <f t="shared" si="11"/>
        <v xml:space="preserve"> </v>
      </c>
      <c r="M153" s="2" t="str">
        <f t="shared" si="12"/>
        <v xml:space="preserve"> </v>
      </c>
    </row>
    <row r="154" spans="1:13" x14ac:dyDescent="0.25">
      <c r="A154" s="40" t="str">
        <f t="shared" si="10"/>
        <v xml:space="preserve"> </v>
      </c>
      <c r="D154" s="39"/>
      <c r="E154" s="39"/>
      <c r="J154" s="15">
        <f t="shared" si="13"/>
        <v>0</v>
      </c>
      <c r="K154" s="2" t="str">
        <f t="shared" si="14"/>
        <v xml:space="preserve"> </v>
      </c>
      <c r="L154" s="2" t="str">
        <f t="shared" si="11"/>
        <v xml:space="preserve"> </v>
      </c>
      <c r="M154" s="2" t="str">
        <f t="shared" si="12"/>
        <v xml:space="preserve"> </v>
      </c>
    </row>
    <row r="155" spans="1:13" x14ac:dyDescent="0.25">
      <c r="A155" s="40" t="str">
        <f t="shared" si="10"/>
        <v xml:space="preserve"> </v>
      </c>
      <c r="D155" s="39"/>
      <c r="E155" s="39"/>
      <c r="J155" s="15">
        <f t="shared" si="13"/>
        <v>0</v>
      </c>
      <c r="K155" s="2" t="str">
        <f t="shared" si="14"/>
        <v xml:space="preserve"> </v>
      </c>
      <c r="L155" s="2" t="str">
        <f t="shared" si="11"/>
        <v xml:space="preserve"> </v>
      </c>
      <c r="M155" s="2" t="str">
        <f t="shared" si="12"/>
        <v xml:space="preserve"> </v>
      </c>
    </row>
    <row r="156" spans="1:13" x14ac:dyDescent="0.25">
      <c r="A156" s="40" t="str">
        <f t="shared" si="10"/>
        <v xml:space="preserve"> </v>
      </c>
      <c r="D156" s="39"/>
      <c r="E156" s="39"/>
      <c r="J156" s="15">
        <f t="shared" si="13"/>
        <v>0</v>
      </c>
      <c r="K156" s="2" t="str">
        <f t="shared" si="14"/>
        <v xml:space="preserve"> </v>
      </c>
      <c r="L156" s="2" t="str">
        <f t="shared" si="11"/>
        <v xml:space="preserve"> </v>
      </c>
      <c r="M156" s="2" t="str">
        <f t="shared" si="12"/>
        <v xml:space="preserve"> </v>
      </c>
    </row>
    <row r="157" spans="1:13" x14ac:dyDescent="0.25">
      <c r="A157" s="40" t="str">
        <f t="shared" si="10"/>
        <v xml:space="preserve"> </v>
      </c>
      <c r="D157" s="39"/>
      <c r="E157" s="39"/>
      <c r="J157" s="15">
        <f t="shared" si="13"/>
        <v>0</v>
      </c>
      <c r="K157" s="2" t="str">
        <f t="shared" si="14"/>
        <v xml:space="preserve"> </v>
      </c>
      <c r="L157" s="2" t="str">
        <f t="shared" si="11"/>
        <v xml:space="preserve"> </v>
      </c>
      <c r="M157" s="2" t="str">
        <f t="shared" si="12"/>
        <v xml:space="preserve"> </v>
      </c>
    </row>
    <row r="158" spans="1:13" x14ac:dyDescent="0.25">
      <c r="A158" s="40" t="str">
        <f t="shared" si="10"/>
        <v xml:space="preserve"> </v>
      </c>
      <c r="D158" s="39"/>
      <c r="E158" s="39"/>
      <c r="J158" s="15">
        <f t="shared" si="13"/>
        <v>0</v>
      </c>
      <c r="K158" s="2" t="str">
        <f t="shared" si="14"/>
        <v xml:space="preserve"> </v>
      </c>
      <c r="L158" s="2" t="str">
        <f t="shared" si="11"/>
        <v xml:space="preserve"> </v>
      </c>
      <c r="M158" s="2" t="str">
        <f t="shared" si="12"/>
        <v xml:space="preserve"> </v>
      </c>
    </row>
    <row r="159" spans="1:13" x14ac:dyDescent="0.25">
      <c r="A159" s="40" t="str">
        <f t="shared" si="10"/>
        <v xml:space="preserve"> </v>
      </c>
      <c r="D159" s="39"/>
      <c r="E159" s="39"/>
      <c r="J159" s="15">
        <f t="shared" si="13"/>
        <v>0</v>
      </c>
      <c r="K159" s="2" t="str">
        <f t="shared" si="14"/>
        <v xml:space="preserve"> </v>
      </c>
      <c r="L159" s="2" t="str">
        <f t="shared" si="11"/>
        <v xml:space="preserve"> </v>
      </c>
      <c r="M159" s="2" t="str">
        <f t="shared" si="12"/>
        <v xml:space="preserve"> </v>
      </c>
    </row>
    <row r="160" spans="1:13" x14ac:dyDescent="0.25">
      <c r="A160" s="40" t="str">
        <f t="shared" si="10"/>
        <v xml:space="preserve"> </v>
      </c>
      <c r="D160" s="39"/>
      <c r="E160" s="39"/>
      <c r="J160" s="15">
        <f t="shared" si="13"/>
        <v>0</v>
      </c>
      <c r="K160" s="2" t="str">
        <f t="shared" si="14"/>
        <v xml:space="preserve"> </v>
      </c>
      <c r="L160" s="2" t="str">
        <f t="shared" si="11"/>
        <v xml:space="preserve"> </v>
      </c>
      <c r="M160" s="2" t="str">
        <f t="shared" si="12"/>
        <v xml:space="preserve"> </v>
      </c>
    </row>
    <row r="161" spans="1:13" x14ac:dyDescent="0.25">
      <c r="A161" s="40" t="str">
        <f t="shared" si="10"/>
        <v xml:space="preserve"> </v>
      </c>
      <c r="D161" s="39"/>
      <c r="E161" s="39"/>
      <c r="J161" s="15">
        <f t="shared" si="13"/>
        <v>0</v>
      </c>
      <c r="K161" s="2" t="str">
        <f t="shared" si="14"/>
        <v xml:space="preserve"> </v>
      </c>
      <c r="L161" s="2" t="str">
        <f t="shared" si="11"/>
        <v xml:space="preserve"> </v>
      </c>
      <c r="M161" s="2" t="str">
        <f t="shared" si="12"/>
        <v xml:space="preserve"> </v>
      </c>
    </row>
    <row r="162" spans="1:13" x14ac:dyDescent="0.25">
      <c r="A162" s="40" t="str">
        <f t="shared" si="10"/>
        <v xml:space="preserve"> </v>
      </c>
      <c r="D162" s="39"/>
      <c r="E162" s="39"/>
      <c r="J162" s="15">
        <f t="shared" si="13"/>
        <v>0</v>
      </c>
      <c r="K162" s="2" t="str">
        <f t="shared" si="14"/>
        <v xml:space="preserve"> </v>
      </c>
      <c r="L162" s="2" t="str">
        <f t="shared" si="11"/>
        <v xml:space="preserve"> </v>
      </c>
      <c r="M162" s="2" t="str">
        <f t="shared" si="12"/>
        <v xml:space="preserve"> </v>
      </c>
    </row>
    <row r="163" spans="1:13" x14ac:dyDescent="0.25">
      <c r="A163" s="40" t="str">
        <f t="shared" si="10"/>
        <v xml:space="preserve"> </v>
      </c>
      <c r="D163" s="39"/>
      <c r="E163" s="39"/>
      <c r="J163" s="15">
        <f t="shared" si="13"/>
        <v>0</v>
      </c>
      <c r="K163" s="2" t="str">
        <f t="shared" si="14"/>
        <v xml:space="preserve"> </v>
      </c>
      <c r="L163" s="2" t="str">
        <f t="shared" si="11"/>
        <v xml:space="preserve"> </v>
      </c>
      <c r="M163" s="2" t="str">
        <f t="shared" si="12"/>
        <v xml:space="preserve"> </v>
      </c>
    </row>
    <row r="164" spans="1:13" x14ac:dyDescent="0.25">
      <c r="A164" s="40" t="str">
        <f t="shared" si="10"/>
        <v xml:space="preserve"> </v>
      </c>
      <c r="D164" s="39"/>
      <c r="E164" s="39"/>
      <c r="J164" s="15">
        <f t="shared" si="13"/>
        <v>0</v>
      </c>
      <c r="K164" s="2" t="str">
        <f t="shared" si="14"/>
        <v xml:space="preserve"> </v>
      </c>
      <c r="L164" s="2" t="str">
        <f t="shared" si="11"/>
        <v xml:space="preserve"> </v>
      </c>
      <c r="M164" s="2" t="str">
        <f t="shared" si="12"/>
        <v xml:space="preserve"> </v>
      </c>
    </row>
    <row r="165" spans="1:13" x14ac:dyDescent="0.25">
      <c r="A165" s="40" t="str">
        <f t="shared" si="10"/>
        <v xml:space="preserve"> </v>
      </c>
      <c r="D165" s="39"/>
      <c r="E165" s="39"/>
      <c r="J165" s="15">
        <f t="shared" si="13"/>
        <v>0</v>
      </c>
      <c r="K165" s="2" t="str">
        <f t="shared" si="14"/>
        <v xml:space="preserve"> </v>
      </c>
      <c r="L165" s="2" t="str">
        <f t="shared" si="11"/>
        <v xml:space="preserve"> </v>
      </c>
      <c r="M165" s="2" t="str">
        <f t="shared" si="12"/>
        <v xml:space="preserve"> </v>
      </c>
    </row>
    <row r="166" spans="1:13" x14ac:dyDescent="0.25">
      <c r="A166" s="40" t="str">
        <f t="shared" si="10"/>
        <v xml:space="preserve"> </v>
      </c>
      <c r="D166" s="39"/>
      <c r="E166" s="39"/>
      <c r="J166" s="15">
        <f t="shared" si="13"/>
        <v>0</v>
      </c>
      <c r="K166" s="2" t="str">
        <f t="shared" si="14"/>
        <v xml:space="preserve"> </v>
      </c>
      <c r="L166" s="2" t="str">
        <f t="shared" si="11"/>
        <v xml:space="preserve"> </v>
      </c>
      <c r="M166" s="2" t="str">
        <f t="shared" si="12"/>
        <v xml:space="preserve"> </v>
      </c>
    </row>
    <row r="167" spans="1:13" x14ac:dyDescent="0.25">
      <c r="A167" s="40" t="str">
        <f t="shared" si="10"/>
        <v xml:space="preserve"> </v>
      </c>
      <c r="D167" s="39"/>
      <c r="E167" s="39"/>
      <c r="J167" s="15">
        <f t="shared" si="13"/>
        <v>0</v>
      </c>
      <c r="K167" s="2" t="str">
        <f t="shared" si="14"/>
        <v xml:space="preserve"> </v>
      </c>
      <c r="L167" s="2" t="str">
        <f t="shared" si="11"/>
        <v xml:space="preserve"> </v>
      </c>
      <c r="M167" s="2" t="str">
        <f t="shared" si="12"/>
        <v xml:space="preserve"> </v>
      </c>
    </row>
    <row r="168" spans="1:13" x14ac:dyDescent="0.25">
      <c r="A168" s="40" t="str">
        <f t="shared" si="10"/>
        <v xml:space="preserve"> </v>
      </c>
      <c r="D168" s="39"/>
      <c r="E168" s="39"/>
      <c r="J168" s="15">
        <f t="shared" si="13"/>
        <v>0</v>
      </c>
      <c r="K168" s="2" t="str">
        <f t="shared" si="14"/>
        <v xml:space="preserve"> </v>
      </c>
      <c r="L168" s="2" t="str">
        <f t="shared" si="11"/>
        <v xml:space="preserve"> </v>
      </c>
      <c r="M168" s="2" t="str">
        <f t="shared" si="12"/>
        <v xml:space="preserve"> </v>
      </c>
    </row>
    <row r="169" spans="1:13" x14ac:dyDescent="0.25">
      <c r="A169" s="40" t="str">
        <f t="shared" si="10"/>
        <v xml:space="preserve"> </v>
      </c>
      <c r="D169" s="39"/>
      <c r="E169" s="39"/>
      <c r="J169" s="15">
        <f t="shared" si="13"/>
        <v>0</v>
      </c>
      <c r="K169" s="2" t="str">
        <f t="shared" si="14"/>
        <v xml:space="preserve"> </v>
      </c>
      <c r="L169" s="2" t="str">
        <f t="shared" si="11"/>
        <v xml:space="preserve"> </v>
      </c>
      <c r="M169" s="2" t="str">
        <f t="shared" si="12"/>
        <v xml:space="preserve"> </v>
      </c>
    </row>
    <row r="170" spans="1:13" x14ac:dyDescent="0.25">
      <c r="A170" s="40" t="str">
        <f t="shared" si="10"/>
        <v xml:space="preserve"> </v>
      </c>
      <c r="D170" s="39"/>
      <c r="E170" s="39"/>
      <c r="J170" s="15">
        <f t="shared" si="13"/>
        <v>0</v>
      </c>
      <c r="K170" s="2" t="str">
        <f t="shared" si="14"/>
        <v xml:space="preserve"> </v>
      </c>
      <c r="L170" s="2" t="str">
        <f t="shared" si="11"/>
        <v xml:space="preserve"> </v>
      </c>
      <c r="M170" s="2" t="str">
        <f t="shared" si="12"/>
        <v xml:space="preserve"> </v>
      </c>
    </row>
    <row r="171" spans="1:13" x14ac:dyDescent="0.25">
      <c r="A171" s="40" t="str">
        <f t="shared" si="10"/>
        <v xml:space="preserve"> </v>
      </c>
      <c r="D171" s="39"/>
      <c r="E171" s="39"/>
      <c r="J171" s="15">
        <f t="shared" si="13"/>
        <v>0</v>
      </c>
      <c r="K171" s="2" t="str">
        <f t="shared" si="14"/>
        <v xml:space="preserve"> </v>
      </c>
      <c r="L171" s="2" t="str">
        <f t="shared" si="11"/>
        <v xml:space="preserve"> </v>
      </c>
      <c r="M171" s="2" t="str">
        <f t="shared" si="12"/>
        <v xml:space="preserve"> </v>
      </c>
    </row>
    <row r="172" spans="1:13" x14ac:dyDescent="0.25">
      <c r="A172" s="40" t="str">
        <f t="shared" si="10"/>
        <v xml:space="preserve"> </v>
      </c>
      <c r="D172" s="39"/>
      <c r="E172" s="39"/>
      <c r="J172" s="15">
        <f t="shared" si="13"/>
        <v>0</v>
      </c>
      <c r="K172" s="2" t="str">
        <f t="shared" si="14"/>
        <v xml:space="preserve"> </v>
      </c>
      <c r="L172" s="2" t="str">
        <f t="shared" si="11"/>
        <v xml:space="preserve"> </v>
      </c>
      <c r="M172" s="2" t="str">
        <f t="shared" si="12"/>
        <v xml:space="preserve"> </v>
      </c>
    </row>
    <row r="173" spans="1:13" x14ac:dyDescent="0.25">
      <c r="A173" s="40" t="str">
        <f t="shared" si="10"/>
        <v xml:space="preserve"> </v>
      </c>
      <c r="D173" s="39"/>
      <c r="E173" s="39"/>
      <c r="J173" s="15">
        <f t="shared" si="13"/>
        <v>0</v>
      </c>
      <c r="K173" s="2" t="str">
        <f t="shared" si="14"/>
        <v xml:space="preserve"> </v>
      </c>
      <c r="L173" s="2" t="str">
        <f t="shared" si="11"/>
        <v xml:space="preserve"> </v>
      </c>
      <c r="M173" s="2" t="str">
        <f t="shared" si="12"/>
        <v xml:space="preserve"> </v>
      </c>
    </row>
    <row r="174" spans="1:13" x14ac:dyDescent="0.25">
      <c r="A174" s="40" t="str">
        <f t="shared" si="10"/>
        <v xml:space="preserve"> </v>
      </c>
      <c r="D174" s="39"/>
      <c r="E174" s="39"/>
      <c r="J174" s="15">
        <f t="shared" si="13"/>
        <v>0</v>
      </c>
      <c r="K174" s="2" t="str">
        <f t="shared" si="14"/>
        <v xml:space="preserve"> </v>
      </c>
      <c r="L174" s="2" t="str">
        <f t="shared" si="11"/>
        <v xml:space="preserve"> </v>
      </c>
      <c r="M174" s="2" t="str">
        <f t="shared" si="12"/>
        <v xml:space="preserve"> </v>
      </c>
    </row>
    <row r="175" spans="1:13" x14ac:dyDescent="0.25">
      <c r="A175" s="40" t="str">
        <f t="shared" si="10"/>
        <v xml:space="preserve"> </v>
      </c>
      <c r="D175" s="39"/>
      <c r="E175" s="39"/>
      <c r="J175" s="15">
        <f t="shared" si="13"/>
        <v>0</v>
      </c>
      <c r="K175" s="2" t="str">
        <f t="shared" si="14"/>
        <v xml:space="preserve"> </v>
      </c>
      <c r="L175" s="2" t="str">
        <f t="shared" si="11"/>
        <v xml:space="preserve"> </v>
      </c>
      <c r="M175" s="2" t="str">
        <f t="shared" si="12"/>
        <v xml:space="preserve"> </v>
      </c>
    </row>
    <row r="176" spans="1:13" x14ac:dyDescent="0.25">
      <c r="A176" s="40" t="str">
        <f t="shared" si="10"/>
        <v xml:space="preserve"> </v>
      </c>
      <c r="D176" s="39"/>
      <c r="E176" s="39"/>
      <c r="J176" s="15">
        <f t="shared" si="13"/>
        <v>0</v>
      </c>
      <c r="K176" s="2" t="str">
        <f t="shared" si="14"/>
        <v xml:space="preserve"> </v>
      </c>
      <c r="L176" s="2" t="str">
        <f t="shared" si="11"/>
        <v xml:space="preserve"> </v>
      </c>
      <c r="M176" s="2" t="str">
        <f t="shared" si="12"/>
        <v xml:space="preserve"> </v>
      </c>
    </row>
    <row r="177" spans="1:13" x14ac:dyDescent="0.25">
      <c r="A177" s="40" t="str">
        <f t="shared" si="10"/>
        <v xml:space="preserve"> </v>
      </c>
      <c r="D177" s="39"/>
      <c r="E177" s="39"/>
      <c r="J177" s="15">
        <f t="shared" si="13"/>
        <v>0</v>
      </c>
      <c r="K177" s="2" t="str">
        <f t="shared" si="14"/>
        <v xml:space="preserve"> </v>
      </c>
      <c r="L177" s="2" t="str">
        <f t="shared" si="11"/>
        <v xml:space="preserve"> </v>
      </c>
      <c r="M177" s="2" t="str">
        <f t="shared" si="12"/>
        <v xml:space="preserve"> </v>
      </c>
    </row>
    <row r="178" spans="1:13" x14ac:dyDescent="0.25">
      <c r="A178" s="40" t="str">
        <f t="shared" si="10"/>
        <v xml:space="preserve"> </v>
      </c>
      <c r="D178" s="39"/>
      <c r="E178" s="39"/>
      <c r="J178" s="15">
        <f t="shared" si="13"/>
        <v>0</v>
      </c>
      <c r="K178" s="2" t="str">
        <f t="shared" si="14"/>
        <v xml:space="preserve"> </v>
      </c>
      <c r="L178" s="2" t="str">
        <f t="shared" si="11"/>
        <v xml:space="preserve"> </v>
      </c>
      <c r="M178" s="2" t="str">
        <f t="shared" si="12"/>
        <v xml:space="preserve"> </v>
      </c>
    </row>
    <row r="179" spans="1:13" x14ac:dyDescent="0.25">
      <c r="A179" s="40" t="str">
        <f t="shared" si="10"/>
        <v xml:space="preserve"> </v>
      </c>
      <c r="D179" s="39"/>
      <c r="E179" s="39"/>
      <c r="J179" s="15">
        <f t="shared" si="13"/>
        <v>0</v>
      </c>
      <c r="K179" s="2" t="str">
        <f t="shared" si="14"/>
        <v xml:space="preserve"> </v>
      </c>
      <c r="L179" s="2" t="str">
        <f t="shared" si="11"/>
        <v xml:space="preserve"> </v>
      </c>
      <c r="M179" s="2" t="str">
        <f t="shared" si="12"/>
        <v xml:space="preserve"> </v>
      </c>
    </row>
    <row r="180" spans="1:13" x14ac:dyDescent="0.25">
      <c r="A180" s="40" t="str">
        <f t="shared" si="10"/>
        <v xml:space="preserve"> </v>
      </c>
      <c r="D180" s="39"/>
      <c r="E180" s="39"/>
      <c r="J180" s="15">
        <f t="shared" si="13"/>
        <v>0</v>
      </c>
      <c r="K180" s="2" t="str">
        <f t="shared" si="14"/>
        <v xml:space="preserve"> </v>
      </c>
      <c r="L180" s="2" t="str">
        <f t="shared" si="11"/>
        <v xml:space="preserve"> </v>
      </c>
      <c r="M180" s="2" t="str">
        <f t="shared" si="12"/>
        <v xml:space="preserve"> </v>
      </c>
    </row>
    <row r="181" spans="1:13" x14ac:dyDescent="0.25">
      <c r="A181" s="40" t="str">
        <f t="shared" si="10"/>
        <v xml:space="preserve"> </v>
      </c>
      <c r="D181" s="39"/>
      <c r="E181" s="39"/>
      <c r="J181" s="15">
        <f t="shared" si="13"/>
        <v>0</v>
      </c>
      <c r="K181" s="2" t="str">
        <f t="shared" si="14"/>
        <v xml:space="preserve"> </v>
      </c>
      <c r="L181" s="2" t="str">
        <f t="shared" si="11"/>
        <v xml:space="preserve"> </v>
      </c>
      <c r="M181" s="2" t="str">
        <f t="shared" si="12"/>
        <v xml:space="preserve"> </v>
      </c>
    </row>
    <row r="182" spans="1:13" x14ac:dyDescent="0.25">
      <c r="A182" s="40" t="str">
        <f t="shared" si="10"/>
        <v xml:space="preserve"> </v>
      </c>
      <c r="D182" s="39"/>
      <c r="E182" s="39"/>
      <c r="J182" s="15">
        <f t="shared" si="13"/>
        <v>0</v>
      </c>
      <c r="K182" s="2" t="str">
        <f t="shared" si="14"/>
        <v xml:space="preserve"> </v>
      </c>
      <c r="L182" s="2" t="str">
        <f t="shared" si="11"/>
        <v xml:space="preserve"> </v>
      </c>
      <c r="M182" s="2" t="str">
        <f t="shared" si="12"/>
        <v xml:space="preserve"> </v>
      </c>
    </row>
    <row r="183" spans="1:13" x14ac:dyDescent="0.25">
      <c r="A183" s="40" t="str">
        <f t="shared" si="10"/>
        <v xml:space="preserve"> </v>
      </c>
      <c r="D183" s="39"/>
      <c r="E183" s="39"/>
      <c r="J183" s="15">
        <f t="shared" si="13"/>
        <v>0</v>
      </c>
      <c r="K183" s="2" t="str">
        <f t="shared" si="14"/>
        <v xml:space="preserve"> </v>
      </c>
      <c r="L183" s="2" t="str">
        <f t="shared" si="11"/>
        <v xml:space="preserve"> </v>
      </c>
      <c r="M183" s="2" t="str">
        <f t="shared" si="12"/>
        <v xml:space="preserve"> </v>
      </c>
    </row>
    <row r="184" spans="1:13" x14ac:dyDescent="0.25">
      <c r="A184" s="40" t="str">
        <f t="shared" si="10"/>
        <v xml:space="preserve"> </v>
      </c>
      <c r="D184" s="39"/>
      <c r="E184" s="39"/>
      <c r="J184" s="15">
        <f t="shared" si="13"/>
        <v>0</v>
      </c>
      <c r="K184" s="2" t="str">
        <f t="shared" si="14"/>
        <v xml:space="preserve"> </v>
      </c>
      <c r="L184" s="2" t="str">
        <f t="shared" si="11"/>
        <v xml:space="preserve"> </v>
      </c>
      <c r="M184" s="2" t="str">
        <f t="shared" si="12"/>
        <v xml:space="preserve"> </v>
      </c>
    </row>
    <row r="185" spans="1:13" x14ac:dyDescent="0.25">
      <c r="A185" s="40" t="str">
        <f t="shared" si="10"/>
        <v xml:space="preserve"> </v>
      </c>
      <c r="D185" s="39"/>
      <c r="E185" s="39"/>
      <c r="J185" s="15">
        <f t="shared" si="13"/>
        <v>0</v>
      </c>
      <c r="K185" s="2" t="str">
        <f t="shared" si="14"/>
        <v xml:space="preserve"> </v>
      </c>
      <c r="L185" s="2" t="str">
        <f t="shared" si="11"/>
        <v xml:space="preserve"> </v>
      </c>
      <c r="M185" s="2" t="str">
        <f t="shared" si="12"/>
        <v xml:space="preserve"> </v>
      </c>
    </row>
    <row r="186" spans="1:13" x14ac:dyDescent="0.25">
      <c r="A186" s="40" t="str">
        <f t="shared" si="10"/>
        <v xml:space="preserve"> </v>
      </c>
      <c r="D186" s="39"/>
      <c r="E186" s="39"/>
      <c r="J186" s="15">
        <f t="shared" si="13"/>
        <v>0</v>
      </c>
      <c r="K186" s="2" t="str">
        <f t="shared" si="14"/>
        <v xml:space="preserve"> </v>
      </c>
      <c r="L186" s="2" t="str">
        <f t="shared" si="11"/>
        <v xml:space="preserve"> </v>
      </c>
      <c r="M186" s="2" t="str">
        <f t="shared" si="12"/>
        <v xml:space="preserve"> </v>
      </c>
    </row>
    <row r="187" spans="1:13" x14ac:dyDescent="0.25">
      <c r="A187" s="40" t="str">
        <f t="shared" si="10"/>
        <v xml:space="preserve"> </v>
      </c>
      <c r="D187" s="39"/>
      <c r="E187" s="39"/>
      <c r="J187" s="15">
        <f t="shared" si="13"/>
        <v>0</v>
      </c>
      <c r="K187" s="2" t="str">
        <f t="shared" si="14"/>
        <v xml:space="preserve"> </v>
      </c>
      <c r="L187" s="2" t="str">
        <f t="shared" si="11"/>
        <v xml:space="preserve"> </v>
      </c>
      <c r="M187" s="2" t="str">
        <f t="shared" si="12"/>
        <v xml:space="preserve"> </v>
      </c>
    </row>
    <row r="188" spans="1:13" x14ac:dyDescent="0.25">
      <c r="A188" s="40" t="str">
        <f t="shared" si="10"/>
        <v xml:space="preserve"> </v>
      </c>
      <c r="D188" s="39"/>
      <c r="E188" s="39"/>
      <c r="J188" s="15">
        <f t="shared" si="13"/>
        <v>0</v>
      </c>
      <c r="K188" s="2" t="str">
        <f t="shared" si="14"/>
        <v xml:space="preserve"> </v>
      </c>
      <c r="L188" s="2" t="str">
        <f t="shared" si="11"/>
        <v xml:space="preserve"> </v>
      </c>
      <c r="M188" s="2" t="str">
        <f t="shared" si="12"/>
        <v xml:space="preserve"> </v>
      </c>
    </row>
    <row r="189" spans="1:13" x14ac:dyDescent="0.25">
      <c r="A189" s="40" t="str">
        <f t="shared" si="10"/>
        <v xml:space="preserve"> </v>
      </c>
      <c r="D189" s="39"/>
      <c r="E189" s="39"/>
      <c r="J189" s="15">
        <f t="shared" si="13"/>
        <v>0</v>
      </c>
      <c r="K189" s="2" t="str">
        <f t="shared" si="14"/>
        <v xml:space="preserve"> </v>
      </c>
      <c r="L189" s="2" t="str">
        <f t="shared" si="11"/>
        <v xml:space="preserve"> </v>
      </c>
      <c r="M189" s="2" t="str">
        <f t="shared" si="12"/>
        <v xml:space="preserve"> </v>
      </c>
    </row>
    <row r="190" spans="1:13" x14ac:dyDescent="0.25">
      <c r="A190" s="40" t="str">
        <f t="shared" si="10"/>
        <v xml:space="preserve"> </v>
      </c>
      <c r="D190" s="39"/>
      <c r="E190" s="39"/>
      <c r="J190" s="15">
        <f t="shared" si="13"/>
        <v>0</v>
      </c>
      <c r="K190" s="2" t="str">
        <f t="shared" si="14"/>
        <v xml:space="preserve"> </v>
      </c>
      <c r="L190" s="2" t="str">
        <f t="shared" si="11"/>
        <v xml:space="preserve"> </v>
      </c>
      <c r="M190" s="2" t="str">
        <f t="shared" si="12"/>
        <v xml:space="preserve"> </v>
      </c>
    </row>
    <row r="191" spans="1:13" x14ac:dyDescent="0.25">
      <c r="A191" s="40" t="str">
        <f t="shared" si="10"/>
        <v xml:space="preserve"> </v>
      </c>
      <c r="D191" s="39"/>
      <c r="E191" s="39"/>
      <c r="J191" s="15">
        <f t="shared" si="13"/>
        <v>0</v>
      </c>
      <c r="K191" s="2" t="str">
        <f t="shared" si="14"/>
        <v xml:space="preserve"> </v>
      </c>
      <c r="L191" s="2" t="str">
        <f t="shared" si="11"/>
        <v xml:space="preserve"> </v>
      </c>
      <c r="M191" s="2" t="str">
        <f t="shared" si="12"/>
        <v xml:space="preserve"> </v>
      </c>
    </row>
    <row r="192" spans="1:13" x14ac:dyDescent="0.25">
      <c r="A192" s="40" t="str">
        <f t="shared" si="10"/>
        <v xml:space="preserve"> </v>
      </c>
      <c r="D192" s="39"/>
      <c r="E192" s="39"/>
      <c r="J192" s="15">
        <f t="shared" si="13"/>
        <v>0</v>
      </c>
      <c r="K192" s="2" t="str">
        <f t="shared" si="14"/>
        <v xml:space="preserve"> </v>
      </c>
      <c r="L192" s="2" t="str">
        <f t="shared" si="11"/>
        <v xml:space="preserve"> </v>
      </c>
      <c r="M192" s="2" t="str">
        <f t="shared" si="12"/>
        <v xml:space="preserve"> </v>
      </c>
    </row>
    <row r="193" spans="1:13" x14ac:dyDescent="0.25">
      <c r="A193" s="40" t="str">
        <f t="shared" si="10"/>
        <v xml:space="preserve"> </v>
      </c>
      <c r="D193" s="39"/>
      <c r="E193" s="39"/>
      <c r="J193" s="15">
        <f t="shared" si="13"/>
        <v>0</v>
      </c>
      <c r="K193" s="2" t="str">
        <f t="shared" si="14"/>
        <v xml:space="preserve"> </v>
      </c>
      <c r="L193" s="2" t="str">
        <f t="shared" si="11"/>
        <v xml:space="preserve"> </v>
      </c>
      <c r="M193" s="2" t="str">
        <f t="shared" si="12"/>
        <v xml:space="preserve"> </v>
      </c>
    </row>
    <row r="194" spans="1:13" x14ac:dyDescent="0.25">
      <c r="A194" s="40" t="str">
        <f t="shared" si="10"/>
        <v xml:space="preserve"> </v>
      </c>
      <c r="D194" s="39"/>
      <c r="E194" s="39"/>
      <c r="J194" s="15">
        <f t="shared" si="13"/>
        <v>0</v>
      </c>
      <c r="K194" s="2" t="str">
        <f t="shared" si="14"/>
        <v xml:space="preserve"> </v>
      </c>
      <c r="L194" s="2" t="str">
        <f t="shared" si="11"/>
        <v xml:space="preserve"> </v>
      </c>
      <c r="M194" s="2" t="str">
        <f t="shared" si="12"/>
        <v xml:space="preserve"> </v>
      </c>
    </row>
    <row r="195" spans="1:13" x14ac:dyDescent="0.25">
      <c r="A195" s="40" t="str">
        <f t="shared" si="10"/>
        <v xml:space="preserve"> </v>
      </c>
      <c r="D195" s="39"/>
      <c r="E195" s="39"/>
      <c r="J195" s="15">
        <f t="shared" si="13"/>
        <v>0</v>
      </c>
      <c r="K195" s="2" t="str">
        <f t="shared" si="14"/>
        <v xml:space="preserve"> </v>
      </c>
      <c r="L195" s="2" t="str">
        <f t="shared" si="11"/>
        <v xml:space="preserve"> </v>
      </c>
      <c r="M195" s="2" t="str">
        <f t="shared" si="12"/>
        <v xml:space="preserve"> </v>
      </c>
    </row>
    <row r="196" spans="1:13" x14ac:dyDescent="0.25">
      <c r="A196" s="40" t="str">
        <f t="shared" si="10"/>
        <v xml:space="preserve"> </v>
      </c>
      <c r="D196" s="39"/>
      <c r="E196" s="39"/>
      <c r="J196" s="15">
        <f t="shared" si="13"/>
        <v>0</v>
      </c>
      <c r="K196" s="2" t="str">
        <f t="shared" si="14"/>
        <v xml:space="preserve"> </v>
      </c>
      <c r="L196" s="2" t="str">
        <f t="shared" si="11"/>
        <v xml:space="preserve"> </v>
      </c>
      <c r="M196" s="2" t="str">
        <f t="shared" si="12"/>
        <v xml:space="preserve"> </v>
      </c>
    </row>
    <row r="197" spans="1:13" x14ac:dyDescent="0.25">
      <c r="A197" s="40" t="str">
        <f t="shared" si="10"/>
        <v xml:space="preserve"> </v>
      </c>
      <c r="D197" s="39"/>
      <c r="E197" s="39"/>
      <c r="J197" s="15">
        <f t="shared" si="13"/>
        <v>0</v>
      </c>
      <c r="K197" s="2" t="str">
        <f t="shared" si="14"/>
        <v xml:space="preserve"> </v>
      </c>
      <c r="L197" s="2" t="str">
        <f t="shared" si="11"/>
        <v xml:space="preserve"> </v>
      </c>
      <c r="M197" s="2" t="str">
        <f t="shared" si="12"/>
        <v xml:space="preserve"> </v>
      </c>
    </row>
    <row r="198" spans="1:13" x14ac:dyDescent="0.25">
      <c r="A198" s="40" t="str">
        <f t="shared" si="10"/>
        <v xml:space="preserve"> </v>
      </c>
      <c r="D198" s="39"/>
      <c r="E198" s="39"/>
      <c r="J198" s="15">
        <f t="shared" si="13"/>
        <v>0</v>
      </c>
      <c r="K198" s="2" t="str">
        <f t="shared" si="14"/>
        <v xml:space="preserve"> </v>
      </c>
      <c r="L198" s="2" t="str">
        <f t="shared" si="11"/>
        <v xml:space="preserve"> </v>
      </c>
      <c r="M198" s="2" t="str">
        <f t="shared" si="12"/>
        <v xml:space="preserve"> </v>
      </c>
    </row>
    <row r="199" spans="1:13" x14ac:dyDescent="0.25">
      <c r="A199" s="40" t="str">
        <f t="shared" si="10"/>
        <v xml:space="preserve"> </v>
      </c>
      <c r="D199" s="39"/>
      <c r="E199" s="39"/>
      <c r="J199" s="15">
        <f t="shared" si="13"/>
        <v>0</v>
      </c>
      <c r="K199" s="2" t="str">
        <f t="shared" si="14"/>
        <v xml:space="preserve"> </v>
      </c>
      <c r="L199" s="2" t="str">
        <f t="shared" si="11"/>
        <v xml:space="preserve"> </v>
      </c>
      <c r="M199" s="2" t="str">
        <f t="shared" si="12"/>
        <v xml:space="preserve"> </v>
      </c>
    </row>
    <row r="200" spans="1:13" x14ac:dyDescent="0.25">
      <c r="A200" s="40" t="str">
        <f t="shared" si="10"/>
        <v xml:space="preserve"> </v>
      </c>
      <c r="D200" s="39"/>
      <c r="E200" s="39"/>
      <c r="J200" s="15">
        <f t="shared" si="13"/>
        <v>0</v>
      </c>
      <c r="K200" s="2" t="str">
        <f t="shared" si="14"/>
        <v xml:space="preserve"> </v>
      </c>
      <c r="L200" s="2" t="str">
        <f t="shared" si="11"/>
        <v xml:space="preserve"> </v>
      </c>
      <c r="M200" s="2" t="str">
        <f t="shared" si="12"/>
        <v xml:space="preserve"> </v>
      </c>
    </row>
    <row r="201" spans="1:13" x14ac:dyDescent="0.25">
      <c r="A201" s="40" t="str">
        <f t="shared" si="10"/>
        <v xml:space="preserve"> </v>
      </c>
      <c r="D201" s="39"/>
      <c r="E201" s="39"/>
      <c r="J201" s="15">
        <f t="shared" si="13"/>
        <v>0</v>
      </c>
      <c r="K201" s="2" t="str">
        <f t="shared" si="14"/>
        <v xml:space="preserve"> </v>
      </c>
      <c r="L201" s="2" t="str">
        <f t="shared" si="11"/>
        <v xml:space="preserve"> </v>
      </c>
      <c r="M201" s="2" t="str">
        <f t="shared" si="12"/>
        <v xml:space="preserve"> </v>
      </c>
    </row>
    <row r="202" spans="1:13" x14ac:dyDescent="0.25">
      <c r="A202" s="40" t="str">
        <f t="shared" si="10"/>
        <v xml:space="preserve"> </v>
      </c>
      <c r="D202" s="39"/>
      <c r="E202" s="39"/>
      <c r="J202" s="15">
        <f t="shared" si="13"/>
        <v>0</v>
      </c>
      <c r="K202" s="2" t="str">
        <f t="shared" si="14"/>
        <v xml:space="preserve"> </v>
      </c>
      <c r="L202" s="2" t="str">
        <f t="shared" si="11"/>
        <v xml:space="preserve"> </v>
      </c>
      <c r="M202" s="2" t="str">
        <f t="shared" si="12"/>
        <v xml:space="preserve"> </v>
      </c>
    </row>
    <row r="203" spans="1:13" x14ac:dyDescent="0.25">
      <c r="A203" s="40" t="str">
        <f t="shared" si="10"/>
        <v xml:space="preserve"> </v>
      </c>
      <c r="D203" s="39"/>
      <c r="E203" s="39"/>
      <c r="J203" s="15">
        <f t="shared" si="13"/>
        <v>0</v>
      </c>
      <c r="K203" s="2" t="str">
        <f t="shared" si="14"/>
        <v xml:space="preserve"> </v>
      </c>
      <c r="L203" s="2" t="str">
        <f t="shared" si="11"/>
        <v xml:space="preserve"> </v>
      </c>
      <c r="M203" s="2" t="str">
        <f t="shared" si="12"/>
        <v xml:space="preserve"> </v>
      </c>
    </row>
    <row r="204" spans="1:13" x14ac:dyDescent="0.25">
      <c r="A204" s="40" t="str">
        <f t="shared" si="10"/>
        <v xml:space="preserve"> </v>
      </c>
      <c r="D204" s="39"/>
      <c r="E204" s="39"/>
      <c r="J204" s="15">
        <f t="shared" si="13"/>
        <v>0</v>
      </c>
      <c r="K204" s="2" t="str">
        <f t="shared" si="14"/>
        <v xml:space="preserve"> </v>
      </c>
      <c r="L204" s="2" t="str">
        <f t="shared" si="11"/>
        <v xml:space="preserve"> </v>
      </c>
      <c r="M204" s="2" t="str">
        <f t="shared" si="12"/>
        <v xml:space="preserve"> </v>
      </c>
    </row>
    <row r="205" spans="1:13" x14ac:dyDescent="0.25">
      <c r="A205" s="40" t="str">
        <f t="shared" si="10"/>
        <v xml:space="preserve"> </v>
      </c>
      <c r="D205" s="39"/>
      <c r="E205" s="39"/>
      <c r="J205" s="15">
        <f t="shared" si="13"/>
        <v>0</v>
      </c>
      <c r="K205" s="2" t="str">
        <f t="shared" si="14"/>
        <v xml:space="preserve"> </v>
      </c>
      <c r="L205" s="2" t="str">
        <f t="shared" si="11"/>
        <v xml:space="preserve"> </v>
      </c>
      <c r="M205" s="2" t="str">
        <f t="shared" si="12"/>
        <v xml:space="preserve"> </v>
      </c>
    </row>
    <row r="206" spans="1:13" x14ac:dyDescent="0.25">
      <c r="A206" s="40" t="str">
        <f t="shared" si="10"/>
        <v xml:space="preserve"> </v>
      </c>
      <c r="D206" s="39"/>
      <c r="E206" s="39"/>
      <c r="J206" s="15">
        <f t="shared" si="13"/>
        <v>0</v>
      </c>
      <c r="K206" s="2" t="str">
        <f t="shared" si="14"/>
        <v xml:space="preserve"> </v>
      </c>
      <c r="L206" s="2" t="str">
        <f t="shared" si="11"/>
        <v xml:space="preserve"> </v>
      </c>
      <c r="M206" s="2" t="str">
        <f t="shared" si="12"/>
        <v xml:space="preserve"> </v>
      </c>
    </row>
    <row r="207" spans="1:13" x14ac:dyDescent="0.25">
      <c r="A207" s="40" t="str">
        <f t="shared" ref="A207:A270" si="15">IF(COUNTIF(K207:M207,"ERROR")&gt;0,"ERROR"," ")</f>
        <v xml:space="preserve"> </v>
      </c>
      <c r="D207" s="39"/>
      <c r="E207" s="39"/>
      <c r="J207" s="15">
        <f t="shared" si="13"/>
        <v>0</v>
      </c>
      <c r="K207" s="2" t="str">
        <f t="shared" si="14"/>
        <v xml:space="preserve"> </v>
      </c>
      <c r="L207" s="2" t="str">
        <f t="shared" ref="L207:L270" si="16">IF(D207=0," ",IF(COUNTIF(ProfitLoss2,D207)&gt;0," ","ERROR"))</f>
        <v xml:space="preserve"> </v>
      </c>
      <c r="M207" s="2" t="str">
        <f t="shared" ref="M207:M270" si="17">IF(E207=0," ",IF(COUNTIF(BalanceSheetA,E207)&gt;0," ","ERROR"))</f>
        <v xml:space="preserve"> </v>
      </c>
    </row>
    <row r="208" spans="1:13" x14ac:dyDescent="0.25">
      <c r="A208" s="40" t="str">
        <f t="shared" si="15"/>
        <v xml:space="preserve"> </v>
      </c>
      <c r="D208" s="39"/>
      <c r="E208" s="39"/>
      <c r="J208" s="15">
        <f t="shared" ref="J208:J271" si="18">F208-G208+H208-I208</f>
        <v>0</v>
      </c>
      <c r="K208" s="2" t="str">
        <f t="shared" ref="K208:K271" si="19">IF(COUNTA(D208:E208)=2,"ERROR"," ")</f>
        <v xml:space="preserve"> </v>
      </c>
      <c r="L208" s="2" t="str">
        <f t="shared" si="16"/>
        <v xml:space="preserve"> </v>
      </c>
      <c r="M208" s="2" t="str">
        <f t="shared" si="17"/>
        <v xml:space="preserve"> </v>
      </c>
    </row>
    <row r="209" spans="1:13" x14ac:dyDescent="0.25">
      <c r="A209" s="40" t="str">
        <f t="shared" si="15"/>
        <v xml:space="preserve"> </v>
      </c>
      <c r="D209" s="39"/>
      <c r="E209" s="39"/>
      <c r="J209" s="15">
        <f t="shared" si="18"/>
        <v>0</v>
      </c>
      <c r="K209" s="2" t="str">
        <f t="shared" si="19"/>
        <v xml:space="preserve"> </v>
      </c>
      <c r="L209" s="2" t="str">
        <f t="shared" si="16"/>
        <v xml:space="preserve"> </v>
      </c>
      <c r="M209" s="2" t="str">
        <f t="shared" si="17"/>
        <v xml:space="preserve"> </v>
      </c>
    </row>
    <row r="210" spans="1:13" x14ac:dyDescent="0.25">
      <c r="A210" s="40" t="str">
        <f t="shared" si="15"/>
        <v xml:space="preserve"> </v>
      </c>
      <c r="D210" s="39"/>
      <c r="E210" s="39"/>
      <c r="J210" s="15">
        <f t="shared" si="18"/>
        <v>0</v>
      </c>
      <c r="K210" s="2" t="str">
        <f t="shared" si="19"/>
        <v xml:space="preserve"> </v>
      </c>
      <c r="L210" s="2" t="str">
        <f t="shared" si="16"/>
        <v xml:space="preserve"> </v>
      </c>
      <c r="M210" s="2" t="str">
        <f t="shared" si="17"/>
        <v xml:space="preserve"> </v>
      </c>
    </row>
    <row r="211" spans="1:13" x14ac:dyDescent="0.25">
      <c r="A211" s="40" t="str">
        <f t="shared" si="15"/>
        <v xml:space="preserve"> </v>
      </c>
      <c r="D211" s="39"/>
      <c r="E211" s="39"/>
      <c r="J211" s="15">
        <f t="shared" si="18"/>
        <v>0</v>
      </c>
      <c r="K211" s="2" t="str">
        <f t="shared" si="19"/>
        <v xml:space="preserve"> </v>
      </c>
      <c r="L211" s="2" t="str">
        <f t="shared" si="16"/>
        <v xml:space="preserve"> </v>
      </c>
      <c r="M211" s="2" t="str">
        <f t="shared" si="17"/>
        <v xml:space="preserve"> </v>
      </c>
    </row>
    <row r="212" spans="1:13" x14ac:dyDescent="0.25">
      <c r="A212" s="40" t="str">
        <f t="shared" si="15"/>
        <v xml:space="preserve"> </v>
      </c>
      <c r="D212" s="39"/>
      <c r="E212" s="39"/>
      <c r="J212" s="15">
        <f t="shared" si="18"/>
        <v>0</v>
      </c>
      <c r="K212" s="2" t="str">
        <f t="shared" si="19"/>
        <v xml:space="preserve"> </v>
      </c>
      <c r="L212" s="2" t="str">
        <f t="shared" si="16"/>
        <v xml:space="preserve"> </v>
      </c>
      <c r="M212" s="2" t="str">
        <f t="shared" si="17"/>
        <v xml:space="preserve"> </v>
      </c>
    </row>
    <row r="213" spans="1:13" x14ac:dyDescent="0.25">
      <c r="A213" s="40" t="str">
        <f t="shared" si="15"/>
        <v xml:space="preserve"> </v>
      </c>
      <c r="D213" s="39"/>
      <c r="E213" s="39"/>
      <c r="J213" s="15">
        <f t="shared" si="18"/>
        <v>0</v>
      </c>
      <c r="K213" s="2" t="str">
        <f t="shared" si="19"/>
        <v xml:space="preserve"> </v>
      </c>
      <c r="L213" s="2" t="str">
        <f t="shared" si="16"/>
        <v xml:space="preserve"> </v>
      </c>
      <c r="M213" s="2" t="str">
        <f t="shared" si="17"/>
        <v xml:space="preserve"> </v>
      </c>
    </row>
    <row r="214" spans="1:13" x14ac:dyDescent="0.25">
      <c r="A214" s="40" t="str">
        <f t="shared" si="15"/>
        <v xml:space="preserve"> </v>
      </c>
      <c r="D214" s="39"/>
      <c r="E214" s="39"/>
      <c r="J214" s="15">
        <f t="shared" si="18"/>
        <v>0</v>
      </c>
      <c r="K214" s="2" t="str">
        <f t="shared" si="19"/>
        <v xml:space="preserve"> </v>
      </c>
      <c r="L214" s="2" t="str">
        <f t="shared" si="16"/>
        <v xml:space="preserve"> </v>
      </c>
      <c r="M214" s="2" t="str">
        <f t="shared" si="17"/>
        <v xml:space="preserve"> </v>
      </c>
    </row>
    <row r="215" spans="1:13" x14ac:dyDescent="0.25">
      <c r="A215" s="40" t="str">
        <f t="shared" si="15"/>
        <v xml:space="preserve"> </v>
      </c>
      <c r="D215" s="39"/>
      <c r="E215" s="39"/>
      <c r="J215" s="15">
        <f t="shared" si="18"/>
        <v>0</v>
      </c>
      <c r="K215" s="2" t="str">
        <f t="shared" si="19"/>
        <v xml:space="preserve"> </v>
      </c>
      <c r="L215" s="2" t="str">
        <f t="shared" si="16"/>
        <v xml:space="preserve"> </v>
      </c>
      <c r="M215" s="2" t="str">
        <f t="shared" si="17"/>
        <v xml:space="preserve"> </v>
      </c>
    </row>
    <row r="216" spans="1:13" x14ac:dyDescent="0.25">
      <c r="A216" s="40" t="str">
        <f t="shared" si="15"/>
        <v xml:space="preserve"> </v>
      </c>
      <c r="D216" s="39"/>
      <c r="E216" s="39"/>
      <c r="J216" s="15">
        <f t="shared" si="18"/>
        <v>0</v>
      </c>
      <c r="K216" s="2" t="str">
        <f t="shared" si="19"/>
        <v xml:space="preserve"> </v>
      </c>
      <c r="L216" s="2" t="str">
        <f t="shared" si="16"/>
        <v xml:space="preserve"> </v>
      </c>
      <c r="M216" s="2" t="str">
        <f t="shared" si="17"/>
        <v xml:space="preserve"> </v>
      </c>
    </row>
    <row r="217" spans="1:13" x14ac:dyDescent="0.25">
      <c r="A217" s="40" t="str">
        <f t="shared" si="15"/>
        <v xml:space="preserve"> </v>
      </c>
      <c r="D217" s="39"/>
      <c r="E217" s="39"/>
      <c r="J217" s="15">
        <f t="shared" si="18"/>
        <v>0</v>
      </c>
      <c r="K217" s="2" t="str">
        <f t="shared" si="19"/>
        <v xml:space="preserve"> </v>
      </c>
      <c r="L217" s="2" t="str">
        <f t="shared" si="16"/>
        <v xml:space="preserve"> </v>
      </c>
      <c r="M217" s="2" t="str">
        <f t="shared" si="17"/>
        <v xml:space="preserve"> </v>
      </c>
    </row>
    <row r="218" spans="1:13" x14ac:dyDescent="0.25">
      <c r="A218" s="40" t="str">
        <f t="shared" si="15"/>
        <v xml:space="preserve"> </v>
      </c>
      <c r="D218" s="39"/>
      <c r="E218" s="39"/>
      <c r="J218" s="15">
        <f t="shared" si="18"/>
        <v>0</v>
      </c>
      <c r="K218" s="2" t="str">
        <f t="shared" si="19"/>
        <v xml:space="preserve"> </v>
      </c>
      <c r="L218" s="2" t="str">
        <f t="shared" si="16"/>
        <v xml:space="preserve"> </v>
      </c>
      <c r="M218" s="2" t="str">
        <f t="shared" si="17"/>
        <v xml:space="preserve"> </v>
      </c>
    </row>
    <row r="219" spans="1:13" x14ac:dyDescent="0.25">
      <c r="A219" s="40" t="str">
        <f t="shared" si="15"/>
        <v xml:space="preserve"> </v>
      </c>
      <c r="D219" s="39"/>
      <c r="E219" s="39"/>
      <c r="J219" s="15">
        <f t="shared" si="18"/>
        <v>0</v>
      </c>
      <c r="K219" s="2" t="str">
        <f t="shared" si="19"/>
        <v xml:space="preserve"> </v>
      </c>
      <c r="L219" s="2" t="str">
        <f t="shared" si="16"/>
        <v xml:space="preserve"> </v>
      </c>
      <c r="M219" s="2" t="str">
        <f t="shared" si="17"/>
        <v xml:space="preserve"> </v>
      </c>
    </row>
    <row r="220" spans="1:13" x14ac:dyDescent="0.25">
      <c r="A220" s="40" t="str">
        <f t="shared" si="15"/>
        <v xml:space="preserve"> </v>
      </c>
      <c r="D220" s="39"/>
      <c r="E220" s="39"/>
      <c r="J220" s="15">
        <f t="shared" si="18"/>
        <v>0</v>
      </c>
      <c r="K220" s="2" t="str">
        <f t="shared" si="19"/>
        <v xml:space="preserve"> </v>
      </c>
      <c r="L220" s="2" t="str">
        <f t="shared" si="16"/>
        <v xml:space="preserve"> </v>
      </c>
      <c r="M220" s="2" t="str">
        <f t="shared" si="17"/>
        <v xml:space="preserve"> </v>
      </c>
    </row>
    <row r="221" spans="1:13" x14ac:dyDescent="0.25">
      <c r="A221" s="40" t="str">
        <f t="shared" si="15"/>
        <v xml:space="preserve"> </v>
      </c>
      <c r="D221" s="39"/>
      <c r="E221" s="39"/>
      <c r="J221" s="15">
        <f t="shared" si="18"/>
        <v>0</v>
      </c>
      <c r="K221" s="2" t="str">
        <f t="shared" si="19"/>
        <v xml:space="preserve"> </v>
      </c>
      <c r="L221" s="2" t="str">
        <f t="shared" si="16"/>
        <v xml:space="preserve"> </v>
      </c>
      <c r="M221" s="2" t="str">
        <f t="shared" si="17"/>
        <v xml:space="preserve"> </v>
      </c>
    </row>
    <row r="222" spans="1:13" x14ac:dyDescent="0.25">
      <c r="A222" s="40" t="str">
        <f t="shared" si="15"/>
        <v xml:space="preserve"> </v>
      </c>
      <c r="D222" s="39"/>
      <c r="E222" s="39"/>
      <c r="J222" s="15">
        <f t="shared" si="18"/>
        <v>0</v>
      </c>
      <c r="K222" s="2" t="str">
        <f t="shared" si="19"/>
        <v xml:space="preserve"> </v>
      </c>
      <c r="L222" s="2" t="str">
        <f t="shared" si="16"/>
        <v xml:space="preserve"> </v>
      </c>
      <c r="M222" s="2" t="str">
        <f t="shared" si="17"/>
        <v xml:space="preserve"> </v>
      </c>
    </row>
    <row r="223" spans="1:13" x14ac:dyDescent="0.25">
      <c r="A223" s="40" t="str">
        <f t="shared" si="15"/>
        <v xml:space="preserve"> </v>
      </c>
      <c r="D223" s="39"/>
      <c r="E223" s="39"/>
      <c r="J223" s="15">
        <f t="shared" si="18"/>
        <v>0</v>
      </c>
      <c r="K223" s="2" t="str">
        <f t="shared" si="19"/>
        <v xml:space="preserve"> </v>
      </c>
      <c r="L223" s="2" t="str">
        <f t="shared" si="16"/>
        <v xml:space="preserve"> </v>
      </c>
      <c r="M223" s="2" t="str">
        <f t="shared" si="17"/>
        <v xml:space="preserve"> </v>
      </c>
    </row>
    <row r="224" spans="1:13" x14ac:dyDescent="0.25">
      <c r="A224" s="40" t="str">
        <f t="shared" si="15"/>
        <v xml:space="preserve"> </v>
      </c>
      <c r="D224" s="39"/>
      <c r="E224" s="39"/>
      <c r="J224" s="15">
        <f t="shared" si="18"/>
        <v>0</v>
      </c>
      <c r="K224" s="2" t="str">
        <f t="shared" si="19"/>
        <v xml:space="preserve"> </v>
      </c>
      <c r="L224" s="2" t="str">
        <f t="shared" si="16"/>
        <v xml:space="preserve"> </v>
      </c>
      <c r="M224" s="2" t="str">
        <f t="shared" si="17"/>
        <v xml:space="preserve"> </v>
      </c>
    </row>
    <row r="225" spans="1:13" x14ac:dyDescent="0.25">
      <c r="A225" s="40" t="str">
        <f t="shared" si="15"/>
        <v xml:space="preserve"> </v>
      </c>
      <c r="D225" s="39"/>
      <c r="E225" s="39"/>
      <c r="J225" s="15">
        <f t="shared" si="18"/>
        <v>0</v>
      </c>
      <c r="K225" s="2" t="str">
        <f t="shared" si="19"/>
        <v xml:space="preserve"> </v>
      </c>
      <c r="L225" s="2" t="str">
        <f t="shared" si="16"/>
        <v xml:space="preserve"> </v>
      </c>
      <c r="M225" s="2" t="str">
        <f t="shared" si="17"/>
        <v xml:space="preserve"> </v>
      </c>
    </row>
    <row r="226" spans="1:13" x14ac:dyDescent="0.25">
      <c r="A226" s="40" t="str">
        <f t="shared" si="15"/>
        <v xml:space="preserve"> </v>
      </c>
      <c r="D226" s="39"/>
      <c r="E226" s="39"/>
      <c r="J226" s="15">
        <f t="shared" si="18"/>
        <v>0</v>
      </c>
      <c r="K226" s="2" t="str">
        <f t="shared" si="19"/>
        <v xml:space="preserve"> </v>
      </c>
      <c r="L226" s="2" t="str">
        <f t="shared" si="16"/>
        <v xml:space="preserve"> </v>
      </c>
      <c r="M226" s="2" t="str">
        <f t="shared" si="17"/>
        <v xml:space="preserve"> </v>
      </c>
    </row>
    <row r="227" spans="1:13" x14ac:dyDescent="0.25">
      <c r="A227" s="40" t="str">
        <f t="shared" si="15"/>
        <v xml:space="preserve"> </v>
      </c>
      <c r="D227" s="39"/>
      <c r="E227" s="39"/>
      <c r="J227" s="15">
        <f t="shared" si="18"/>
        <v>0</v>
      </c>
      <c r="K227" s="2" t="str">
        <f t="shared" si="19"/>
        <v xml:space="preserve"> </v>
      </c>
      <c r="L227" s="2" t="str">
        <f t="shared" si="16"/>
        <v xml:space="preserve"> </v>
      </c>
      <c r="M227" s="2" t="str">
        <f t="shared" si="17"/>
        <v xml:space="preserve"> </v>
      </c>
    </row>
    <row r="228" spans="1:13" x14ac:dyDescent="0.25">
      <c r="A228" s="40" t="str">
        <f t="shared" si="15"/>
        <v xml:space="preserve"> </v>
      </c>
      <c r="D228" s="39"/>
      <c r="E228" s="39"/>
      <c r="J228" s="15">
        <f t="shared" si="18"/>
        <v>0</v>
      </c>
      <c r="K228" s="2" t="str">
        <f t="shared" si="19"/>
        <v xml:space="preserve"> </v>
      </c>
      <c r="L228" s="2" t="str">
        <f t="shared" si="16"/>
        <v xml:space="preserve"> </v>
      </c>
      <c r="M228" s="2" t="str">
        <f t="shared" si="17"/>
        <v xml:space="preserve"> </v>
      </c>
    </row>
    <row r="229" spans="1:13" x14ac:dyDescent="0.25">
      <c r="A229" s="40" t="str">
        <f t="shared" si="15"/>
        <v xml:space="preserve"> </v>
      </c>
      <c r="D229" s="39"/>
      <c r="E229" s="39"/>
      <c r="J229" s="15">
        <f t="shared" si="18"/>
        <v>0</v>
      </c>
      <c r="K229" s="2" t="str">
        <f t="shared" si="19"/>
        <v xml:space="preserve"> </v>
      </c>
      <c r="L229" s="2" t="str">
        <f t="shared" si="16"/>
        <v xml:space="preserve"> </v>
      </c>
      <c r="M229" s="2" t="str">
        <f t="shared" si="17"/>
        <v xml:space="preserve"> </v>
      </c>
    </row>
    <row r="230" spans="1:13" x14ac:dyDescent="0.25">
      <c r="A230" s="40" t="str">
        <f t="shared" si="15"/>
        <v xml:space="preserve"> </v>
      </c>
      <c r="D230" s="39"/>
      <c r="E230" s="39"/>
      <c r="J230" s="15">
        <f t="shared" si="18"/>
        <v>0</v>
      </c>
      <c r="K230" s="2" t="str">
        <f t="shared" si="19"/>
        <v xml:space="preserve"> </v>
      </c>
      <c r="L230" s="2" t="str">
        <f t="shared" si="16"/>
        <v xml:space="preserve"> </v>
      </c>
      <c r="M230" s="2" t="str">
        <f t="shared" si="17"/>
        <v xml:space="preserve"> </v>
      </c>
    </row>
    <row r="231" spans="1:13" x14ac:dyDescent="0.25">
      <c r="A231" s="40" t="str">
        <f t="shared" si="15"/>
        <v xml:space="preserve"> </v>
      </c>
      <c r="D231" s="39"/>
      <c r="E231" s="39"/>
      <c r="J231" s="15">
        <f t="shared" si="18"/>
        <v>0</v>
      </c>
      <c r="K231" s="2" t="str">
        <f t="shared" si="19"/>
        <v xml:space="preserve"> </v>
      </c>
      <c r="L231" s="2" t="str">
        <f t="shared" si="16"/>
        <v xml:space="preserve"> </v>
      </c>
      <c r="M231" s="2" t="str">
        <f t="shared" si="17"/>
        <v xml:space="preserve"> </v>
      </c>
    </row>
    <row r="232" spans="1:13" x14ac:dyDescent="0.25">
      <c r="A232" s="40" t="str">
        <f t="shared" si="15"/>
        <v xml:space="preserve"> </v>
      </c>
      <c r="D232" s="39"/>
      <c r="E232" s="39"/>
      <c r="J232" s="15">
        <f t="shared" si="18"/>
        <v>0</v>
      </c>
      <c r="K232" s="2" t="str">
        <f t="shared" si="19"/>
        <v xml:space="preserve"> </v>
      </c>
      <c r="L232" s="2" t="str">
        <f t="shared" si="16"/>
        <v xml:space="preserve"> </v>
      </c>
      <c r="M232" s="2" t="str">
        <f t="shared" si="17"/>
        <v xml:space="preserve"> </v>
      </c>
    </row>
    <row r="233" spans="1:13" x14ac:dyDescent="0.25">
      <c r="A233" s="40" t="str">
        <f t="shared" si="15"/>
        <v xml:space="preserve"> </v>
      </c>
      <c r="D233" s="39"/>
      <c r="E233" s="39"/>
      <c r="J233" s="15">
        <f t="shared" si="18"/>
        <v>0</v>
      </c>
      <c r="K233" s="2" t="str">
        <f t="shared" si="19"/>
        <v xml:space="preserve"> </v>
      </c>
      <c r="L233" s="2" t="str">
        <f t="shared" si="16"/>
        <v xml:space="preserve"> </v>
      </c>
      <c r="M233" s="2" t="str">
        <f t="shared" si="17"/>
        <v xml:space="preserve"> </v>
      </c>
    </row>
    <row r="234" spans="1:13" x14ac:dyDescent="0.25">
      <c r="A234" s="40" t="str">
        <f t="shared" si="15"/>
        <v xml:space="preserve"> </v>
      </c>
      <c r="D234" s="39"/>
      <c r="E234" s="39"/>
      <c r="J234" s="15">
        <f t="shared" si="18"/>
        <v>0</v>
      </c>
      <c r="K234" s="2" t="str">
        <f t="shared" si="19"/>
        <v xml:space="preserve"> </v>
      </c>
      <c r="L234" s="2" t="str">
        <f t="shared" si="16"/>
        <v xml:space="preserve"> </v>
      </c>
      <c r="M234" s="2" t="str">
        <f t="shared" si="17"/>
        <v xml:space="preserve"> </v>
      </c>
    </row>
    <row r="235" spans="1:13" x14ac:dyDescent="0.25">
      <c r="A235" s="40" t="str">
        <f t="shared" si="15"/>
        <v xml:space="preserve"> </v>
      </c>
      <c r="D235" s="39"/>
      <c r="E235" s="39"/>
      <c r="J235" s="15">
        <f t="shared" si="18"/>
        <v>0</v>
      </c>
      <c r="K235" s="2" t="str">
        <f t="shared" si="19"/>
        <v xml:space="preserve"> </v>
      </c>
      <c r="L235" s="2" t="str">
        <f t="shared" si="16"/>
        <v xml:space="preserve"> </v>
      </c>
      <c r="M235" s="2" t="str">
        <f t="shared" si="17"/>
        <v xml:space="preserve"> </v>
      </c>
    </row>
    <row r="236" spans="1:13" x14ac:dyDescent="0.25">
      <c r="A236" s="40" t="str">
        <f t="shared" si="15"/>
        <v xml:space="preserve"> </v>
      </c>
      <c r="D236" s="39"/>
      <c r="E236" s="39"/>
      <c r="J236" s="15">
        <f t="shared" si="18"/>
        <v>0</v>
      </c>
      <c r="K236" s="2" t="str">
        <f t="shared" si="19"/>
        <v xml:space="preserve"> </v>
      </c>
      <c r="L236" s="2" t="str">
        <f t="shared" si="16"/>
        <v xml:space="preserve"> </v>
      </c>
      <c r="M236" s="2" t="str">
        <f t="shared" si="17"/>
        <v xml:space="preserve"> </v>
      </c>
    </row>
    <row r="237" spans="1:13" x14ac:dyDescent="0.25">
      <c r="A237" s="40" t="str">
        <f t="shared" si="15"/>
        <v xml:space="preserve"> </v>
      </c>
      <c r="D237" s="39"/>
      <c r="E237" s="39"/>
      <c r="J237" s="15">
        <f t="shared" si="18"/>
        <v>0</v>
      </c>
      <c r="K237" s="2" t="str">
        <f t="shared" si="19"/>
        <v xml:space="preserve"> </v>
      </c>
      <c r="L237" s="2" t="str">
        <f t="shared" si="16"/>
        <v xml:space="preserve"> </v>
      </c>
      <c r="M237" s="2" t="str">
        <f t="shared" si="17"/>
        <v xml:space="preserve"> </v>
      </c>
    </row>
    <row r="238" spans="1:13" x14ac:dyDescent="0.25">
      <c r="A238" s="40" t="str">
        <f t="shared" si="15"/>
        <v xml:space="preserve"> </v>
      </c>
      <c r="D238" s="39"/>
      <c r="E238" s="39"/>
      <c r="J238" s="15">
        <f t="shared" si="18"/>
        <v>0</v>
      </c>
      <c r="K238" s="2" t="str">
        <f t="shared" si="19"/>
        <v xml:space="preserve"> </v>
      </c>
      <c r="L238" s="2" t="str">
        <f t="shared" si="16"/>
        <v xml:space="preserve"> </v>
      </c>
      <c r="M238" s="2" t="str">
        <f t="shared" si="17"/>
        <v xml:space="preserve"> </v>
      </c>
    </row>
    <row r="239" spans="1:13" x14ac:dyDescent="0.25">
      <c r="A239" s="40" t="str">
        <f t="shared" si="15"/>
        <v xml:space="preserve"> </v>
      </c>
      <c r="D239" s="39"/>
      <c r="E239" s="39"/>
      <c r="J239" s="15">
        <f t="shared" si="18"/>
        <v>0</v>
      </c>
      <c r="K239" s="2" t="str">
        <f t="shared" si="19"/>
        <v xml:space="preserve"> </v>
      </c>
      <c r="L239" s="2" t="str">
        <f t="shared" si="16"/>
        <v xml:space="preserve"> </v>
      </c>
      <c r="M239" s="2" t="str">
        <f t="shared" si="17"/>
        <v xml:space="preserve"> </v>
      </c>
    </row>
    <row r="240" spans="1:13" x14ac:dyDescent="0.25">
      <c r="A240" s="40" t="str">
        <f t="shared" si="15"/>
        <v xml:space="preserve"> </v>
      </c>
      <c r="D240" s="39"/>
      <c r="E240" s="39"/>
      <c r="J240" s="15">
        <f t="shared" si="18"/>
        <v>0</v>
      </c>
      <c r="K240" s="2" t="str">
        <f t="shared" si="19"/>
        <v xml:space="preserve"> </v>
      </c>
      <c r="L240" s="2" t="str">
        <f t="shared" si="16"/>
        <v xml:space="preserve"> </v>
      </c>
      <c r="M240" s="2" t="str">
        <f t="shared" si="17"/>
        <v xml:space="preserve"> </v>
      </c>
    </row>
    <row r="241" spans="1:13" x14ac:dyDescent="0.25">
      <c r="A241" s="40" t="str">
        <f t="shared" si="15"/>
        <v xml:space="preserve"> </v>
      </c>
      <c r="D241" s="39"/>
      <c r="E241" s="39"/>
      <c r="J241" s="15">
        <f t="shared" si="18"/>
        <v>0</v>
      </c>
      <c r="K241" s="2" t="str">
        <f t="shared" si="19"/>
        <v xml:space="preserve"> </v>
      </c>
      <c r="L241" s="2" t="str">
        <f t="shared" si="16"/>
        <v xml:space="preserve"> </v>
      </c>
      <c r="M241" s="2" t="str">
        <f t="shared" si="17"/>
        <v xml:space="preserve"> </v>
      </c>
    </row>
    <row r="242" spans="1:13" x14ac:dyDescent="0.25">
      <c r="A242" s="40" t="str">
        <f t="shared" si="15"/>
        <v xml:space="preserve"> </v>
      </c>
      <c r="D242" s="39"/>
      <c r="E242" s="39"/>
      <c r="J242" s="15">
        <f t="shared" si="18"/>
        <v>0</v>
      </c>
      <c r="K242" s="2" t="str">
        <f t="shared" si="19"/>
        <v xml:space="preserve"> </v>
      </c>
      <c r="L242" s="2" t="str">
        <f t="shared" si="16"/>
        <v xml:space="preserve"> </v>
      </c>
      <c r="M242" s="2" t="str">
        <f t="shared" si="17"/>
        <v xml:space="preserve"> </v>
      </c>
    </row>
    <row r="243" spans="1:13" x14ac:dyDescent="0.25">
      <c r="A243" s="40" t="str">
        <f t="shared" si="15"/>
        <v xml:space="preserve"> </v>
      </c>
      <c r="D243" s="39"/>
      <c r="E243" s="39"/>
      <c r="J243" s="15">
        <f t="shared" si="18"/>
        <v>0</v>
      </c>
      <c r="K243" s="2" t="str">
        <f t="shared" si="19"/>
        <v xml:space="preserve"> </v>
      </c>
      <c r="L243" s="2" t="str">
        <f t="shared" si="16"/>
        <v xml:space="preserve"> </v>
      </c>
      <c r="M243" s="2" t="str">
        <f t="shared" si="17"/>
        <v xml:space="preserve"> </v>
      </c>
    </row>
    <row r="244" spans="1:13" x14ac:dyDescent="0.25">
      <c r="A244" s="40" t="str">
        <f t="shared" si="15"/>
        <v xml:space="preserve"> </v>
      </c>
      <c r="D244" s="39"/>
      <c r="E244" s="39"/>
      <c r="J244" s="15">
        <f t="shared" si="18"/>
        <v>0</v>
      </c>
      <c r="K244" s="2" t="str">
        <f t="shared" si="19"/>
        <v xml:space="preserve"> </v>
      </c>
      <c r="L244" s="2" t="str">
        <f t="shared" si="16"/>
        <v xml:space="preserve"> </v>
      </c>
      <c r="M244" s="2" t="str">
        <f t="shared" si="17"/>
        <v xml:space="preserve"> </v>
      </c>
    </row>
    <row r="245" spans="1:13" x14ac:dyDescent="0.25">
      <c r="A245" s="40" t="str">
        <f t="shared" si="15"/>
        <v xml:space="preserve"> </v>
      </c>
      <c r="D245" s="39"/>
      <c r="E245" s="39"/>
      <c r="J245" s="15">
        <f t="shared" si="18"/>
        <v>0</v>
      </c>
      <c r="K245" s="2" t="str">
        <f t="shared" si="19"/>
        <v xml:space="preserve"> </v>
      </c>
      <c r="L245" s="2" t="str">
        <f t="shared" si="16"/>
        <v xml:space="preserve"> </v>
      </c>
      <c r="M245" s="2" t="str">
        <f t="shared" si="17"/>
        <v xml:space="preserve"> </v>
      </c>
    </row>
    <row r="246" spans="1:13" x14ac:dyDescent="0.25">
      <c r="A246" s="40" t="str">
        <f t="shared" si="15"/>
        <v xml:space="preserve"> </v>
      </c>
      <c r="D246" s="39"/>
      <c r="E246" s="39"/>
      <c r="J246" s="15">
        <f t="shared" si="18"/>
        <v>0</v>
      </c>
      <c r="K246" s="2" t="str">
        <f t="shared" si="19"/>
        <v xml:space="preserve"> </v>
      </c>
      <c r="L246" s="2" t="str">
        <f t="shared" si="16"/>
        <v xml:space="preserve"> </v>
      </c>
      <c r="M246" s="2" t="str">
        <f t="shared" si="17"/>
        <v xml:space="preserve"> </v>
      </c>
    </row>
    <row r="247" spans="1:13" x14ac:dyDescent="0.25">
      <c r="A247" s="40" t="str">
        <f t="shared" si="15"/>
        <v xml:space="preserve"> </v>
      </c>
      <c r="D247" s="39"/>
      <c r="E247" s="39"/>
      <c r="J247" s="15">
        <f t="shared" si="18"/>
        <v>0</v>
      </c>
      <c r="K247" s="2" t="str">
        <f t="shared" si="19"/>
        <v xml:space="preserve"> </v>
      </c>
      <c r="L247" s="2" t="str">
        <f t="shared" si="16"/>
        <v xml:space="preserve"> </v>
      </c>
      <c r="M247" s="2" t="str">
        <f t="shared" si="17"/>
        <v xml:space="preserve"> </v>
      </c>
    </row>
    <row r="248" spans="1:13" x14ac:dyDescent="0.25">
      <c r="A248" s="40" t="str">
        <f t="shared" si="15"/>
        <v xml:space="preserve"> </v>
      </c>
      <c r="D248" s="39"/>
      <c r="E248" s="39"/>
      <c r="J248" s="15">
        <f t="shared" si="18"/>
        <v>0</v>
      </c>
      <c r="K248" s="2" t="str">
        <f t="shared" si="19"/>
        <v xml:space="preserve"> </v>
      </c>
      <c r="L248" s="2" t="str">
        <f t="shared" si="16"/>
        <v xml:space="preserve"> </v>
      </c>
      <c r="M248" s="2" t="str">
        <f t="shared" si="17"/>
        <v xml:space="preserve"> </v>
      </c>
    </row>
    <row r="249" spans="1:13" x14ac:dyDescent="0.25">
      <c r="A249" s="40" t="str">
        <f t="shared" si="15"/>
        <v xml:space="preserve"> </v>
      </c>
      <c r="D249" s="39"/>
      <c r="E249" s="39"/>
      <c r="J249" s="15">
        <f t="shared" si="18"/>
        <v>0</v>
      </c>
      <c r="K249" s="2" t="str">
        <f t="shared" si="19"/>
        <v xml:space="preserve"> </v>
      </c>
      <c r="L249" s="2" t="str">
        <f t="shared" si="16"/>
        <v xml:space="preserve"> </v>
      </c>
      <c r="M249" s="2" t="str">
        <f t="shared" si="17"/>
        <v xml:space="preserve"> </v>
      </c>
    </row>
    <row r="250" spans="1:13" x14ac:dyDescent="0.25">
      <c r="A250" s="40" t="str">
        <f t="shared" si="15"/>
        <v xml:space="preserve"> </v>
      </c>
      <c r="D250" s="39"/>
      <c r="E250" s="39"/>
      <c r="J250" s="15">
        <f t="shared" si="18"/>
        <v>0</v>
      </c>
      <c r="K250" s="2" t="str">
        <f t="shared" si="19"/>
        <v xml:space="preserve"> </v>
      </c>
      <c r="L250" s="2" t="str">
        <f t="shared" si="16"/>
        <v xml:space="preserve"> </v>
      </c>
      <c r="M250" s="2" t="str">
        <f t="shared" si="17"/>
        <v xml:space="preserve"> </v>
      </c>
    </row>
    <row r="251" spans="1:13" x14ac:dyDescent="0.25">
      <c r="A251" s="40" t="str">
        <f t="shared" si="15"/>
        <v xml:space="preserve"> </v>
      </c>
      <c r="D251" s="39"/>
      <c r="E251" s="39"/>
      <c r="J251" s="15">
        <f t="shared" si="18"/>
        <v>0</v>
      </c>
      <c r="K251" s="2" t="str">
        <f t="shared" si="19"/>
        <v xml:space="preserve"> </v>
      </c>
      <c r="L251" s="2" t="str">
        <f t="shared" si="16"/>
        <v xml:space="preserve"> </v>
      </c>
      <c r="M251" s="2" t="str">
        <f t="shared" si="17"/>
        <v xml:space="preserve"> </v>
      </c>
    </row>
    <row r="252" spans="1:13" x14ac:dyDescent="0.25">
      <c r="A252" s="40" t="str">
        <f t="shared" si="15"/>
        <v xml:space="preserve"> </v>
      </c>
      <c r="D252" s="39"/>
      <c r="E252" s="39"/>
      <c r="J252" s="15">
        <f t="shared" si="18"/>
        <v>0</v>
      </c>
      <c r="K252" s="2" t="str">
        <f t="shared" si="19"/>
        <v xml:space="preserve"> </v>
      </c>
      <c r="L252" s="2" t="str">
        <f t="shared" si="16"/>
        <v xml:space="preserve"> </v>
      </c>
      <c r="M252" s="2" t="str">
        <f t="shared" si="17"/>
        <v xml:space="preserve"> </v>
      </c>
    </row>
    <row r="253" spans="1:13" x14ac:dyDescent="0.25">
      <c r="A253" s="40" t="str">
        <f t="shared" si="15"/>
        <v xml:space="preserve"> </v>
      </c>
      <c r="D253" s="39"/>
      <c r="E253" s="39"/>
      <c r="J253" s="15">
        <f t="shared" si="18"/>
        <v>0</v>
      </c>
      <c r="K253" s="2" t="str">
        <f t="shared" si="19"/>
        <v xml:space="preserve"> </v>
      </c>
      <c r="L253" s="2" t="str">
        <f t="shared" si="16"/>
        <v xml:space="preserve"> </v>
      </c>
      <c r="M253" s="2" t="str">
        <f t="shared" si="17"/>
        <v xml:space="preserve"> </v>
      </c>
    </row>
    <row r="254" spans="1:13" x14ac:dyDescent="0.25">
      <c r="A254" s="40" t="str">
        <f t="shared" si="15"/>
        <v xml:space="preserve"> </v>
      </c>
      <c r="D254" s="39"/>
      <c r="E254" s="39"/>
      <c r="J254" s="15">
        <f t="shared" si="18"/>
        <v>0</v>
      </c>
      <c r="K254" s="2" t="str">
        <f t="shared" si="19"/>
        <v xml:space="preserve"> </v>
      </c>
      <c r="L254" s="2" t="str">
        <f t="shared" si="16"/>
        <v xml:space="preserve"> </v>
      </c>
      <c r="M254" s="2" t="str">
        <f t="shared" si="17"/>
        <v xml:space="preserve"> </v>
      </c>
    </row>
    <row r="255" spans="1:13" x14ac:dyDescent="0.25">
      <c r="A255" s="40" t="str">
        <f t="shared" si="15"/>
        <v xml:space="preserve"> </v>
      </c>
      <c r="D255" s="39"/>
      <c r="E255" s="39"/>
      <c r="J255" s="15">
        <f t="shared" si="18"/>
        <v>0</v>
      </c>
      <c r="K255" s="2" t="str">
        <f t="shared" si="19"/>
        <v xml:space="preserve"> </v>
      </c>
      <c r="L255" s="2" t="str">
        <f t="shared" si="16"/>
        <v xml:space="preserve"> </v>
      </c>
      <c r="M255" s="2" t="str">
        <f t="shared" si="17"/>
        <v xml:space="preserve"> </v>
      </c>
    </row>
    <row r="256" spans="1:13" x14ac:dyDescent="0.25">
      <c r="A256" s="40" t="str">
        <f t="shared" si="15"/>
        <v xml:space="preserve"> </v>
      </c>
      <c r="D256" s="39"/>
      <c r="E256" s="39"/>
      <c r="J256" s="15">
        <f t="shared" si="18"/>
        <v>0</v>
      </c>
      <c r="K256" s="2" t="str">
        <f t="shared" si="19"/>
        <v xml:space="preserve"> </v>
      </c>
      <c r="L256" s="2" t="str">
        <f t="shared" si="16"/>
        <v xml:space="preserve"> </v>
      </c>
      <c r="M256" s="2" t="str">
        <f t="shared" si="17"/>
        <v xml:space="preserve"> </v>
      </c>
    </row>
    <row r="257" spans="1:13" x14ac:dyDescent="0.25">
      <c r="A257" s="40" t="str">
        <f t="shared" si="15"/>
        <v xml:space="preserve"> </v>
      </c>
      <c r="D257" s="39"/>
      <c r="E257" s="39"/>
      <c r="J257" s="15">
        <f t="shared" si="18"/>
        <v>0</v>
      </c>
      <c r="K257" s="2" t="str">
        <f t="shared" si="19"/>
        <v xml:space="preserve"> </v>
      </c>
      <c r="L257" s="2" t="str">
        <f t="shared" si="16"/>
        <v xml:space="preserve"> </v>
      </c>
      <c r="M257" s="2" t="str">
        <f t="shared" si="17"/>
        <v xml:space="preserve"> </v>
      </c>
    </row>
    <row r="258" spans="1:13" x14ac:dyDescent="0.25">
      <c r="A258" s="40" t="str">
        <f t="shared" si="15"/>
        <v xml:space="preserve"> </v>
      </c>
      <c r="D258" s="39"/>
      <c r="E258" s="39"/>
      <c r="J258" s="15">
        <f t="shared" si="18"/>
        <v>0</v>
      </c>
      <c r="K258" s="2" t="str">
        <f t="shared" si="19"/>
        <v xml:space="preserve"> </v>
      </c>
      <c r="L258" s="2" t="str">
        <f t="shared" si="16"/>
        <v xml:space="preserve"> </v>
      </c>
      <c r="M258" s="2" t="str">
        <f t="shared" si="17"/>
        <v xml:space="preserve"> </v>
      </c>
    </row>
    <row r="259" spans="1:13" x14ac:dyDescent="0.25">
      <c r="A259" s="40" t="str">
        <f t="shared" si="15"/>
        <v xml:space="preserve"> </v>
      </c>
      <c r="D259" s="39"/>
      <c r="E259" s="39"/>
      <c r="J259" s="15">
        <f t="shared" si="18"/>
        <v>0</v>
      </c>
      <c r="K259" s="2" t="str">
        <f t="shared" si="19"/>
        <v xml:space="preserve"> </v>
      </c>
      <c r="L259" s="2" t="str">
        <f t="shared" si="16"/>
        <v xml:space="preserve"> </v>
      </c>
      <c r="M259" s="2" t="str">
        <f t="shared" si="17"/>
        <v xml:space="preserve"> </v>
      </c>
    </row>
    <row r="260" spans="1:13" x14ac:dyDescent="0.25">
      <c r="A260" s="40" t="str">
        <f t="shared" si="15"/>
        <v xml:space="preserve"> </v>
      </c>
      <c r="D260" s="39"/>
      <c r="E260" s="39"/>
      <c r="J260" s="15">
        <f t="shared" si="18"/>
        <v>0</v>
      </c>
      <c r="K260" s="2" t="str">
        <f t="shared" si="19"/>
        <v xml:space="preserve"> </v>
      </c>
      <c r="L260" s="2" t="str">
        <f t="shared" si="16"/>
        <v xml:space="preserve"> </v>
      </c>
      <c r="M260" s="2" t="str">
        <f t="shared" si="17"/>
        <v xml:space="preserve"> </v>
      </c>
    </row>
    <row r="261" spans="1:13" x14ac:dyDescent="0.25">
      <c r="A261" s="40" t="str">
        <f t="shared" si="15"/>
        <v xml:space="preserve"> </v>
      </c>
      <c r="D261" s="39"/>
      <c r="E261" s="39"/>
      <c r="J261" s="15">
        <f t="shared" si="18"/>
        <v>0</v>
      </c>
      <c r="K261" s="2" t="str">
        <f t="shared" si="19"/>
        <v xml:space="preserve"> </v>
      </c>
      <c r="L261" s="2" t="str">
        <f t="shared" si="16"/>
        <v xml:space="preserve"> </v>
      </c>
      <c r="M261" s="2" t="str">
        <f t="shared" si="17"/>
        <v xml:space="preserve"> </v>
      </c>
    </row>
    <row r="262" spans="1:13" x14ac:dyDescent="0.25">
      <c r="A262" s="40" t="str">
        <f t="shared" si="15"/>
        <v xml:space="preserve"> </v>
      </c>
      <c r="D262" s="39"/>
      <c r="E262" s="39"/>
      <c r="J262" s="15">
        <f t="shared" si="18"/>
        <v>0</v>
      </c>
      <c r="K262" s="2" t="str">
        <f t="shared" si="19"/>
        <v xml:space="preserve"> </v>
      </c>
      <c r="L262" s="2" t="str">
        <f t="shared" si="16"/>
        <v xml:space="preserve"> </v>
      </c>
      <c r="M262" s="2" t="str">
        <f t="shared" si="17"/>
        <v xml:space="preserve"> </v>
      </c>
    </row>
    <row r="263" spans="1:13" x14ac:dyDescent="0.25">
      <c r="A263" s="40" t="str">
        <f t="shared" si="15"/>
        <v xml:space="preserve"> </v>
      </c>
      <c r="D263" s="39"/>
      <c r="E263" s="39"/>
      <c r="J263" s="15">
        <f t="shared" si="18"/>
        <v>0</v>
      </c>
      <c r="K263" s="2" t="str">
        <f t="shared" si="19"/>
        <v xml:space="preserve"> </v>
      </c>
      <c r="L263" s="2" t="str">
        <f t="shared" si="16"/>
        <v xml:space="preserve"> </v>
      </c>
      <c r="M263" s="2" t="str">
        <f t="shared" si="17"/>
        <v xml:space="preserve"> </v>
      </c>
    </row>
    <row r="264" spans="1:13" x14ac:dyDescent="0.25">
      <c r="A264" s="40" t="str">
        <f t="shared" si="15"/>
        <v xml:space="preserve"> </v>
      </c>
      <c r="D264" s="39"/>
      <c r="E264" s="39"/>
      <c r="J264" s="15">
        <f t="shared" si="18"/>
        <v>0</v>
      </c>
      <c r="K264" s="2" t="str">
        <f t="shared" si="19"/>
        <v xml:space="preserve"> </v>
      </c>
      <c r="L264" s="2" t="str">
        <f t="shared" si="16"/>
        <v xml:space="preserve"> </v>
      </c>
      <c r="M264" s="2" t="str">
        <f t="shared" si="17"/>
        <v xml:space="preserve"> </v>
      </c>
    </row>
    <row r="265" spans="1:13" x14ac:dyDescent="0.25">
      <c r="A265" s="40" t="str">
        <f t="shared" si="15"/>
        <v xml:space="preserve"> </v>
      </c>
      <c r="D265" s="39"/>
      <c r="E265" s="39"/>
      <c r="J265" s="15">
        <f t="shared" si="18"/>
        <v>0</v>
      </c>
      <c r="K265" s="2" t="str">
        <f t="shared" si="19"/>
        <v xml:space="preserve"> </v>
      </c>
      <c r="L265" s="2" t="str">
        <f t="shared" si="16"/>
        <v xml:space="preserve"> </v>
      </c>
      <c r="M265" s="2" t="str">
        <f t="shared" si="17"/>
        <v xml:space="preserve"> </v>
      </c>
    </row>
    <row r="266" spans="1:13" x14ac:dyDescent="0.25">
      <c r="A266" s="40" t="str">
        <f t="shared" si="15"/>
        <v xml:space="preserve"> </v>
      </c>
      <c r="D266" s="39"/>
      <c r="E266" s="39"/>
      <c r="J266" s="15">
        <f t="shared" si="18"/>
        <v>0</v>
      </c>
      <c r="K266" s="2" t="str">
        <f t="shared" si="19"/>
        <v xml:space="preserve"> </v>
      </c>
      <c r="L266" s="2" t="str">
        <f t="shared" si="16"/>
        <v xml:space="preserve"> </v>
      </c>
      <c r="M266" s="2" t="str">
        <f t="shared" si="17"/>
        <v xml:space="preserve"> </v>
      </c>
    </row>
    <row r="267" spans="1:13" x14ac:dyDescent="0.25">
      <c r="A267" s="40" t="str">
        <f t="shared" si="15"/>
        <v xml:space="preserve"> </v>
      </c>
      <c r="D267" s="39"/>
      <c r="E267" s="39"/>
      <c r="J267" s="15">
        <f t="shared" si="18"/>
        <v>0</v>
      </c>
      <c r="K267" s="2" t="str">
        <f t="shared" si="19"/>
        <v xml:space="preserve"> </v>
      </c>
      <c r="L267" s="2" t="str">
        <f t="shared" si="16"/>
        <v xml:space="preserve"> </v>
      </c>
      <c r="M267" s="2" t="str">
        <f t="shared" si="17"/>
        <v xml:space="preserve"> </v>
      </c>
    </row>
    <row r="268" spans="1:13" x14ac:dyDescent="0.25">
      <c r="A268" s="40" t="str">
        <f t="shared" si="15"/>
        <v xml:space="preserve"> </v>
      </c>
      <c r="D268" s="39"/>
      <c r="E268" s="39"/>
      <c r="J268" s="15">
        <f t="shared" si="18"/>
        <v>0</v>
      </c>
      <c r="K268" s="2" t="str">
        <f t="shared" si="19"/>
        <v xml:space="preserve"> </v>
      </c>
      <c r="L268" s="2" t="str">
        <f t="shared" si="16"/>
        <v xml:space="preserve"> </v>
      </c>
      <c r="M268" s="2" t="str">
        <f t="shared" si="17"/>
        <v xml:space="preserve"> </v>
      </c>
    </row>
    <row r="269" spans="1:13" x14ac:dyDescent="0.25">
      <c r="A269" s="40" t="str">
        <f t="shared" si="15"/>
        <v xml:space="preserve"> </v>
      </c>
      <c r="D269" s="39"/>
      <c r="E269" s="39"/>
      <c r="J269" s="15">
        <f t="shared" si="18"/>
        <v>0</v>
      </c>
      <c r="K269" s="2" t="str">
        <f t="shared" si="19"/>
        <v xml:space="preserve"> </v>
      </c>
      <c r="L269" s="2" t="str">
        <f t="shared" si="16"/>
        <v xml:space="preserve"> </v>
      </c>
      <c r="M269" s="2" t="str">
        <f t="shared" si="17"/>
        <v xml:space="preserve"> </v>
      </c>
    </row>
    <row r="270" spans="1:13" x14ac:dyDescent="0.25">
      <c r="A270" s="40" t="str">
        <f t="shared" si="15"/>
        <v xml:space="preserve"> </v>
      </c>
      <c r="D270" s="39"/>
      <c r="E270" s="39"/>
      <c r="J270" s="15">
        <f t="shared" si="18"/>
        <v>0</v>
      </c>
      <c r="K270" s="2" t="str">
        <f t="shared" si="19"/>
        <v xml:space="preserve"> </v>
      </c>
      <c r="L270" s="2" t="str">
        <f t="shared" si="16"/>
        <v xml:space="preserve"> </v>
      </c>
      <c r="M270" s="2" t="str">
        <f t="shared" si="17"/>
        <v xml:space="preserve"> </v>
      </c>
    </row>
    <row r="271" spans="1:13" x14ac:dyDescent="0.25">
      <c r="A271" s="40" t="str">
        <f t="shared" ref="A271:A334" si="20">IF(COUNTIF(K271:M271,"ERROR")&gt;0,"ERROR"," ")</f>
        <v xml:space="preserve"> </v>
      </c>
      <c r="D271" s="39"/>
      <c r="E271" s="39"/>
      <c r="J271" s="15">
        <f t="shared" si="18"/>
        <v>0</v>
      </c>
      <c r="K271" s="2" t="str">
        <f t="shared" si="19"/>
        <v xml:space="preserve"> </v>
      </c>
      <c r="L271" s="2" t="str">
        <f t="shared" ref="L271:L334" si="21">IF(D271=0," ",IF(COUNTIF(ProfitLoss2,D271)&gt;0," ","ERROR"))</f>
        <v xml:space="preserve"> </v>
      </c>
      <c r="M271" s="2" t="str">
        <f t="shared" ref="M271:M334" si="22">IF(E271=0," ",IF(COUNTIF(BalanceSheetA,E271)&gt;0," ","ERROR"))</f>
        <v xml:space="preserve"> </v>
      </c>
    </row>
    <row r="272" spans="1:13" x14ac:dyDescent="0.25">
      <c r="A272" s="40" t="str">
        <f t="shared" si="20"/>
        <v xml:space="preserve"> </v>
      </c>
      <c r="D272" s="39"/>
      <c r="E272" s="39"/>
      <c r="J272" s="15">
        <f t="shared" ref="J272:J335" si="23">F272-G272+H272-I272</f>
        <v>0</v>
      </c>
      <c r="K272" s="2" t="str">
        <f t="shared" ref="K272:K335" si="24">IF(COUNTA(D272:E272)=2,"ERROR"," ")</f>
        <v xml:space="preserve"> </v>
      </c>
      <c r="L272" s="2" t="str">
        <f t="shared" si="21"/>
        <v xml:space="preserve"> </v>
      </c>
      <c r="M272" s="2" t="str">
        <f t="shared" si="22"/>
        <v xml:space="preserve"> </v>
      </c>
    </row>
    <row r="273" spans="1:13" x14ac:dyDescent="0.25">
      <c r="A273" s="40" t="str">
        <f t="shared" si="20"/>
        <v xml:space="preserve"> </v>
      </c>
      <c r="D273" s="39"/>
      <c r="E273" s="39"/>
      <c r="J273" s="15">
        <f t="shared" si="23"/>
        <v>0</v>
      </c>
      <c r="K273" s="2" t="str">
        <f t="shared" si="24"/>
        <v xml:space="preserve"> </v>
      </c>
      <c r="L273" s="2" t="str">
        <f t="shared" si="21"/>
        <v xml:space="preserve"> </v>
      </c>
      <c r="M273" s="2" t="str">
        <f t="shared" si="22"/>
        <v xml:space="preserve"> </v>
      </c>
    </row>
    <row r="274" spans="1:13" x14ac:dyDescent="0.25">
      <c r="A274" s="40" t="str">
        <f t="shared" si="20"/>
        <v xml:space="preserve"> </v>
      </c>
      <c r="D274" s="39"/>
      <c r="E274" s="39"/>
      <c r="J274" s="15">
        <f t="shared" si="23"/>
        <v>0</v>
      </c>
      <c r="K274" s="2" t="str">
        <f t="shared" si="24"/>
        <v xml:space="preserve"> </v>
      </c>
      <c r="L274" s="2" t="str">
        <f t="shared" si="21"/>
        <v xml:space="preserve"> </v>
      </c>
      <c r="M274" s="2" t="str">
        <f t="shared" si="22"/>
        <v xml:space="preserve"> </v>
      </c>
    </row>
    <row r="275" spans="1:13" x14ac:dyDescent="0.25">
      <c r="A275" s="40" t="str">
        <f t="shared" si="20"/>
        <v xml:space="preserve"> </v>
      </c>
      <c r="D275" s="39"/>
      <c r="E275" s="39"/>
      <c r="J275" s="15">
        <f t="shared" si="23"/>
        <v>0</v>
      </c>
      <c r="K275" s="2" t="str">
        <f t="shared" si="24"/>
        <v xml:space="preserve"> </v>
      </c>
      <c r="L275" s="2" t="str">
        <f t="shared" si="21"/>
        <v xml:space="preserve"> </v>
      </c>
      <c r="M275" s="2" t="str">
        <f t="shared" si="22"/>
        <v xml:space="preserve"> </v>
      </c>
    </row>
    <row r="276" spans="1:13" x14ac:dyDescent="0.25">
      <c r="A276" s="40" t="str">
        <f t="shared" si="20"/>
        <v xml:space="preserve"> </v>
      </c>
      <c r="D276" s="39"/>
      <c r="E276" s="39"/>
      <c r="J276" s="15">
        <f t="shared" si="23"/>
        <v>0</v>
      </c>
      <c r="K276" s="2" t="str">
        <f t="shared" si="24"/>
        <v xml:space="preserve"> </v>
      </c>
      <c r="L276" s="2" t="str">
        <f t="shared" si="21"/>
        <v xml:space="preserve"> </v>
      </c>
      <c r="M276" s="2" t="str">
        <f t="shared" si="22"/>
        <v xml:space="preserve"> </v>
      </c>
    </row>
    <row r="277" spans="1:13" x14ac:dyDescent="0.25">
      <c r="A277" s="40" t="str">
        <f t="shared" si="20"/>
        <v xml:space="preserve"> </v>
      </c>
      <c r="D277" s="39"/>
      <c r="E277" s="39"/>
      <c r="J277" s="15">
        <f t="shared" si="23"/>
        <v>0</v>
      </c>
      <c r="K277" s="2" t="str">
        <f t="shared" si="24"/>
        <v xml:space="preserve"> </v>
      </c>
      <c r="L277" s="2" t="str">
        <f t="shared" si="21"/>
        <v xml:space="preserve"> </v>
      </c>
      <c r="M277" s="2" t="str">
        <f t="shared" si="22"/>
        <v xml:space="preserve"> </v>
      </c>
    </row>
    <row r="278" spans="1:13" x14ac:dyDescent="0.25">
      <c r="A278" s="40" t="str">
        <f t="shared" si="20"/>
        <v xml:space="preserve"> </v>
      </c>
      <c r="D278" s="39"/>
      <c r="E278" s="39"/>
      <c r="J278" s="15">
        <f t="shared" si="23"/>
        <v>0</v>
      </c>
      <c r="K278" s="2" t="str">
        <f t="shared" si="24"/>
        <v xml:space="preserve"> </v>
      </c>
      <c r="L278" s="2" t="str">
        <f t="shared" si="21"/>
        <v xml:space="preserve"> </v>
      </c>
      <c r="M278" s="2" t="str">
        <f t="shared" si="22"/>
        <v xml:space="preserve"> </v>
      </c>
    </row>
    <row r="279" spans="1:13" x14ac:dyDescent="0.25">
      <c r="A279" s="40" t="str">
        <f t="shared" si="20"/>
        <v xml:space="preserve"> </v>
      </c>
      <c r="D279" s="39"/>
      <c r="E279" s="39"/>
      <c r="J279" s="15">
        <f t="shared" si="23"/>
        <v>0</v>
      </c>
      <c r="K279" s="2" t="str">
        <f t="shared" si="24"/>
        <v xml:space="preserve"> </v>
      </c>
      <c r="L279" s="2" t="str">
        <f t="shared" si="21"/>
        <v xml:space="preserve"> </v>
      </c>
      <c r="M279" s="2" t="str">
        <f t="shared" si="22"/>
        <v xml:space="preserve"> </v>
      </c>
    </row>
    <row r="280" spans="1:13" x14ac:dyDescent="0.25">
      <c r="A280" s="40" t="str">
        <f t="shared" si="20"/>
        <v xml:space="preserve"> </v>
      </c>
      <c r="D280" s="39"/>
      <c r="E280" s="39"/>
      <c r="J280" s="15">
        <f t="shared" si="23"/>
        <v>0</v>
      </c>
      <c r="K280" s="2" t="str">
        <f t="shared" si="24"/>
        <v xml:space="preserve"> </v>
      </c>
      <c r="L280" s="2" t="str">
        <f t="shared" si="21"/>
        <v xml:space="preserve"> </v>
      </c>
      <c r="M280" s="2" t="str">
        <f t="shared" si="22"/>
        <v xml:space="preserve"> </v>
      </c>
    </row>
    <row r="281" spans="1:13" x14ac:dyDescent="0.25">
      <c r="A281" s="40" t="str">
        <f t="shared" si="20"/>
        <v xml:space="preserve"> </v>
      </c>
      <c r="D281" s="39"/>
      <c r="E281" s="39"/>
      <c r="J281" s="15">
        <f t="shared" si="23"/>
        <v>0</v>
      </c>
      <c r="K281" s="2" t="str">
        <f t="shared" si="24"/>
        <v xml:space="preserve"> </v>
      </c>
      <c r="L281" s="2" t="str">
        <f t="shared" si="21"/>
        <v xml:space="preserve"> </v>
      </c>
      <c r="M281" s="2" t="str">
        <f t="shared" si="22"/>
        <v xml:space="preserve"> </v>
      </c>
    </row>
    <row r="282" spans="1:13" x14ac:dyDescent="0.25">
      <c r="A282" s="40" t="str">
        <f t="shared" si="20"/>
        <v xml:space="preserve"> </v>
      </c>
      <c r="D282" s="39"/>
      <c r="E282" s="39"/>
      <c r="J282" s="15">
        <f t="shared" si="23"/>
        <v>0</v>
      </c>
      <c r="K282" s="2" t="str">
        <f t="shared" si="24"/>
        <v xml:space="preserve"> </v>
      </c>
      <c r="L282" s="2" t="str">
        <f t="shared" si="21"/>
        <v xml:space="preserve"> </v>
      </c>
      <c r="M282" s="2" t="str">
        <f t="shared" si="22"/>
        <v xml:space="preserve"> </v>
      </c>
    </row>
    <row r="283" spans="1:13" x14ac:dyDescent="0.25">
      <c r="A283" s="40" t="str">
        <f t="shared" si="20"/>
        <v xml:space="preserve"> </v>
      </c>
      <c r="D283" s="39"/>
      <c r="E283" s="39"/>
      <c r="J283" s="15">
        <f t="shared" si="23"/>
        <v>0</v>
      </c>
      <c r="K283" s="2" t="str">
        <f t="shared" si="24"/>
        <v xml:space="preserve"> </v>
      </c>
      <c r="L283" s="2" t="str">
        <f t="shared" si="21"/>
        <v xml:space="preserve"> </v>
      </c>
      <c r="M283" s="2" t="str">
        <f t="shared" si="22"/>
        <v xml:space="preserve"> </v>
      </c>
    </row>
    <row r="284" spans="1:13" x14ac:dyDescent="0.25">
      <c r="A284" s="40" t="str">
        <f t="shared" si="20"/>
        <v xml:space="preserve"> </v>
      </c>
      <c r="D284" s="39"/>
      <c r="E284" s="39"/>
      <c r="J284" s="15">
        <f t="shared" si="23"/>
        <v>0</v>
      </c>
      <c r="K284" s="2" t="str">
        <f t="shared" si="24"/>
        <v xml:space="preserve"> </v>
      </c>
      <c r="L284" s="2" t="str">
        <f t="shared" si="21"/>
        <v xml:space="preserve"> </v>
      </c>
      <c r="M284" s="2" t="str">
        <f t="shared" si="22"/>
        <v xml:space="preserve"> </v>
      </c>
    </row>
    <row r="285" spans="1:13" x14ac:dyDescent="0.25">
      <c r="A285" s="40" t="str">
        <f t="shared" si="20"/>
        <v xml:space="preserve"> </v>
      </c>
      <c r="D285" s="39"/>
      <c r="E285" s="39"/>
      <c r="J285" s="15">
        <f t="shared" si="23"/>
        <v>0</v>
      </c>
      <c r="K285" s="2" t="str">
        <f t="shared" si="24"/>
        <v xml:space="preserve"> </v>
      </c>
      <c r="L285" s="2" t="str">
        <f t="shared" si="21"/>
        <v xml:space="preserve"> </v>
      </c>
      <c r="M285" s="2" t="str">
        <f t="shared" si="22"/>
        <v xml:space="preserve"> </v>
      </c>
    </row>
    <row r="286" spans="1:13" x14ac:dyDescent="0.25">
      <c r="A286" s="40" t="str">
        <f t="shared" si="20"/>
        <v xml:space="preserve"> </v>
      </c>
      <c r="D286" s="39"/>
      <c r="E286" s="39"/>
      <c r="J286" s="15">
        <f t="shared" si="23"/>
        <v>0</v>
      </c>
      <c r="K286" s="2" t="str">
        <f t="shared" si="24"/>
        <v xml:space="preserve"> </v>
      </c>
      <c r="L286" s="2" t="str">
        <f t="shared" si="21"/>
        <v xml:space="preserve"> </v>
      </c>
      <c r="M286" s="2" t="str">
        <f t="shared" si="22"/>
        <v xml:space="preserve"> </v>
      </c>
    </row>
    <row r="287" spans="1:13" x14ac:dyDescent="0.25">
      <c r="A287" s="40" t="str">
        <f t="shared" si="20"/>
        <v xml:space="preserve"> </v>
      </c>
      <c r="D287" s="39"/>
      <c r="E287" s="39"/>
      <c r="J287" s="15">
        <f t="shared" si="23"/>
        <v>0</v>
      </c>
      <c r="K287" s="2" t="str">
        <f t="shared" si="24"/>
        <v xml:space="preserve"> </v>
      </c>
      <c r="L287" s="2" t="str">
        <f t="shared" si="21"/>
        <v xml:space="preserve"> </v>
      </c>
      <c r="M287" s="2" t="str">
        <f t="shared" si="22"/>
        <v xml:space="preserve"> </v>
      </c>
    </row>
    <row r="288" spans="1:13" x14ac:dyDescent="0.25">
      <c r="A288" s="40" t="str">
        <f t="shared" si="20"/>
        <v xml:space="preserve"> </v>
      </c>
      <c r="D288" s="39"/>
      <c r="E288" s="39"/>
      <c r="J288" s="15">
        <f t="shared" si="23"/>
        <v>0</v>
      </c>
      <c r="K288" s="2" t="str">
        <f t="shared" si="24"/>
        <v xml:space="preserve"> </v>
      </c>
      <c r="L288" s="2" t="str">
        <f t="shared" si="21"/>
        <v xml:space="preserve"> </v>
      </c>
      <c r="M288" s="2" t="str">
        <f t="shared" si="22"/>
        <v xml:space="preserve"> </v>
      </c>
    </row>
    <row r="289" spans="1:13" x14ac:dyDescent="0.25">
      <c r="A289" s="40" t="str">
        <f t="shared" si="20"/>
        <v xml:space="preserve"> </v>
      </c>
      <c r="D289" s="39"/>
      <c r="E289" s="39"/>
      <c r="J289" s="15">
        <f t="shared" si="23"/>
        <v>0</v>
      </c>
      <c r="K289" s="2" t="str">
        <f t="shared" si="24"/>
        <v xml:space="preserve"> </v>
      </c>
      <c r="L289" s="2" t="str">
        <f t="shared" si="21"/>
        <v xml:space="preserve"> </v>
      </c>
      <c r="M289" s="2" t="str">
        <f t="shared" si="22"/>
        <v xml:space="preserve"> </v>
      </c>
    </row>
    <row r="290" spans="1:13" x14ac:dyDescent="0.25">
      <c r="A290" s="40" t="str">
        <f t="shared" si="20"/>
        <v xml:space="preserve"> </v>
      </c>
      <c r="D290" s="39"/>
      <c r="E290" s="39"/>
      <c r="J290" s="15">
        <f t="shared" si="23"/>
        <v>0</v>
      </c>
      <c r="K290" s="2" t="str">
        <f t="shared" si="24"/>
        <v xml:space="preserve"> </v>
      </c>
      <c r="L290" s="2" t="str">
        <f t="shared" si="21"/>
        <v xml:space="preserve"> </v>
      </c>
      <c r="M290" s="2" t="str">
        <f t="shared" si="22"/>
        <v xml:space="preserve"> </v>
      </c>
    </row>
    <row r="291" spans="1:13" x14ac:dyDescent="0.25">
      <c r="A291" s="40" t="str">
        <f t="shared" si="20"/>
        <v xml:space="preserve"> </v>
      </c>
      <c r="D291" s="39"/>
      <c r="E291" s="39"/>
      <c r="J291" s="15">
        <f t="shared" si="23"/>
        <v>0</v>
      </c>
      <c r="K291" s="2" t="str">
        <f t="shared" si="24"/>
        <v xml:space="preserve"> </v>
      </c>
      <c r="L291" s="2" t="str">
        <f t="shared" si="21"/>
        <v xml:space="preserve"> </v>
      </c>
      <c r="M291" s="2" t="str">
        <f t="shared" si="22"/>
        <v xml:space="preserve"> </v>
      </c>
    </row>
    <row r="292" spans="1:13" x14ac:dyDescent="0.25">
      <c r="A292" s="40" t="str">
        <f t="shared" si="20"/>
        <v xml:space="preserve"> </v>
      </c>
      <c r="D292" s="39"/>
      <c r="E292" s="39"/>
      <c r="J292" s="15">
        <f t="shared" si="23"/>
        <v>0</v>
      </c>
      <c r="K292" s="2" t="str">
        <f t="shared" si="24"/>
        <v xml:space="preserve"> </v>
      </c>
      <c r="L292" s="2" t="str">
        <f t="shared" si="21"/>
        <v xml:space="preserve"> </v>
      </c>
      <c r="M292" s="2" t="str">
        <f t="shared" si="22"/>
        <v xml:space="preserve"> </v>
      </c>
    </row>
    <row r="293" spans="1:13" x14ac:dyDescent="0.25">
      <c r="A293" s="40" t="str">
        <f t="shared" si="20"/>
        <v xml:space="preserve"> </v>
      </c>
      <c r="D293" s="39"/>
      <c r="E293" s="39"/>
      <c r="J293" s="15">
        <f t="shared" si="23"/>
        <v>0</v>
      </c>
      <c r="K293" s="2" t="str">
        <f t="shared" si="24"/>
        <v xml:space="preserve"> </v>
      </c>
      <c r="L293" s="2" t="str">
        <f t="shared" si="21"/>
        <v xml:space="preserve"> </v>
      </c>
      <c r="M293" s="2" t="str">
        <f t="shared" si="22"/>
        <v xml:space="preserve"> </v>
      </c>
    </row>
    <row r="294" spans="1:13" x14ac:dyDescent="0.25">
      <c r="A294" s="40" t="str">
        <f t="shared" si="20"/>
        <v xml:space="preserve"> </v>
      </c>
      <c r="D294" s="39"/>
      <c r="E294" s="39"/>
      <c r="J294" s="15">
        <f t="shared" si="23"/>
        <v>0</v>
      </c>
      <c r="K294" s="2" t="str">
        <f t="shared" si="24"/>
        <v xml:space="preserve"> </v>
      </c>
      <c r="L294" s="2" t="str">
        <f t="shared" si="21"/>
        <v xml:space="preserve"> </v>
      </c>
      <c r="M294" s="2" t="str">
        <f t="shared" si="22"/>
        <v xml:space="preserve"> </v>
      </c>
    </row>
    <row r="295" spans="1:13" x14ac:dyDescent="0.25">
      <c r="A295" s="40" t="str">
        <f t="shared" si="20"/>
        <v xml:space="preserve"> </v>
      </c>
      <c r="D295" s="39"/>
      <c r="E295" s="39"/>
      <c r="J295" s="15">
        <f t="shared" si="23"/>
        <v>0</v>
      </c>
      <c r="K295" s="2" t="str">
        <f t="shared" si="24"/>
        <v xml:space="preserve"> </v>
      </c>
      <c r="L295" s="2" t="str">
        <f t="shared" si="21"/>
        <v xml:space="preserve"> </v>
      </c>
      <c r="M295" s="2" t="str">
        <f t="shared" si="22"/>
        <v xml:space="preserve"> </v>
      </c>
    </row>
    <row r="296" spans="1:13" x14ac:dyDescent="0.25">
      <c r="A296" s="40" t="str">
        <f t="shared" si="20"/>
        <v xml:space="preserve"> </v>
      </c>
      <c r="D296" s="39"/>
      <c r="E296" s="39"/>
      <c r="J296" s="15">
        <f t="shared" si="23"/>
        <v>0</v>
      </c>
      <c r="K296" s="2" t="str">
        <f t="shared" si="24"/>
        <v xml:space="preserve"> </v>
      </c>
      <c r="L296" s="2" t="str">
        <f t="shared" si="21"/>
        <v xml:space="preserve"> </v>
      </c>
      <c r="M296" s="2" t="str">
        <f t="shared" si="22"/>
        <v xml:space="preserve"> </v>
      </c>
    </row>
    <row r="297" spans="1:13" x14ac:dyDescent="0.25">
      <c r="A297" s="40" t="str">
        <f t="shared" si="20"/>
        <v xml:space="preserve"> </v>
      </c>
      <c r="D297" s="39"/>
      <c r="E297" s="39"/>
      <c r="J297" s="15">
        <f t="shared" si="23"/>
        <v>0</v>
      </c>
      <c r="K297" s="2" t="str">
        <f t="shared" si="24"/>
        <v xml:space="preserve"> </v>
      </c>
      <c r="L297" s="2" t="str">
        <f t="shared" si="21"/>
        <v xml:space="preserve"> </v>
      </c>
      <c r="M297" s="2" t="str">
        <f t="shared" si="22"/>
        <v xml:space="preserve"> </v>
      </c>
    </row>
    <row r="298" spans="1:13" x14ac:dyDescent="0.25">
      <c r="A298" s="40" t="str">
        <f t="shared" si="20"/>
        <v xml:space="preserve"> </v>
      </c>
      <c r="D298" s="39"/>
      <c r="E298" s="39"/>
      <c r="J298" s="15">
        <f t="shared" si="23"/>
        <v>0</v>
      </c>
      <c r="K298" s="2" t="str">
        <f t="shared" si="24"/>
        <v xml:space="preserve"> </v>
      </c>
      <c r="L298" s="2" t="str">
        <f t="shared" si="21"/>
        <v xml:space="preserve"> </v>
      </c>
      <c r="M298" s="2" t="str">
        <f t="shared" si="22"/>
        <v xml:space="preserve"> </v>
      </c>
    </row>
    <row r="299" spans="1:13" x14ac:dyDescent="0.25">
      <c r="A299" s="40" t="str">
        <f t="shared" si="20"/>
        <v xml:space="preserve"> </v>
      </c>
      <c r="D299" s="39"/>
      <c r="E299" s="39"/>
      <c r="J299" s="15">
        <f t="shared" si="23"/>
        <v>0</v>
      </c>
      <c r="K299" s="2" t="str">
        <f t="shared" si="24"/>
        <v xml:space="preserve"> </v>
      </c>
      <c r="L299" s="2" t="str">
        <f t="shared" si="21"/>
        <v xml:space="preserve"> </v>
      </c>
      <c r="M299" s="2" t="str">
        <f t="shared" si="22"/>
        <v xml:space="preserve"> </v>
      </c>
    </row>
    <row r="300" spans="1:13" x14ac:dyDescent="0.25">
      <c r="A300" s="40" t="str">
        <f t="shared" si="20"/>
        <v xml:space="preserve"> </v>
      </c>
      <c r="D300" s="39"/>
      <c r="E300" s="39"/>
      <c r="J300" s="15">
        <f t="shared" si="23"/>
        <v>0</v>
      </c>
      <c r="K300" s="2" t="str">
        <f t="shared" si="24"/>
        <v xml:space="preserve"> </v>
      </c>
      <c r="L300" s="2" t="str">
        <f t="shared" si="21"/>
        <v xml:space="preserve"> </v>
      </c>
      <c r="M300" s="2" t="str">
        <f t="shared" si="22"/>
        <v xml:space="preserve"> </v>
      </c>
    </row>
    <row r="301" spans="1:13" x14ac:dyDescent="0.25">
      <c r="A301" s="40" t="str">
        <f t="shared" si="20"/>
        <v xml:space="preserve"> </v>
      </c>
      <c r="D301" s="39"/>
      <c r="E301" s="39"/>
      <c r="J301" s="15">
        <f t="shared" si="23"/>
        <v>0</v>
      </c>
      <c r="K301" s="2" t="str">
        <f t="shared" si="24"/>
        <v xml:space="preserve"> </v>
      </c>
      <c r="L301" s="2" t="str">
        <f t="shared" si="21"/>
        <v xml:space="preserve"> </v>
      </c>
      <c r="M301" s="2" t="str">
        <f t="shared" si="22"/>
        <v xml:space="preserve"> </v>
      </c>
    </row>
    <row r="302" spans="1:13" x14ac:dyDescent="0.25">
      <c r="A302" s="40" t="str">
        <f t="shared" si="20"/>
        <v xml:space="preserve"> </v>
      </c>
      <c r="D302" s="39"/>
      <c r="E302" s="39"/>
      <c r="J302" s="15">
        <f t="shared" si="23"/>
        <v>0</v>
      </c>
      <c r="K302" s="2" t="str">
        <f t="shared" si="24"/>
        <v xml:space="preserve"> </v>
      </c>
      <c r="L302" s="2" t="str">
        <f t="shared" si="21"/>
        <v xml:space="preserve"> </v>
      </c>
      <c r="M302" s="2" t="str">
        <f t="shared" si="22"/>
        <v xml:space="preserve"> </v>
      </c>
    </row>
    <row r="303" spans="1:13" x14ac:dyDescent="0.25">
      <c r="A303" s="40" t="str">
        <f t="shared" si="20"/>
        <v xml:space="preserve"> </v>
      </c>
      <c r="D303" s="39"/>
      <c r="E303" s="39"/>
      <c r="J303" s="15">
        <f t="shared" si="23"/>
        <v>0</v>
      </c>
      <c r="K303" s="2" t="str">
        <f t="shared" si="24"/>
        <v xml:space="preserve"> </v>
      </c>
      <c r="L303" s="2" t="str">
        <f t="shared" si="21"/>
        <v xml:space="preserve"> </v>
      </c>
      <c r="M303" s="2" t="str">
        <f t="shared" si="22"/>
        <v xml:space="preserve"> </v>
      </c>
    </row>
    <row r="304" spans="1:13" x14ac:dyDescent="0.25">
      <c r="A304" s="40" t="str">
        <f t="shared" si="20"/>
        <v xml:space="preserve"> </v>
      </c>
      <c r="D304" s="39"/>
      <c r="E304" s="39"/>
      <c r="J304" s="15">
        <f t="shared" si="23"/>
        <v>0</v>
      </c>
      <c r="K304" s="2" t="str">
        <f t="shared" si="24"/>
        <v xml:space="preserve"> </v>
      </c>
      <c r="L304" s="2" t="str">
        <f t="shared" si="21"/>
        <v xml:space="preserve"> </v>
      </c>
      <c r="M304" s="2" t="str">
        <f t="shared" si="22"/>
        <v xml:space="preserve"> </v>
      </c>
    </row>
    <row r="305" spans="1:13" x14ac:dyDescent="0.25">
      <c r="A305" s="40" t="str">
        <f t="shared" si="20"/>
        <v xml:space="preserve"> </v>
      </c>
      <c r="D305" s="39"/>
      <c r="E305" s="39"/>
      <c r="J305" s="15">
        <f t="shared" si="23"/>
        <v>0</v>
      </c>
      <c r="K305" s="2" t="str">
        <f t="shared" si="24"/>
        <v xml:space="preserve"> </v>
      </c>
      <c r="L305" s="2" t="str">
        <f t="shared" si="21"/>
        <v xml:space="preserve"> </v>
      </c>
      <c r="M305" s="2" t="str">
        <f t="shared" si="22"/>
        <v xml:space="preserve"> </v>
      </c>
    </row>
    <row r="306" spans="1:13" x14ac:dyDescent="0.25">
      <c r="A306" s="40" t="str">
        <f t="shared" si="20"/>
        <v xml:space="preserve"> </v>
      </c>
      <c r="D306" s="39"/>
      <c r="E306" s="39"/>
      <c r="J306" s="15">
        <f t="shared" si="23"/>
        <v>0</v>
      </c>
      <c r="K306" s="2" t="str">
        <f t="shared" si="24"/>
        <v xml:space="preserve"> </v>
      </c>
      <c r="L306" s="2" t="str">
        <f t="shared" si="21"/>
        <v xml:space="preserve"> </v>
      </c>
      <c r="M306" s="2" t="str">
        <f t="shared" si="22"/>
        <v xml:space="preserve"> </v>
      </c>
    </row>
    <row r="307" spans="1:13" x14ac:dyDescent="0.25">
      <c r="A307" s="40" t="str">
        <f t="shared" si="20"/>
        <v xml:space="preserve"> </v>
      </c>
      <c r="D307" s="39"/>
      <c r="E307" s="39"/>
      <c r="J307" s="15">
        <f t="shared" si="23"/>
        <v>0</v>
      </c>
      <c r="K307" s="2" t="str">
        <f t="shared" si="24"/>
        <v xml:space="preserve"> </v>
      </c>
      <c r="L307" s="2" t="str">
        <f t="shared" si="21"/>
        <v xml:space="preserve"> </v>
      </c>
      <c r="M307" s="2" t="str">
        <f t="shared" si="22"/>
        <v xml:space="preserve"> </v>
      </c>
    </row>
    <row r="308" spans="1:13" x14ac:dyDescent="0.25">
      <c r="A308" s="40" t="str">
        <f t="shared" si="20"/>
        <v xml:space="preserve"> </v>
      </c>
      <c r="D308" s="39"/>
      <c r="E308" s="39"/>
      <c r="J308" s="15">
        <f t="shared" si="23"/>
        <v>0</v>
      </c>
      <c r="K308" s="2" t="str">
        <f t="shared" si="24"/>
        <v xml:space="preserve"> </v>
      </c>
      <c r="L308" s="2" t="str">
        <f t="shared" si="21"/>
        <v xml:space="preserve"> </v>
      </c>
      <c r="M308" s="2" t="str">
        <f t="shared" si="22"/>
        <v xml:space="preserve"> </v>
      </c>
    </row>
    <row r="309" spans="1:13" x14ac:dyDescent="0.25">
      <c r="A309" s="40" t="str">
        <f t="shared" si="20"/>
        <v xml:space="preserve"> </v>
      </c>
      <c r="D309" s="39"/>
      <c r="E309" s="39"/>
      <c r="J309" s="15">
        <f t="shared" si="23"/>
        <v>0</v>
      </c>
      <c r="K309" s="2" t="str">
        <f t="shared" si="24"/>
        <v xml:space="preserve"> </v>
      </c>
      <c r="L309" s="2" t="str">
        <f t="shared" si="21"/>
        <v xml:space="preserve"> </v>
      </c>
      <c r="M309" s="2" t="str">
        <f t="shared" si="22"/>
        <v xml:space="preserve"> </v>
      </c>
    </row>
    <row r="310" spans="1:13" x14ac:dyDescent="0.25">
      <c r="A310" s="40" t="str">
        <f t="shared" si="20"/>
        <v xml:space="preserve"> </v>
      </c>
      <c r="D310" s="39"/>
      <c r="E310" s="39"/>
      <c r="J310" s="15">
        <f t="shared" si="23"/>
        <v>0</v>
      </c>
      <c r="K310" s="2" t="str">
        <f t="shared" si="24"/>
        <v xml:space="preserve"> </v>
      </c>
      <c r="L310" s="2" t="str">
        <f t="shared" si="21"/>
        <v xml:space="preserve"> </v>
      </c>
      <c r="M310" s="2" t="str">
        <f t="shared" si="22"/>
        <v xml:space="preserve"> </v>
      </c>
    </row>
    <row r="311" spans="1:13" x14ac:dyDescent="0.25">
      <c r="A311" s="40" t="str">
        <f t="shared" si="20"/>
        <v xml:space="preserve"> </v>
      </c>
      <c r="D311" s="39"/>
      <c r="E311" s="39"/>
      <c r="J311" s="15">
        <f t="shared" si="23"/>
        <v>0</v>
      </c>
      <c r="K311" s="2" t="str">
        <f t="shared" si="24"/>
        <v xml:space="preserve"> </v>
      </c>
      <c r="L311" s="2" t="str">
        <f t="shared" si="21"/>
        <v xml:space="preserve"> </v>
      </c>
      <c r="M311" s="2" t="str">
        <f t="shared" si="22"/>
        <v xml:space="preserve"> </v>
      </c>
    </row>
    <row r="312" spans="1:13" x14ac:dyDescent="0.25">
      <c r="A312" s="40" t="str">
        <f t="shared" si="20"/>
        <v xml:space="preserve"> </v>
      </c>
      <c r="D312" s="39"/>
      <c r="E312" s="39"/>
      <c r="J312" s="15">
        <f t="shared" si="23"/>
        <v>0</v>
      </c>
      <c r="K312" s="2" t="str">
        <f t="shared" si="24"/>
        <v xml:space="preserve"> </v>
      </c>
      <c r="L312" s="2" t="str">
        <f t="shared" si="21"/>
        <v xml:space="preserve"> </v>
      </c>
      <c r="M312" s="2" t="str">
        <f t="shared" si="22"/>
        <v xml:space="preserve"> </v>
      </c>
    </row>
    <row r="313" spans="1:13" x14ac:dyDescent="0.25">
      <c r="A313" s="40" t="str">
        <f t="shared" si="20"/>
        <v xml:space="preserve"> </v>
      </c>
      <c r="D313" s="39"/>
      <c r="E313" s="39"/>
      <c r="J313" s="15">
        <f t="shared" si="23"/>
        <v>0</v>
      </c>
      <c r="K313" s="2" t="str">
        <f t="shared" si="24"/>
        <v xml:space="preserve"> </v>
      </c>
      <c r="L313" s="2" t="str">
        <f t="shared" si="21"/>
        <v xml:space="preserve"> </v>
      </c>
      <c r="M313" s="2" t="str">
        <f t="shared" si="22"/>
        <v xml:space="preserve"> </v>
      </c>
    </row>
    <row r="314" spans="1:13" x14ac:dyDescent="0.25">
      <c r="A314" s="40" t="str">
        <f t="shared" si="20"/>
        <v xml:space="preserve"> </v>
      </c>
      <c r="D314" s="39"/>
      <c r="E314" s="39"/>
      <c r="J314" s="15">
        <f t="shared" si="23"/>
        <v>0</v>
      </c>
      <c r="K314" s="2" t="str">
        <f t="shared" si="24"/>
        <v xml:space="preserve"> </v>
      </c>
      <c r="L314" s="2" t="str">
        <f t="shared" si="21"/>
        <v xml:space="preserve"> </v>
      </c>
      <c r="M314" s="2" t="str">
        <f t="shared" si="22"/>
        <v xml:space="preserve"> </v>
      </c>
    </row>
    <row r="315" spans="1:13" x14ac:dyDescent="0.25">
      <c r="A315" s="40" t="str">
        <f t="shared" si="20"/>
        <v xml:space="preserve"> </v>
      </c>
      <c r="D315" s="39"/>
      <c r="E315" s="39"/>
      <c r="J315" s="15">
        <f t="shared" si="23"/>
        <v>0</v>
      </c>
      <c r="K315" s="2" t="str">
        <f t="shared" si="24"/>
        <v xml:space="preserve"> </v>
      </c>
      <c r="L315" s="2" t="str">
        <f t="shared" si="21"/>
        <v xml:space="preserve"> </v>
      </c>
      <c r="M315" s="2" t="str">
        <f t="shared" si="22"/>
        <v xml:space="preserve"> </v>
      </c>
    </row>
    <row r="316" spans="1:13" x14ac:dyDescent="0.25">
      <c r="A316" s="40" t="str">
        <f t="shared" si="20"/>
        <v xml:space="preserve"> </v>
      </c>
      <c r="D316" s="39"/>
      <c r="E316" s="39"/>
      <c r="J316" s="15">
        <f t="shared" si="23"/>
        <v>0</v>
      </c>
      <c r="K316" s="2" t="str">
        <f t="shared" si="24"/>
        <v xml:space="preserve"> </v>
      </c>
      <c r="L316" s="2" t="str">
        <f t="shared" si="21"/>
        <v xml:space="preserve"> </v>
      </c>
      <c r="M316" s="2" t="str">
        <f t="shared" si="22"/>
        <v xml:space="preserve"> </v>
      </c>
    </row>
    <row r="317" spans="1:13" x14ac:dyDescent="0.25">
      <c r="A317" s="40" t="str">
        <f t="shared" si="20"/>
        <v xml:space="preserve"> </v>
      </c>
      <c r="D317" s="39"/>
      <c r="E317" s="39"/>
      <c r="J317" s="15">
        <f t="shared" si="23"/>
        <v>0</v>
      </c>
      <c r="K317" s="2" t="str">
        <f t="shared" si="24"/>
        <v xml:space="preserve"> </v>
      </c>
      <c r="L317" s="2" t="str">
        <f t="shared" si="21"/>
        <v xml:space="preserve"> </v>
      </c>
      <c r="M317" s="2" t="str">
        <f t="shared" si="22"/>
        <v xml:space="preserve"> </v>
      </c>
    </row>
    <row r="318" spans="1:13" x14ac:dyDescent="0.25">
      <c r="A318" s="40" t="str">
        <f t="shared" si="20"/>
        <v xml:space="preserve"> </v>
      </c>
      <c r="D318" s="39"/>
      <c r="E318" s="39"/>
      <c r="J318" s="15">
        <f t="shared" si="23"/>
        <v>0</v>
      </c>
      <c r="K318" s="2" t="str">
        <f t="shared" si="24"/>
        <v xml:space="preserve"> </v>
      </c>
      <c r="L318" s="2" t="str">
        <f t="shared" si="21"/>
        <v xml:space="preserve"> </v>
      </c>
      <c r="M318" s="2" t="str">
        <f t="shared" si="22"/>
        <v xml:space="preserve"> </v>
      </c>
    </row>
    <row r="319" spans="1:13" x14ac:dyDescent="0.25">
      <c r="A319" s="40" t="str">
        <f t="shared" si="20"/>
        <v xml:space="preserve"> </v>
      </c>
      <c r="D319" s="39"/>
      <c r="E319" s="39"/>
      <c r="J319" s="15">
        <f t="shared" si="23"/>
        <v>0</v>
      </c>
      <c r="K319" s="2" t="str">
        <f t="shared" si="24"/>
        <v xml:space="preserve"> </v>
      </c>
      <c r="L319" s="2" t="str">
        <f t="shared" si="21"/>
        <v xml:space="preserve"> </v>
      </c>
      <c r="M319" s="2" t="str">
        <f t="shared" si="22"/>
        <v xml:space="preserve"> </v>
      </c>
    </row>
    <row r="320" spans="1:13" x14ac:dyDescent="0.25">
      <c r="A320" s="40" t="str">
        <f t="shared" si="20"/>
        <v xml:space="preserve"> </v>
      </c>
      <c r="D320" s="39"/>
      <c r="E320" s="39"/>
      <c r="J320" s="15">
        <f t="shared" si="23"/>
        <v>0</v>
      </c>
      <c r="K320" s="2" t="str">
        <f t="shared" si="24"/>
        <v xml:space="preserve"> </v>
      </c>
      <c r="L320" s="2" t="str">
        <f t="shared" si="21"/>
        <v xml:space="preserve"> </v>
      </c>
      <c r="M320" s="2" t="str">
        <f t="shared" si="22"/>
        <v xml:space="preserve"> </v>
      </c>
    </row>
    <row r="321" spans="1:13" x14ac:dyDescent="0.25">
      <c r="A321" s="40" t="str">
        <f t="shared" si="20"/>
        <v xml:space="preserve"> </v>
      </c>
      <c r="D321" s="39"/>
      <c r="E321" s="39"/>
      <c r="J321" s="15">
        <f t="shared" si="23"/>
        <v>0</v>
      </c>
      <c r="K321" s="2" t="str">
        <f t="shared" si="24"/>
        <v xml:space="preserve"> </v>
      </c>
      <c r="L321" s="2" t="str">
        <f t="shared" si="21"/>
        <v xml:space="preserve"> </v>
      </c>
      <c r="M321" s="2" t="str">
        <f t="shared" si="22"/>
        <v xml:space="preserve"> </v>
      </c>
    </row>
    <row r="322" spans="1:13" x14ac:dyDescent="0.25">
      <c r="A322" s="40" t="str">
        <f t="shared" si="20"/>
        <v xml:space="preserve"> </v>
      </c>
      <c r="D322" s="39"/>
      <c r="E322" s="39"/>
      <c r="J322" s="15">
        <f t="shared" si="23"/>
        <v>0</v>
      </c>
      <c r="K322" s="2" t="str">
        <f t="shared" si="24"/>
        <v xml:space="preserve"> </v>
      </c>
      <c r="L322" s="2" t="str">
        <f t="shared" si="21"/>
        <v xml:space="preserve"> </v>
      </c>
      <c r="M322" s="2" t="str">
        <f t="shared" si="22"/>
        <v xml:space="preserve"> </v>
      </c>
    </row>
    <row r="323" spans="1:13" x14ac:dyDescent="0.25">
      <c r="A323" s="40" t="str">
        <f t="shared" si="20"/>
        <v xml:space="preserve"> </v>
      </c>
      <c r="D323" s="39"/>
      <c r="E323" s="39"/>
      <c r="J323" s="15">
        <f t="shared" si="23"/>
        <v>0</v>
      </c>
      <c r="K323" s="2" t="str">
        <f t="shared" si="24"/>
        <v xml:space="preserve"> </v>
      </c>
      <c r="L323" s="2" t="str">
        <f t="shared" si="21"/>
        <v xml:space="preserve"> </v>
      </c>
      <c r="M323" s="2" t="str">
        <f t="shared" si="22"/>
        <v xml:space="preserve"> </v>
      </c>
    </row>
    <row r="324" spans="1:13" x14ac:dyDescent="0.25">
      <c r="A324" s="40" t="str">
        <f t="shared" si="20"/>
        <v xml:space="preserve"> </v>
      </c>
      <c r="D324" s="39"/>
      <c r="E324" s="39"/>
      <c r="J324" s="15">
        <f t="shared" si="23"/>
        <v>0</v>
      </c>
      <c r="K324" s="2" t="str">
        <f t="shared" si="24"/>
        <v xml:space="preserve"> </v>
      </c>
      <c r="L324" s="2" t="str">
        <f t="shared" si="21"/>
        <v xml:space="preserve"> </v>
      </c>
      <c r="M324" s="2" t="str">
        <f t="shared" si="22"/>
        <v xml:space="preserve"> </v>
      </c>
    </row>
    <row r="325" spans="1:13" x14ac:dyDescent="0.25">
      <c r="A325" s="40" t="str">
        <f t="shared" si="20"/>
        <v xml:space="preserve"> </v>
      </c>
      <c r="D325" s="39"/>
      <c r="E325" s="39"/>
      <c r="J325" s="15">
        <f t="shared" si="23"/>
        <v>0</v>
      </c>
      <c r="K325" s="2" t="str">
        <f t="shared" si="24"/>
        <v xml:space="preserve"> </v>
      </c>
      <c r="L325" s="2" t="str">
        <f t="shared" si="21"/>
        <v xml:space="preserve"> </v>
      </c>
      <c r="M325" s="2" t="str">
        <f t="shared" si="22"/>
        <v xml:space="preserve"> </v>
      </c>
    </row>
    <row r="326" spans="1:13" x14ac:dyDescent="0.25">
      <c r="A326" s="40" t="str">
        <f t="shared" si="20"/>
        <v xml:space="preserve"> </v>
      </c>
      <c r="D326" s="39"/>
      <c r="E326" s="39"/>
      <c r="J326" s="15">
        <f t="shared" si="23"/>
        <v>0</v>
      </c>
      <c r="K326" s="2" t="str">
        <f t="shared" si="24"/>
        <v xml:space="preserve"> </v>
      </c>
      <c r="L326" s="2" t="str">
        <f t="shared" si="21"/>
        <v xml:space="preserve"> </v>
      </c>
      <c r="M326" s="2" t="str">
        <f t="shared" si="22"/>
        <v xml:space="preserve"> </v>
      </c>
    </row>
    <row r="327" spans="1:13" x14ac:dyDescent="0.25">
      <c r="A327" s="40" t="str">
        <f t="shared" si="20"/>
        <v xml:space="preserve"> </v>
      </c>
      <c r="D327" s="39"/>
      <c r="E327" s="39"/>
      <c r="J327" s="15">
        <f t="shared" si="23"/>
        <v>0</v>
      </c>
      <c r="K327" s="2" t="str">
        <f t="shared" si="24"/>
        <v xml:space="preserve"> </v>
      </c>
      <c r="L327" s="2" t="str">
        <f t="shared" si="21"/>
        <v xml:space="preserve"> </v>
      </c>
      <c r="M327" s="2" t="str">
        <f t="shared" si="22"/>
        <v xml:space="preserve"> </v>
      </c>
    </row>
    <row r="328" spans="1:13" x14ac:dyDescent="0.25">
      <c r="A328" s="40" t="str">
        <f t="shared" si="20"/>
        <v xml:space="preserve"> </v>
      </c>
      <c r="D328" s="39"/>
      <c r="E328" s="39"/>
      <c r="J328" s="15">
        <f t="shared" si="23"/>
        <v>0</v>
      </c>
      <c r="K328" s="2" t="str">
        <f t="shared" si="24"/>
        <v xml:space="preserve"> </v>
      </c>
      <c r="L328" s="2" t="str">
        <f t="shared" si="21"/>
        <v xml:space="preserve"> </v>
      </c>
      <c r="M328" s="2" t="str">
        <f t="shared" si="22"/>
        <v xml:space="preserve"> </v>
      </c>
    </row>
    <row r="329" spans="1:13" x14ac:dyDescent="0.25">
      <c r="A329" s="40" t="str">
        <f t="shared" si="20"/>
        <v xml:space="preserve"> </v>
      </c>
      <c r="D329" s="39"/>
      <c r="E329" s="39"/>
      <c r="J329" s="15">
        <f t="shared" si="23"/>
        <v>0</v>
      </c>
      <c r="K329" s="2" t="str">
        <f t="shared" si="24"/>
        <v xml:space="preserve"> </v>
      </c>
      <c r="L329" s="2" t="str">
        <f t="shared" si="21"/>
        <v xml:space="preserve"> </v>
      </c>
      <c r="M329" s="2" t="str">
        <f t="shared" si="22"/>
        <v xml:space="preserve"> </v>
      </c>
    </row>
    <row r="330" spans="1:13" x14ac:dyDescent="0.25">
      <c r="A330" s="40" t="str">
        <f t="shared" si="20"/>
        <v xml:space="preserve"> </v>
      </c>
      <c r="D330" s="39"/>
      <c r="E330" s="39"/>
      <c r="J330" s="15">
        <f t="shared" si="23"/>
        <v>0</v>
      </c>
      <c r="K330" s="2" t="str">
        <f t="shared" si="24"/>
        <v xml:space="preserve"> </v>
      </c>
      <c r="L330" s="2" t="str">
        <f t="shared" si="21"/>
        <v xml:space="preserve"> </v>
      </c>
      <c r="M330" s="2" t="str">
        <f t="shared" si="22"/>
        <v xml:space="preserve"> </v>
      </c>
    </row>
    <row r="331" spans="1:13" x14ac:dyDescent="0.25">
      <c r="A331" s="40" t="str">
        <f t="shared" si="20"/>
        <v xml:space="preserve"> </v>
      </c>
      <c r="D331" s="39"/>
      <c r="E331" s="39"/>
      <c r="J331" s="15">
        <f t="shared" si="23"/>
        <v>0</v>
      </c>
      <c r="K331" s="2" t="str">
        <f t="shared" si="24"/>
        <v xml:space="preserve"> </v>
      </c>
      <c r="L331" s="2" t="str">
        <f t="shared" si="21"/>
        <v xml:space="preserve"> </v>
      </c>
      <c r="M331" s="2" t="str">
        <f t="shared" si="22"/>
        <v xml:space="preserve"> </v>
      </c>
    </row>
    <row r="332" spans="1:13" x14ac:dyDescent="0.25">
      <c r="A332" s="40" t="str">
        <f t="shared" si="20"/>
        <v xml:space="preserve"> </v>
      </c>
      <c r="D332" s="39"/>
      <c r="E332" s="39"/>
      <c r="J332" s="15">
        <f t="shared" si="23"/>
        <v>0</v>
      </c>
      <c r="K332" s="2" t="str">
        <f t="shared" si="24"/>
        <v xml:space="preserve"> </v>
      </c>
      <c r="L332" s="2" t="str">
        <f t="shared" si="21"/>
        <v xml:space="preserve"> </v>
      </c>
      <c r="M332" s="2" t="str">
        <f t="shared" si="22"/>
        <v xml:space="preserve"> </v>
      </c>
    </row>
    <row r="333" spans="1:13" x14ac:dyDescent="0.25">
      <c r="A333" s="40" t="str">
        <f t="shared" si="20"/>
        <v xml:space="preserve"> </v>
      </c>
      <c r="D333" s="39"/>
      <c r="E333" s="39"/>
      <c r="J333" s="15">
        <f t="shared" si="23"/>
        <v>0</v>
      </c>
      <c r="K333" s="2" t="str">
        <f t="shared" si="24"/>
        <v xml:space="preserve"> </v>
      </c>
      <c r="L333" s="2" t="str">
        <f t="shared" si="21"/>
        <v xml:space="preserve"> </v>
      </c>
      <c r="M333" s="2" t="str">
        <f t="shared" si="22"/>
        <v xml:space="preserve"> </v>
      </c>
    </row>
    <row r="334" spans="1:13" x14ac:dyDescent="0.25">
      <c r="A334" s="40" t="str">
        <f t="shared" si="20"/>
        <v xml:space="preserve"> </v>
      </c>
      <c r="D334" s="39"/>
      <c r="E334" s="39"/>
      <c r="J334" s="15">
        <f t="shared" si="23"/>
        <v>0</v>
      </c>
      <c r="K334" s="2" t="str">
        <f t="shared" si="24"/>
        <v xml:space="preserve"> </v>
      </c>
      <c r="L334" s="2" t="str">
        <f t="shared" si="21"/>
        <v xml:space="preserve"> </v>
      </c>
      <c r="M334" s="2" t="str">
        <f t="shared" si="22"/>
        <v xml:space="preserve"> </v>
      </c>
    </row>
    <row r="335" spans="1:13" x14ac:dyDescent="0.25">
      <c r="A335" s="40" t="str">
        <f t="shared" ref="A335:A398" si="25">IF(COUNTIF(K335:M335,"ERROR")&gt;0,"ERROR"," ")</f>
        <v xml:space="preserve"> </v>
      </c>
      <c r="D335" s="39"/>
      <c r="E335" s="39"/>
      <c r="J335" s="15">
        <f t="shared" si="23"/>
        <v>0</v>
      </c>
      <c r="K335" s="2" t="str">
        <f t="shared" si="24"/>
        <v xml:space="preserve"> </v>
      </c>
      <c r="L335" s="2" t="str">
        <f t="shared" ref="L335:L398" si="26">IF(D335=0," ",IF(COUNTIF(ProfitLoss2,D335)&gt;0," ","ERROR"))</f>
        <v xml:space="preserve"> </v>
      </c>
      <c r="M335" s="2" t="str">
        <f t="shared" ref="M335:M398" si="27">IF(E335=0," ",IF(COUNTIF(BalanceSheetA,E335)&gt;0," ","ERROR"))</f>
        <v xml:space="preserve"> </v>
      </c>
    </row>
    <row r="336" spans="1:13" x14ac:dyDescent="0.25">
      <c r="A336" s="40" t="str">
        <f t="shared" si="25"/>
        <v xml:space="preserve"> </v>
      </c>
      <c r="D336" s="39"/>
      <c r="E336" s="39"/>
      <c r="J336" s="15">
        <f t="shared" ref="J336:J399" si="28">F336-G336+H336-I336</f>
        <v>0</v>
      </c>
      <c r="K336" s="2" t="str">
        <f t="shared" ref="K336:K399" si="29">IF(COUNTA(D336:E336)=2,"ERROR"," ")</f>
        <v xml:space="preserve"> </v>
      </c>
      <c r="L336" s="2" t="str">
        <f t="shared" si="26"/>
        <v xml:space="preserve"> </v>
      </c>
      <c r="M336" s="2" t="str">
        <f t="shared" si="27"/>
        <v xml:space="preserve"> </v>
      </c>
    </row>
    <row r="337" spans="1:13" x14ac:dyDescent="0.25">
      <c r="A337" s="40" t="str">
        <f t="shared" si="25"/>
        <v xml:space="preserve"> </v>
      </c>
      <c r="D337" s="39"/>
      <c r="E337" s="39"/>
      <c r="J337" s="15">
        <f t="shared" si="28"/>
        <v>0</v>
      </c>
      <c r="K337" s="2" t="str">
        <f t="shared" si="29"/>
        <v xml:space="preserve"> </v>
      </c>
      <c r="L337" s="2" t="str">
        <f t="shared" si="26"/>
        <v xml:space="preserve"> </v>
      </c>
      <c r="M337" s="2" t="str">
        <f t="shared" si="27"/>
        <v xml:space="preserve"> </v>
      </c>
    </row>
    <row r="338" spans="1:13" x14ac:dyDescent="0.25">
      <c r="A338" s="40" t="str">
        <f t="shared" si="25"/>
        <v xml:space="preserve"> </v>
      </c>
      <c r="D338" s="39"/>
      <c r="E338" s="39"/>
      <c r="J338" s="15">
        <f t="shared" si="28"/>
        <v>0</v>
      </c>
      <c r="K338" s="2" t="str">
        <f t="shared" si="29"/>
        <v xml:space="preserve"> </v>
      </c>
      <c r="L338" s="2" t="str">
        <f t="shared" si="26"/>
        <v xml:space="preserve"> </v>
      </c>
      <c r="M338" s="2" t="str">
        <f t="shared" si="27"/>
        <v xml:space="preserve"> </v>
      </c>
    </row>
    <row r="339" spans="1:13" x14ac:dyDescent="0.25">
      <c r="A339" s="40" t="str">
        <f t="shared" si="25"/>
        <v xml:space="preserve"> </v>
      </c>
      <c r="D339" s="39"/>
      <c r="E339" s="39"/>
      <c r="J339" s="15">
        <f t="shared" si="28"/>
        <v>0</v>
      </c>
      <c r="K339" s="2" t="str">
        <f t="shared" si="29"/>
        <v xml:space="preserve"> </v>
      </c>
      <c r="L339" s="2" t="str">
        <f t="shared" si="26"/>
        <v xml:space="preserve"> </v>
      </c>
      <c r="M339" s="2" t="str">
        <f t="shared" si="27"/>
        <v xml:space="preserve"> </v>
      </c>
    </row>
    <row r="340" spans="1:13" x14ac:dyDescent="0.25">
      <c r="A340" s="40" t="str">
        <f t="shared" si="25"/>
        <v xml:space="preserve"> </v>
      </c>
      <c r="D340" s="39"/>
      <c r="E340" s="39"/>
      <c r="J340" s="15">
        <f t="shared" si="28"/>
        <v>0</v>
      </c>
      <c r="K340" s="2" t="str">
        <f t="shared" si="29"/>
        <v xml:space="preserve"> </v>
      </c>
      <c r="L340" s="2" t="str">
        <f t="shared" si="26"/>
        <v xml:space="preserve"> </v>
      </c>
      <c r="M340" s="2" t="str">
        <f t="shared" si="27"/>
        <v xml:space="preserve"> </v>
      </c>
    </row>
    <row r="341" spans="1:13" x14ac:dyDescent="0.25">
      <c r="A341" s="40" t="str">
        <f t="shared" si="25"/>
        <v xml:space="preserve"> </v>
      </c>
      <c r="D341" s="39"/>
      <c r="E341" s="39"/>
      <c r="J341" s="15">
        <f t="shared" si="28"/>
        <v>0</v>
      </c>
      <c r="K341" s="2" t="str">
        <f t="shared" si="29"/>
        <v xml:space="preserve"> </v>
      </c>
      <c r="L341" s="2" t="str">
        <f t="shared" si="26"/>
        <v xml:space="preserve"> </v>
      </c>
      <c r="M341" s="2" t="str">
        <f t="shared" si="27"/>
        <v xml:space="preserve"> </v>
      </c>
    </row>
    <row r="342" spans="1:13" x14ac:dyDescent="0.25">
      <c r="A342" s="40" t="str">
        <f t="shared" si="25"/>
        <v xml:space="preserve"> </v>
      </c>
      <c r="D342" s="39"/>
      <c r="E342" s="39"/>
      <c r="J342" s="15">
        <f t="shared" si="28"/>
        <v>0</v>
      </c>
      <c r="K342" s="2" t="str">
        <f t="shared" si="29"/>
        <v xml:space="preserve"> </v>
      </c>
      <c r="L342" s="2" t="str">
        <f t="shared" si="26"/>
        <v xml:space="preserve"> </v>
      </c>
      <c r="M342" s="2" t="str">
        <f t="shared" si="27"/>
        <v xml:space="preserve"> </v>
      </c>
    </row>
    <row r="343" spans="1:13" x14ac:dyDescent="0.25">
      <c r="A343" s="40" t="str">
        <f t="shared" si="25"/>
        <v xml:space="preserve"> </v>
      </c>
      <c r="D343" s="39"/>
      <c r="E343" s="39"/>
      <c r="J343" s="15">
        <f t="shared" si="28"/>
        <v>0</v>
      </c>
      <c r="K343" s="2" t="str">
        <f t="shared" si="29"/>
        <v xml:space="preserve"> </v>
      </c>
      <c r="L343" s="2" t="str">
        <f t="shared" si="26"/>
        <v xml:space="preserve"> </v>
      </c>
      <c r="M343" s="2" t="str">
        <f t="shared" si="27"/>
        <v xml:space="preserve"> </v>
      </c>
    </row>
    <row r="344" spans="1:13" x14ac:dyDescent="0.25">
      <c r="A344" s="40" t="str">
        <f t="shared" si="25"/>
        <v xml:space="preserve"> </v>
      </c>
      <c r="D344" s="39"/>
      <c r="E344" s="39"/>
      <c r="J344" s="15">
        <f t="shared" si="28"/>
        <v>0</v>
      </c>
      <c r="K344" s="2" t="str">
        <f t="shared" si="29"/>
        <v xml:space="preserve"> </v>
      </c>
      <c r="L344" s="2" t="str">
        <f t="shared" si="26"/>
        <v xml:space="preserve"> </v>
      </c>
      <c r="M344" s="2" t="str">
        <f t="shared" si="27"/>
        <v xml:space="preserve"> </v>
      </c>
    </row>
    <row r="345" spans="1:13" x14ac:dyDescent="0.25">
      <c r="A345" s="40" t="str">
        <f t="shared" si="25"/>
        <v xml:space="preserve"> </v>
      </c>
      <c r="D345" s="39"/>
      <c r="E345" s="39"/>
      <c r="J345" s="15">
        <f t="shared" si="28"/>
        <v>0</v>
      </c>
      <c r="K345" s="2" t="str">
        <f t="shared" si="29"/>
        <v xml:space="preserve"> </v>
      </c>
      <c r="L345" s="2" t="str">
        <f t="shared" si="26"/>
        <v xml:space="preserve"> </v>
      </c>
      <c r="M345" s="2" t="str">
        <f t="shared" si="27"/>
        <v xml:space="preserve"> </v>
      </c>
    </row>
    <row r="346" spans="1:13" x14ac:dyDescent="0.25">
      <c r="A346" s="40" t="str">
        <f t="shared" si="25"/>
        <v xml:space="preserve"> </v>
      </c>
      <c r="D346" s="39"/>
      <c r="E346" s="39"/>
      <c r="J346" s="15">
        <f t="shared" si="28"/>
        <v>0</v>
      </c>
      <c r="K346" s="2" t="str">
        <f t="shared" si="29"/>
        <v xml:space="preserve"> </v>
      </c>
      <c r="L346" s="2" t="str">
        <f t="shared" si="26"/>
        <v xml:space="preserve"> </v>
      </c>
      <c r="M346" s="2" t="str">
        <f t="shared" si="27"/>
        <v xml:space="preserve"> </v>
      </c>
    </row>
    <row r="347" spans="1:13" x14ac:dyDescent="0.25">
      <c r="A347" s="40" t="str">
        <f t="shared" si="25"/>
        <v xml:space="preserve"> </v>
      </c>
      <c r="D347" s="39"/>
      <c r="E347" s="39"/>
      <c r="J347" s="15">
        <f t="shared" si="28"/>
        <v>0</v>
      </c>
      <c r="K347" s="2" t="str">
        <f t="shared" si="29"/>
        <v xml:space="preserve"> </v>
      </c>
      <c r="L347" s="2" t="str">
        <f t="shared" si="26"/>
        <v xml:space="preserve"> </v>
      </c>
      <c r="M347" s="2" t="str">
        <f t="shared" si="27"/>
        <v xml:space="preserve"> </v>
      </c>
    </row>
    <row r="348" spans="1:13" x14ac:dyDescent="0.25">
      <c r="A348" s="40" t="str">
        <f t="shared" si="25"/>
        <v xml:space="preserve"> </v>
      </c>
      <c r="D348" s="39"/>
      <c r="E348" s="39"/>
      <c r="J348" s="15">
        <f t="shared" si="28"/>
        <v>0</v>
      </c>
      <c r="K348" s="2" t="str">
        <f t="shared" si="29"/>
        <v xml:space="preserve"> </v>
      </c>
      <c r="L348" s="2" t="str">
        <f t="shared" si="26"/>
        <v xml:space="preserve"> </v>
      </c>
      <c r="M348" s="2" t="str">
        <f t="shared" si="27"/>
        <v xml:space="preserve"> </v>
      </c>
    </row>
    <row r="349" spans="1:13" x14ac:dyDescent="0.25">
      <c r="A349" s="40" t="str">
        <f t="shared" si="25"/>
        <v xml:space="preserve"> </v>
      </c>
      <c r="D349" s="39"/>
      <c r="E349" s="39"/>
      <c r="J349" s="15">
        <f t="shared" si="28"/>
        <v>0</v>
      </c>
      <c r="K349" s="2" t="str">
        <f t="shared" si="29"/>
        <v xml:space="preserve"> </v>
      </c>
      <c r="L349" s="2" t="str">
        <f t="shared" si="26"/>
        <v xml:space="preserve"> </v>
      </c>
      <c r="M349" s="2" t="str">
        <f t="shared" si="27"/>
        <v xml:space="preserve"> </v>
      </c>
    </row>
    <row r="350" spans="1:13" x14ac:dyDescent="0.25">
      <c r="A350" s="40" t="str">
        <f t="shared" si="25"/>
        <v xml:space="preserve"> </v>
      </c>
      <c r="D350" s="39"/>
      <c r="E350" s="39"/>
      <c r="J350" s="15">
        <f t="shared" si="28"/>
        <v>0</v>
      </c>
      <c r="K350" s="2" t="str">
        <f t="shared" si="29"/>
        <v xml:space="preserve"> </v>
      </c>
      <c r="L350" s="2" t="str">
        <f t="shared" si="26"/>
        <v xml:space="preserve"> </v>
      </c>
      <c r="M350" s="2" t="str">
        <f t="shared" si="27"/>
        <v xml:space="preserve"> </v>
      </c>
    </row>
    <row r="351" spans="1:13" x14ac:dyDescent="0.25">
      <c r="A351" s="40" t="str">
        <f t="shared" si="25"/>
        <v xml:space="preserve"> </v>
      </c>
      <c r="D351" s="39"/>
      <c r="E351" s="39"/>
      <c r="J351" s="15">
        <f t="shared" si="28"/>
        <v>0</v>
      </c>
      <c r="K351" s="2" t="str">
        <f t="shared" si="29"/>
        <v xml:space="preserve"> </v>
      </c>
      <c r="L351" s="2" t="str">
        <f t="shared" si="26"/>
        <v xml:space="preserve"> </v>
      </c>
      <c r="M351" s="2" t="str">
        <f t="shared" si="27"/>
        <v xml:space="preserve"> </v>
      </c>
    </row>
    <row r="352" spans="1:13" x14ac:dyDescent="0.25">
      <c r="A352" s="40" t="str">
        <f t="shared" si="25"/>
        <v xml:space="preserve"> </v>
      </c>
      <c r="D352" s="39"/>
      <c r="E352" s="39"/>
      <c r="J352" s="15">
        <f t="shared" si="28"/>
        <v>0</v>
      </c>
      <c r="K352" s="2" t="str">
        <f t="shared" si="29"/>
        <v xml:space="preserve"> </v>
      </c>
      <c r="L352" s="2" t="str">
        <f t="shared" si="26"/>
        <v xml:space="preserve"> </v>
      </c>
      <c r="M352" s="2" t="str">
        <f t="shared" si="27"/>
        <v xml:space="preserve"> </v>
      </c>
    </row>
    <row r="353" spans="1:13" x14ac:dyDescent="0.25">
      <c r="A353" s="40" t="str">
        <f t="shared" si="25"/>
        <v xml:space="preserve"> </v>
      </c>
      <c r="D353" s="39"/>
      <c r="E353" s="39"/>
      <c r="J353" s="15">
        <f t="shared" si="28"/>
        <v>0</v>
      </c>
      <c r="K353" s="2" t="str">
        <f t="shared" si="29"/>
        <v xml:space="preserve"> </v>
      </c>
      <c r="L353" s="2" t="str">
        <f t="shared" si="26"/>
        <v xml:space="preserve"> </v>
      </c>
      <c r="M353" s="2" t="str">
        <f t="shared" si="27"/>
        <v xml:space="preserve"> </v>
      </c>
    </row>
    <row r="354" spans="1:13" x14ac:dyDescent="0.25">
      <c r="A354" s="40" t="str">
        <f t="shared" si="25"/>
        <v xml:space="preserve"> </v>
      </c>
      <c r="D354" s="39"/>
      <c r="E354" s="39"/>
      <c r="J354" s="15">
        <f t="shared" si="28"/>
        <v>0</v>
      </c>
      <c r="K354" s="2" t="str">
        <f t="shared" si="29"/>
        <v xml:space="preserve"> </v>
      </c>
      <c r="L354" s="2" t="str">
        <f t="shared" si="26"/>
        <v xml:space="preserve"> </v>
      </c>
      <c r="M354" s="2" t="str">
        <f t="shared" si="27"/>
        <v xml:space="preserve"> </v>
      </c>
    </row>
    <row r="355" spans="1:13" x14ac:dyDescent="0.25">
      <c r="A355" s="40" t="str">
        <f t="shared" si="25"/>
        <v xml:space="preserve"> </v>
      </c>
      <c r="D355" s="39"/>
      <c r="E355" s="39"/>
      <c r="J355" s="15">
        <f t="shared" si="28"/>
        <v>0</v>
      </c>
      <c r="K355" s="2" t="str">
        <f t="shared" si="29"/>
        <v xml:space="preserve"> </v>
      </c>
      <c r="L355" s="2" t="str">
        <f t="shared" si="26"/>
        <v xml:space="preserve"> </v>
      </c>
      <c r="M355" s="2" t="str">
        <f t="shared" si="27"/>
        <v xml:space="preserve"> </v>
      </c>
    </row>
    <row r="356" spans="1:13" x14ac:dyDescent="0.25">
      <c r="A356" s="40" t="str">
        <f t="shared" si="25"/>
        <v xml:space="preserve"> </v>
      </c>
      <c r="D356" s="39"/>
      <c r="E356" s="39"/>
      <c r="J356" s="15">
        <f t="shared" si="28"/>
        <v>0</v>
      </c>
      <c r="K356" s="2" t="str">
        <f t="shared" si="29"/>
        <v xml:space="preserve"> </v>
      </c>
      <c r="L356" s="2" t="str">
        <f t="shared" si="26"/>
        <v xml:space="preserve"> </v>
      </c>
      <c r="M356" s="2" t="str">
        <f t="shared" si="27"/>
        <v xml:space="preserve"> </v>
      </c>
    </row>
    <row r="357" spans="1:13" x14ac:dyDescent="0.25">
      <c r="A357" s="40" t="str">
        <f t="shared" si="25"/>
        <v xml:space="preserve"> </v>
      </c>
      <c r="D357" s="39"/>
      <c r="E357" s="39"/>
      <c r="J357" s="15">
        <f t="shared" si="28"/>
        <v>0</v>
      </c>
      <c r="K357" s="2" t="str">
        <f t="shared" si="29"/>
        <v xml:space="preserve"> </v>
      </c>
      <c r="L357" s="2" t="str">
        <f t="shared" si="26"/>
        <v xml:space="preserve"> </v>
      </c>
      <c r="M357" s="2" t="str">
        <f t="shared" si="27"/>
        <v xml:space="preserve"> </v>
      </c>
    </row>
    <row r="358" spans="1:13" x14ac:dyDescent="0.25">
      <c r="A358" s="40" t="str">
        <f t="shared" si="25"/>
        <v xml:space="preserve"> </v>
      </c>
      <c r="D358" s="39"/>
      <c r="E358" s="39"/>
      <c r="J358" s="15">
        <f t="shared" si="28"/>
        <v>0</v>
      </c>
      <c r="K358" s="2" t="str">
        <f t="shared" si="29"/>
        <v xml:space="preserve"> </v>
      </c>
      <c r="L358" s="2" t="str">
        <f t="shared" si="26"/>
        <v xml:space="preserve"> </v>
      </c>
      <c r="M358" s="2" t="str">
        <f t="shared" si="27"/>
        <v xml:space="preserve"> </v>
      </c>
    </row>
    <row r="359" spans="1:13" x14ac:dyDescent="0.25">
      <c r="A359" s="40" t="str">
        <f t="shared" si="25"/>
        <v xml:space="preserve"> </v>
      </c>
      <c r="D359" s="39"/>
      <c r="E359" s="39"/>
      <c r="J359" s="15">
        <f t="shared" si="28"/>
        <v>0</v>
      </c>
      <c r="K359" s="2" t="str">
        <f t="shared" si="29"/>
        <v xml:space="preserve"> </v>
      </c>
      <c r="L359" s="2" t="str">
        <f t="shared" si="26"/>
        <v xml:space="preserve"> </v>
      </c>
      <c r="M359" s="2" t="str">
        <f t="shared" si="27"/>
        <v xml:space="preserve"> </v>
      </c>
    </row>
    <row r="360" spans="1:13" x14ac:dyDescent="0.25">
      <c r="A360" s="40" t="str">
        <f t="shared" si="25"/>
        <v xml:space="preserve"> </v>
      </c>
      <c r="D360" s="39"/>
      <c r="E360" s="39"/>
      <c r="J360" s="15">
        <f t="shared" si="28"/>
        <v>0</v>
      </c>
      <c r="K360" s="2" t="str">
        <f t="shared" si="29"/>
        <v xml:space="preserve"> </v>
      </c>
      <c r="L360" s="2" t="str">
        <f t="shared" si="26"/>
        <v xml:space="preserve"> </v>
      </c>
      <c r="M360" s="2" t="str">
        <f t="shared" si="27"/>
        <v xml:space="preserve"> </v>
      </c>
    </row>
    <row r="361" spans="1:13" x14ac:dyDescent="0.25">
      <c r="A361" s="40" t="str">
        <f t="shared" si="25"/>
        <v xml:space="preserve"> </v>
      </c>
      <c r="D361" s="39"/>
      <c r="E361" s="39"/>
      <c r="J361" s="15">
        <f t="shared" si="28"/>
        <v>0</v>
      </c>
      <c r="K361" s="2" t="str">
        <f t="shared" si="29"/>
        <v xml:space="preserve"> </v>
      </c>
      <c r="L361" s="2" t="str">
        <f t="shared" si="26"/>
        <v xml:space="preserve"> </v>
      </c>
      <c r="M361" s="2" t="str">
        <f t="shared" si="27"/>
        <v xml:space="preserve"> </v>
      </c>
    </row>
    <row r="362" spans="1:13" x14ac:dyDescent="0.25">
      <c r="A362" s="40" t="str">
        <f t="shared" si="25"/>
        <v xml:space="preserve"> </v>
      </c>
      <c r="D362" s="39"/>
      <c r="E362" s="39"/>
      <c r="J362" s="15">
        <f t="shared" si="28"/>
        <v>0</v>
      </c>
      <c r="K362" s="2" t="str">
        <f t="shared" si="29"/>
        <v xml:space="preserve"> </v>
      </c>
      <c r="L362" s="2" t="str">
        <f t="shared" si="26"/>
        <v xml:space="preserve"> </v>
      </c>
      <c r="M362" s="2" t="str">
        <f t="shared" si="27"/>
        <v xml:space="preserve"> </v>
      </c>
    </row>
    <row r="363" spans="1:13" x14ac:dyDescent="0.25">
      <c r="A363" s="40" t="str">
        <f t="shared" si="25"/>
        <v xml:space="preserve"> </v>
      </c>
      <c r="D363" s="39"/>
      <c r="E363" s="39"/>
      <c r="J363" s="15">
        <f t="shared" si="28"/>
        <v>0</v>
      </c>
      <c r="K363" s="2" t="str">
        <f t="shared" si="29"/>
        <v xml:space="preserve"> </v>
      </c>
      <c r="L363" s="2" t="str">
        <f t="shared" si="26"/>
        <v xml:space="preserve"> </v>
      </c>
      <c r="M363" s="2" t="str">
        <f t="shared" si="27"/>
        <v xml:space="preserve"> </v>
      </c>
    </row>
    <row r="364" spans="1:13" x14ac:dyDescent="0.25">
      <c r="A364" s="40" t="str">
        <f t="shared" si="25"/>
        <v xml:space="preserve"> </v>
      </c>
      <c r="D364" s="39"/>
      <c r="E364" s="39"/>
      <c r="J364" s="15">
        <f t="shared" si="28"/>
        <v>0</v>
      </c>
      <c r="K364" s="2" t="str">
        <f t="shared" si="29"/>
        <v xml:space="preserve"> </v>
      </c>
      <c r="L364" s="2" t="str">
        <f t="shared" si="26"/>
        <v xml:space="preserve"> </v>
      </c>
      <c r="M364" s="2" t="str">
        <f t="shared" si="27"/>
        <v xml:space="preserve"> </v>
      </c>
    </row>
    <row r="365" spans="1:13" x14ac:dyDescent="0.25">
      <c r="A365" s="40" t="str">
        <f t="shared" si="25"/>
        <v xml:space="preserve"> </v>
      </c>
      <c r="D365" s="39"/>
      <c r="E365" s="39"/>
      <c r="J365" s="15">
        <f t="shared" si="28"/>
        <v>0</v>
      </c>
      <c r="K365" s="2" t="str">
        <f t="shared" si="29"/>
        <v xml:space="preserve"> </v>
      </c>
      <c r="L365" s="2" t="str">
        <f t="shared" si="26"/>
        <v xml:space="preserve"> </v>
      </c>
      <c r="M365" s="2" t="str">
        <f t="shared" si="27"/>
        <v xml:space="preserve"> </v>
      </c>
    </row>
    <row r="366" spans="1:13" x14ac:dyDescent="0.25">
      <c r="A366" s="40" t="str">
        <f t="shared" si="25"/>
        <v xml:space="preserve"> </v>
      </c>
      <c r="D366" s="39"/>
      <c r="E366" s="39"/>
      <c r="J366" s="15">
        <f t="shared" si="28"/>
        <v>0</v>
      </c>
      <c r="K366" s="2" t="str">
        <f t="shared" si="29"/>
        <v xml:space="preserve"> </v>
      </c>
      <c r="L366" s="2" t="str">
        <f t="shared" si="26"/>
        <v xml:space="preserve"> </v>
      </c>
      <c r="M366" s="2" t="str">
        <f t="shared" si="27"/>
        <v xml:space="preserve"> </v>
      </c>
    </row>
    <row r="367" spans="1:13" x14ac:dyDescent="0.25">
      <c r="A367" s="40" t="str">
        <f t="shared" si="25"/>
        <v xml:space="preserve"> </v>
      </c>
      <c r="D367" s="39"/>
      <c r="E367" s="39"/>
      <c r="J367" s="15">
        <f t="shared" si="28"/>
        <v>0</v>
      </c>
      <c r="K367" s="2" t="str">
        <f t="shared" si="29"/>
        <v xml:space="preserve"> </v>
      </c>
      <c r="L367" s="2" t="str">
        <f t="shared" si="26"/>
        <v xml:space="preserve"> </v>
      </c>
      <c r="M367" s="2" t="str">
        <f t="shared" si="27"/>
        <v xml:space="preserve"> </v>
      </c>
    </row>
    <row r="368" spans="1:13" x14ac:dyDescent="0.25">
      <c r="A368" s="40" t="str">
        <f t="shared" si="25"/>
        <v xml:space="preserve"> </v>
      </c>
      <c r="D368" s="39"/>
      <c r="E368" s="39"/>
      <c r="J368" s="15">
        <f t="shared" si="28"/>
        <v>0</v>
      </c>
      <c r="K368" s="2" t="str">
        <f t="shared" si="29"/>
        <v xml:space="preserve"> </v>
      </c>
      <c r="L368" s="2" t="str">
        <f t="shared" si="26"/>
        <v xml:space="preserve"> </v>
      </c>
      <c r="M368" s="2" t="str">
        <f t="shared" si="27"/>
        <v xml:space="preserve"> </v>
      </c>
    </row>
    <row r="369" spans="1:13" x14ac:dyDescent="0.25">
      <c r="A369" s="40" t="str">
        <f t="shared" si="25"/>
        <v xml:space="preserve"> </v>
      </c>
      <c r="D369" s="39"/>
      <c r="E369" s="39"/>
      <c r="J369" s="15">
        <f t="shared" si="28"/>
        <v>0</v>
      </c>
      <c r="K369" s="2" t="str">
        <f t="shared" si="29"/>
        <v xml:space="preserve"> </v>
      </c>
      <c r="L369" s="2" t="str">
        <f t="shared" si="26"/>
        <v xml:space="preserve"> </v>
      </c>
      <c r="M369" s="2" t="str">
        <f t="shared" si="27"/>
        <v xml:space="preserve"> </v>
      </c>
    </row>
    <row r="370" spans="1:13" x14ac:dyDescent="0.25">
      <c r="A370" s="40" t="str">
        <f t="shared" si="25"/>
        <v xml:space="preserve"> </v>
      </c>
      <c r="D370" s="39"/>
      <c r="E370" s="39"/>
      <c r="J370" s="15">
        <f t="shared" si="28"/>
        <v>0</v>
      </c>
      <c r="K370" s="2" t="str">
        <f t="shared" si="29"/>
        <v xml:space="preserve"> </v>
      </c>
      <c r="L370" s="2" t="str">
        <f t="shared" si="26"/>
        <v xml:space="preserve"> </v>
      </c>
      <c r="M370" s="2" t="str">
        <f t="shared" si="27"/>
        <v xml:space="preserve"> </v>
      </c>
    </row>
    <row r="371" spans="1:13" x14ac:dyDescent="0.25">
      <c r="A371" s="40" t="str">
        <f t="shared" si="25"/>
        <v xml:space="preserve"> </v>
      </c>
      <c r="D371" s="39"/>
      <c r="E371" s="39"/>
      <c r="J371" s="15">
        <f t="shared" si="28"/>
        <v>0</v>
      </c>
      <c r="K371" s="2" t="str">
        <f t="shared" si="29"/>
        <v xml:space="preserve"> </v>
      </c>
      <c r="L371" s="2" t="str">
        <f t="shared" si="26"/>
        <v xml:space="preserve"> </v>
      </c>
      <c r="M371" s="2" t="str">
        <f t="shared" si="27"/>
        <v xml:space="preserve"> </v>
      </c>
    </row>
    <row r="372" spans="1:13" x14ac:dyDescent="0.25">
      <c r="A372" s="40" t="str">
        <f t="shared" si="25"/>
        <v xml:space="preserve"> </v>
      </c>
      <c r="D372" s="39"/>
      <c r="E372" s="39"/>
      <c r="J372" s="15">
        <f t="shared" si="28"/>
        <v>0</v>
      </c>
      <c r="K372" s="2" t="str">
        <f t="shared" si="29"/>
        <v xml:space="preserve"> </v>
      </c>
      <c r="L372" s="2" t="str">
        <f t="shared" si="26"/>
        <v xml:space="preserve"> </v>
      </c>
      <c r="M372" s="2" t="str">
        <f t="shared" si="27"/>
        <v xml:space="preserve"> </v>
      </c>
    </row>
    <row r="373" spans="1:13" x14ac:dyDescent="0.25">
      <c r="A373" s="40" t="str">
        <f t="shared" si="25"/>
        <v xml:space="preserve"> </v>
      </c>
      <c r="D373" s="39"/>
      <c r="E373" s="39"/>
      <c r="J373" s="15">
        <f t="shared" si="28"/>
        <v>0</v>
      </c>
      <c r="K373" s="2" t="str">
        <f t="shared" si="29"/>
        <v xml:space="preserve"> </v>
      </c>
      <c r="L373" s="2" t="str">
        <f t="shared" si="26"/>
        <v xml:space="preserve"> </v>
      </c>
      <c r="M373" s="2" t="str">
        <f t="shared" si="27"/>
        <v xml:space="preserve"> </v>
      </c>
    </row>
    <row r="374" spans="1:13" x14ac:dyDescent="0.25">
      <c r="A374" s="40" t="str">
        <f t="shared" si="25"/>
        <v xml:space="preserve"> </v>
      </c>
      <c r="D374" s="39"/>
      <c r="E374" s="39"/>
      <c r="J374" s="15">
        <f t="shared" si="28"/>
        <v>0</v>
      </c>
      <c r="K374" s="2" t="str">
        <f t="shared" si="29"/>
        <v xml:space="preserve"> </v>
      </c>
      <c r="L374" s="2" t="str">
        <f t="shared" si="26"/>
        <v xml:space="preserve"> </v>
      </c>
      <c r="M374" s="2" t="str">
        <f t="shared" si="27"/>
        <v xml:space="preserve"> </v>
      </c>
    </row>
    <row r="375" spans="1:13" x14ac:dyDescent="0.25">
      <c r="A375" s="40" t="str">
        <f t="shared" si="25"/>
        <v xml:space="preserve"> </v>
      </c>
      <c r="D375" s="39"/>
      <c r="E375" s="39"/>
      <c r="J375" s="15">
        <f t="shared" si="28"/>
        <v>0</v>
      </c>
      <c r="K375" s="2" t="str">
        <f t="shared" si="29"/>
        <v xml:space="preserve"> </v>
      </c>
      <c r="L375" s="2" t="str">
        <f t="shared" si="26"/>
        <v xml:space="preserve"> </v>
      </c>
      <c r="M375" s="2" t="str">
        <f t="shared" si="27"/>
        <v xml:space="preserve"> </v>
      </c>
    </row>
    <row r="376" spans="1:13" x14ac:dyDescent="0.25">
      <c r="A376" s="40" t="str">
        <f t="shared" si="25"/>
        <v xml:space="preserve"> </v>
      </c>
      <c r="D376" s="39"/>
      <c r="E376" s="39"/>
      <c r="J376" s="15">
        <f t="shared" si="28"/>
        <v>0</v>
      </c>
      <c r="K376" s="2" t="str">
        <f t="shared" si="29"/>
        <v xml:space="preserve"> </v>
      </c>
      <c r="L376" s="2" t="str">
        <f t="shared" si="26"/>
        <v xml:space="preserve"> </v>
      </c>
      <c r="M376" s="2" t="str">
        <f t="shared" si="27"/>
        <v xml:space="preserve"> </v>
      </c>
    </row>
    <row r="377" spans="1:13" x14ac:dyDescent="0.25">
      <c r="A377" s="40" t="str">
        <f t="shared" si="25"/>
        <v xml:space="preserve"> </v>
      </c>
      <c r="D377" s="39"/>
      <c r="E377" s="39"/>
      <c r="J377" s="15">
        <f t="shared" si="28"/>
        <v>0</v>
      </c>
      <c r="K377" s="2" t="str">
        <f t="shared" si="29"/>
        <v xml:space="preserve"> </v>
      </c>
      <c r="L377" s="2" t="str">
        <f t="shared" si="26"/>
        <v xml:space="preserve"> </v>
      </c>
      <c r="M377" s="2" t="str">
        <f t="shared" si="27"/>
        <v xml:space="preserve"> </v>
      </c>
    </row>
    <row r="378" spans="1:13" x14ac:dyDescent="0.25">
      <c r="A378" s="40" t="str">
        <f t="shared" si="25"/>
        <v xml:space="preserve"> </v>
      </c>
      <c r="D378" s="39"/>
      <c r="E378" s="39"/>
      <c r="J378" s="15">
        <f t="shared" si="28"/>
        <v>0</v>
      </c>
      <c r="K378" s="2" t="str">
        <f t="shared" si="29"/>
        <v xml:space="preserve"> </v>
      </c>
      <c r="L378" s="2" t="str">
        <f t="shared" si="26"/>
        <v xml:space="preserve"> </v>
      </c>
      <c r="M378" s="2" t="str">
        <f t="shared" si="27"/>
        <v xml:space="preserve"> </v>
      </c>
    </row>
    <row r="379" spans="1:13" x14ac:dyDescent="0.25">
      <c r="A379" s="40" t="str">
        <f t="shared" si="25"/>
        <v xml:space="preserve"> </v>
      </c>
      <c r="D379" s="39"/>
      <c r="E379" s="39"/>
      <c r="J379" s="15">
        <f t="shared" si="28"/>
        <v>0</v>
      </c>
      <c r="K379" s="2" t="str">
        <f t="shared" si="29"/>
        <v xml:space="preserve"> </v>
      </c>
      <c r="L379" s="2" t="str">
        <f t="shared" si="26"/>
        <v xml:space="preserve"> </v>
      </c>
      <c r="M379" s="2" t="str">
        <f t="shared" si="27"/>
        <v xml:space="preserve"> </v>
      </c>
    </row>
    <row r="380" spans="1:13" x14ac:dyDescent="0.25">
      <c r="A380" s="40" t="str">
        <f t="shared" si="25"/>
        <v xml:space="preserve"> </v>
      </c>
      <c r="D380" s="39"/>
      <c r="E380" s="39"/>
      <c r="J380" s="15">
        <f t="shared" si="28"/>
        <v>0</v>
      </c>
      <c r="K380" s="2" t="str">
        <f t="shared" si="29"/>
        <v xml:space="preserve"> </v>
      </c>
      <c r="L380" s="2" t="str">
        <f t="shared" si="26"/>
        <v xml:space="preserve"> </v>
      </c>
      <c r="M380" s="2" t="str">
        <f t="shared" si="27"/>
        <v xml:space="preserve"> </v>
      </c>
    </row>
    <row r="381" spans="1:13" x14ac:dyDescent="0.25">
      <c r="A381" s="40" t="str">
        <f t="shared" si="25"/>
        <v xml:space="preserve"> </v>
      </c>
      <c r="D381" s="39"/>
      <c r="E381" s="39"/>
      <c r="J381" s="15">
        <f t="shared" si="28"/>
        <v>0</v>
      </c>
      <c r="K381" s="2" t="str">
        <f t="shared" si="29"/>
        <v xml:space="preserve"> </v>
      </c>
      <c r="L381" s="2" t="str">
        <f t="shared" si="26"/>
        <v xml:space="preserve"> </v>
      </c>
      <c r="M381" s="2" t="str">
        <f t="shared" si="27"/>
        <v xml:space="preserve"> </v>
      </c>
    </row>
    <row r="382" spans="1:13" x14ac:dyDescent="0.25">
      <c r="A382" s="40" t="str">
        <f t="shared" si="25"/>
        <v xml:space="preserve"> </v>
      </c>
      <c r="D382" s="39"/>
      <c r="E382" s="39"/>
      <c r="J382" s="15">
        <f t="shared" si="28"/>
        <v>0</v>
      </c>
      <c r="K382" s="2" t="str">
        <f t="shared" si="29"/>
        <v xml:space="preserve"> </v>
      </c>
      <c r="L382" s="2" t="str">
        <f t="shared" si="26"/>
        <v xml:space="preserve"> </v>
      </c>
      <c r="M382" s="2" t="str">
        <f t="shared" si="27"/>
        <v xml:space="preserve"> </v>
      </c>
    </row>
    <row r="383" spans="1:13" x14ac:dyDescent="0.25">
      <c r="A383" s="40" t="str">
        <f t="shared" si="25"/>
        <v xml:space="preserve"> </v>
      </c>
      <c r="D383" s="39"/>
      <c r="E383" s="39"/>
      <c r="J383" s="15">
        <f t="shared" si="28"/>
        <v>0</v>
      </c>
      <c r="K383" s="2" t="str">
        <f t="shared" si="29"/>
        <v xml:space="preserve"> </v>
      </c>
      <c r="L383" s="2" t="str">
        <f t="shared" si="26"/>
        <v xml:space="preserve"> </v>
      </c>
      <c r="M383" s="2" t="str">
        <f t="shared" si="27"/>
        <v xml:space="preserve"> </v>
      </c>
    </row>
    <row r="384" spans="1:13" x14ac:dyDescent="0.25">
      <c r="A384" s="40" t="str">
        <f t="shared" si="25"/>
        <v xml:space="preserve"> </v>
      </c>
      <c r="D384" s="39"/>
      <c r="E384" s="39"/>
      <c r="J384" s="15">
        <f t="shared" si="28"/>
        <v>0</v>
      </c>
      <c r="K384" s="2" t="str">
        <f t="shared" si="29"/>
        <v xml:space="preserve"> </v>
      </c>
      <c r="L384" s="2" t="str">
        <f t="shared" si="26"/>
        <v xml:space="preserve"> </v>
      </c>
      <c r="M384" s="2" t="str">
        <f t="shared" si="27"/>
        <v xml:space="preserve"> </v>
      </c>
    </row>
    <row r="385" spans="1:13" x14ac:dyDescent="0.25">
      <c r="A385" s="40" t="str">
        <f t="shared" si="25"/>
        <v xml:space="preserve"> </v>
      </c>
      <c r="D385" s="39"/>
      <c r="E385" s="39"/>
      <c r="J385" s="15">
        <f t="shared" si="28"/>
        <v>0</v>
      </c>
      <c r="K385" s="2" t="str">
        <f t="shared" si="29"/>
        <v xml:space="preserve"> </v>
      </c>
      <c r="L385" s="2" t="str">
        <f t="shared" si="26"/>
        <v xml:space="preserve"> </v>
      </c>
      <c r="M385" s="2" t="str">
        <f t="shared" si="27"/>
        <v xml:space="preserve"> </v>
      </c>
    </row>
    <row r="386" spans="1:13" x14ac:dyDescent="0.25">
      <c r="A386" s="40" t="str">
        <f t="shared" si="25"/>
        <v xml:space="preserve"> </v>
      </c>
      <c r="D386" s="39"/>
      <c r="E386" s="39"/>
      <c r="J386" s="15">
        <f t="shared" si="28"/>
        <v>0</v>
      </c>
      <c r="K386" s="2" t="str">
        <f t="shared" si="29"/>
        <v xml:space="preserve"> </v>
      </c>
      <c r="L386" s="2" t="str">
        <f t="shared" si="26"/>
        <v xml:space="preserve"> </v>
      </c>
      <c r="M386" s="2" t="str">
        <f t="shared" si="27"/>
        <v xml:space="preserve"> </v>
      </c>
    </row>
    <row r="387" spans="1:13" x14ac:dyDescent="0.25">
      <c r="A387" s="40" t="str">
        <f t="shared" si="25"/>
        <v xml:space="preserve"> </v>
      </c>
      <c r="D387" s="39"/>
      <c r="E387" s="39"/>
      <c r="J387" s="15">
        <f t="shared" si="28"/>
        <v>0</v>
      </c>
      <c r="K387" s="2" t="str">
        <f t="shared" si="29"/>
        <v xml:space="preserve"> </v>
      </c>
      <c r="L387" s="2" t="str">
        <f t="shared" si="26"/>
        <v xml:space="preserve"> </v>
      </c>
      <c r="M387" s="2" t="str">
        <f t="shared" si="27"/>
        <v xml:space="preserve"> </v>
      </c>
    </row>
    <row r="388" spans="1:13" x14ac:dyDescent="0.25">
      <c r="A388" s="40" t="str">
        <f t="shared" si="25"/>
        <v xml:space="preserve"> </v>
      </c>
      <c r="D388" s="39"/>
      <c r="E388" s="39"/>
      <c r="J388" s="15">
        <f t="shared" si="28"/>
        <v>0</v>
      </c>
      <c r="K388" s="2" t="str">
        <f t="shared" si="29"/>
        <v xml:space="preserve"> </v>
      </c>
      <c r="L388" s="2" t="str">
        <f t="shared" si="26"/>
        <v xml:space="preserve"> </v>
      </c>
      <c r="M388" s="2" t="str">
        <f t="shared" si="27"/>
        <v xml:space="preserve"> </v>
      </c>
    </row>
    <row r="389" spans="1:13" x14ac:dyDescent="0.25">
      <c r="A389" s="40" t="str">
        <f t="shared" si="25"/>
        <v xml:space="preserve"> </v>
      </c>
      <c r="D389" s="39"/>
      <c r="E389" s="39"/>
      <c r="J389" s="15">
        <f t="shared" si="28"/>
        <v>0</v>
      </c>
      <c r="K389" s="2" t="str">
        <f t="shared" si="29"/>
        <v xml:space="preserve"> </v>
      </c>
      <c r="L389" s="2" t="str">
        <f t="shared" si="26"/>
        <v xml:space="preserve"> </v>
      </c>
      <c r="M389" s="2" t="str">
        <f t="shared" si="27"/>
        <v xml:space="preserve"> </v>
      </c>
    </row>
    <row r="390" spans="1:13" x14ac:dyDescent="0.25">
      <c r="A390" s="40" t="str">
        <f t="shared" si="25"/>
        <v xml:space="preserve"> </v>
      </c>
      <c r="D390" s="39"/>
      <c r="E390" s="39"/>
      <c r="J390" s="15">
        <f t="shared" si="28"/>
        <v>0</v>
      </c>
      <c r="K390" s="2" t="str">
        <f t="shared" si="29"/>
        <v xml:space="preserve"> </v>
      </c>
      <c r="L390" s="2" t="str">
        <f t="shared" si="26"/>
        <v xml:space="preserve"> </v>
      </c>
      <c r="M390" s="2" t="str">
        <f t="shared" si="27"/>
        <v xml:space="preserve"> </v>
      </c>
    </row>
    <row r="391" spans="1:13" x14ac:dyDescent="0.25">
      <c r="A391" s="40" t="str">
        <f t="shared" si="25"/>
        <v xml:space="preserve"> </v>
      </c>
      <c r="D391" s="39"/>
      <c r="E391" s="39"/>
      <c r="J391" s="15">
        <f t="shared" si="28"/>
        <v>0</v>
      </c>
      <c r="K391" s="2" t="str">
        <f t="shared" si="29"/>
        <v xml:space="preserve"> </v>
      </c>
      <c r="L391" s="2" t="str">
        <f t="shared" si="26"/>
        <v xml:space="preserve"> </v>
      </c>
      <c r="M391" s="2" t="str">
        <f t="shared" si="27"/>
        <v xml:space="preserve"> </v>
      </c>
    </row>
    <row r="392" spans="1:13" x14ac:dyDescent="0.25">
      <c r="A392" s="40" t="str">
        <f t="shared" si="25"/>
        <v xml:space="preserve"> </v>
      </c>
      <c r="D392" s="39"/>
      <c r="E392" s="39"/>
      <c r="J392" s="15">
        <f t="shared" si="28"/>
        <v>0</v>
      </c>
      <c r="K392" s="2" t="str">
        <f t="shared" si="29"/>
        <v xml:space="preserve"> </v>
      </c>
      <c r="L392" s="2" t="str">
        <f t="shared" si="26"/>
        <v xml:space="preserve"> </v>
      </c>
      <c r="M392" s="2" t="str">
        <f t="shared" si="27"/>
        <v xml:space="preserve"> </v>
      </c>
    </row>
    <row r="393" spans="1:13" x14ac:dyDescent="0.25">
      <c r="A393" s="40" t="str">
        <f t="shared" si="25"/>
        <v xml:space="preserve"> </v>
      </c>
      <c r="D393" s="39"/>
      <c r="E393" s="39"/>
      <c r="J393" s="15">
        <f t="shared" si="28"/>
        <v>0</v>
      </c>
      <c r="K393" s="2" t="str">
        <f t="shared" si="29"/>
        <v xml:space="preserve"> </v>
      </c>
      <c r="L393" s="2" t="str">
        <f t="shared" si="26"/>
        <v xml:space="preserve"> </v>
      </c>
      <c r="M393" s="2" t="str">
        <f t="shared" si="27"/>
        <v xml:space="preserve"> </v>
      </c>
    </row>
    <row r="394" spans="1:13" x14ac:dyDescent="0.25">
      <c r="A394" s="40" t="str">
        <f t="shared" si="25"/>
        <v xml:space="preserve"> </v>
      </c>
      <c r="D394" s="39"/>
      <c r="E394" s="39"/>
      <c r="J394" s="15">
        <f t="shared" si="28"/>
        <v>0</v>
      </c>
      <c r="K394" s="2" t="str">
        <f t="shared" si="29"/>
        <v xml:space="preserve"> </v>
      </c>
      <c r="L394" s="2" t="str">
        <f t="shared" si="26"/>
        <v xml:space="preserve"> </v>
      </c>
      <c r="M394" s="2" t="str">
        <f t="shared" si="27"/>
        <v xml:space="preserve"> </v>
      </c>
    </row>
    <row r="395" spans="1:13" x14ac:dyDescent="0.25">
      <c r="A395" s="40" t="str">
        <f t="shared" si="25"/>
        <v xml:space="preserve"> </v>
      </c>
      <c r="D395" s="39"/>
      <c r="E395" s="39"/>
      <c r="J395" s="15">
        <f t="shared" si="28"/>
        <v>0</v>
      </c>
      <c r="K395" s="2" t="str">
        <f t="shared" si="29"/>
        <v xml:space="preserve"> </v>
      </c>
      <c r="L395" s="2" t="str">
        <f t="shared" si="26"/>
        <v xml:space="preserve"> </v>
      </c>
      <c r="M395" s="2" t="str">
        <f t="shared" si="27"/>
        <v xml:space="preserve"> </v>
      </c>
    </row>
    <row r="396" spans="1:13" x14ac:dyDescent="0.25">
      <c r="A396" s="40" t="str">
        <f t="shared" si="25"/>
        <v xml:space="preserve"> </v>
      </c>
      <c r="D396" s="39"/>
      <c r="E396" s="39"/>
      <c r="J396" s="15">
        <f t="shared" si="28"/>
        <v>0</v>
      </c>
      <c r="K396" s="2" t="str">
        <f t="shared" si="29"/>
        <v xml:space="preserve"> </v>
      </c>
      <c r="L396" s="2" t="str">
        <f t="shared" si="26"/>
        <v xml:space="preserve"> </v>
      </c>
      <c r="M396" s="2" t="str">
        <f t="shared" si="27"/>
        <v xml:space="preserve"> </v>
      </c>
    </row>
    <row r="397" spans="1:13" x14ac:dyDescent="0.25">
      <c r="A397" s="40" t="str">
        <f t="shared" si="25"/>
        <v xml:space="preserve"> </v>
      </c>
      <c r="D397" s="39"/>
      <c r="E397" s="39"/>
      <c r="J397" s="15">
        <f t="shared" si="28"/>
        <v>0</v>
      </c>
      <c r="K397" s="2" t="str">
        <f t="shared" si="29"/>
        <v xml:space="preserve"> </v>
      </c>
      <c r="L397" s="2" t="str">
        <f t="shared" si="26"/>
        <v xml:space="preserve"> </v>
      </c>
      <c r="M397" s="2" t="str">
        <f t="shared" si="27"/>
        <v xml:space="preserve"> </v>
      </c>
    </row>
    <row r="398" spans="1:13" x14ac:dyDescent="0.25">
      <c r="A398" s="40" t="str">
        <f t="shared" si="25"/>
        <v xml:space="preserve"> </v>
      </c>
      <c r="D398" s="39"/>
      <c r="E398" s="39"/>
      <c r="J398" s="15">
        <f t="shared" si="28"/>
        <v>0</v>
      </c>
      <c r="K398" s="2" t="str">
        <f t="shared" si="29"/>
        <v xml:space="preserve"> </v>
      </c>
      <c r="L398" s="2" t="str">
        <f t="shared" si="26"/>
        <v xml:space="preserve"> </v>
      </c>
      <c r="M398" s="2" t="str">
        <f t="shared" si="27"/>
        <v xml:space="preserve"> </v>
      </c>
    </row>
    <row r="399" spans="1:13" x14ac:dyDescent="0.25">
      <c r="A399" s="40" t="str">
        <f t="shared" ref="A399:A462" si="30">IF(COUNTIF(K399:M399,"ERROR")&gt;0,"ERROR"," ")</f>
        <v xml:space="preserve"> </v>
      </c>
      <c r="D399" s="39"/>
      <c r="E399" s="39"/>
      <c r="J399" s="15">
        <f t="shared" si="28"/>
        <v>0</v>
      </c>
      <c r="K399" s="2" t="str">
        <f t="shared" si="29"/>
        <v xml:space="preserve"> </v>
      </c>
      <c r="L399" s="2" t="str">
        <f t="shared" ref="L399:L462" si="31">IF(D399=0," ",IF(COUNTIF(ProfitLoss2,D399)&gt;0," ","ERROR"))</f>
        <v xml:space="preserve"> </v>
      </c>
      <c r="M399" s="2" t="str">
        <f t="shared" ref="M399:M462" si="32">IF(E399=0," ",IF(COUNTIF(BalanceSheetA,E399)&gt;0," ","ERROR"))</f>
        <v xml:space="preserve"> </v>
      </c>
    </row>
    <row r="400" spans="1:13" x14ac:dyDescent="0.25">
      <c r="A400" s="40" t="str">
        <f t="shared" si="30"/>
        <v xml:space="preserve"> </v>
      </c>
      <c r="D400" s="39"/>
      <c r="E400" s="39"/>
      <c r="J400" s="15">
        <f t="shared" ref="J400:J463" si="33">F400-G400+H400-I400</f>
        <v>0</v>
      </c>
      <c r="K400" s="2" t="str">
        <f t="shared" ref="K400:K463" si="34">IF(COUNTA(D400:E400)=2,"ERROR"," ")</f>
        <v xml:space="preserve"> </v>
      </c>
      <c r="L400" s="2" t="str">
        <f t="shared" si="31"/>
        <v xml:space="preserve"> </v>
      </c>
      <c r="M400" s="2" t="str">
        <f t="shared" si="32"/>
        <v xml:space="preserve"> </v>
      </c>
    </row>
    <row r="401" spans="1:13" x14ac:dyDescent="0.25">
      <c r="A401" s="40" t="str">
        <f t="shared" si="30"/>
        <v xml:space="preserve"> </v>
      </c>
      <c r="D401" s="39"/>
      <c r="E401" s="39"/>
      <c r="J401" s="15">
        <f t="shared" si="33"/>
        <v>0</v>
      </c>
      <c r="K401" s="2" t="str">
        <f t="shared" si="34"/>
        <v xml:space="preserve"> </v>
      </c>
      <c r="L401" s="2" t="str">
        <f t="shared" si="31"/>
        <v xml:space="preserve"> </v>
      </c>
      <c r="M401" s="2" t="str">
        <f t="shared" si="32"/>
        <v xml:space="preserve"> </v>
      </c>
    </row>
    <row r="402" spans="1:13" x14ac:dyDescent="0.25">
      <c r="A402" s="40" t="str">
        <f t="shared" si="30"/>
        <v xml:space="preserve"> </v>
      </c>
      <c r="D402" s="39"/>
      <c r="E402" s="39"/>
      <c r="J402" s="15">
        <f t="shared" si="33"/>
        <v>0</v>
      </c>
      <c r="K402" s="2" t="str">
        <f t="shared" si="34"/>
        <v xml:space="preserve"> </v>
      </c>
      <c r="L402" s="2" t="str">
        <f t="shared" si="31"/>
        <v xml:space="preserve"> </v>
      </c>
      <c r="M402" s="2" t="str">
        <f t="shared" si="32"/>
        <v xml:space="preserve"> </v>
      </c>
    </row>
    <row r="403" spans="1:13" x14ac:dyDescent="0.25">
      <c r="A403" s="40" t="str">
        <f t="shared" si="30"/>
        <v xml:space="preserve"> </v>
      </c>
      <c r="D403" s="39"/>
      <c r="E403" s="39"/>
      <c r="J403" s="15">
        <f t="shared" si="33"/>
        <v>0</v>
      </c>
      <c r="K403" s="2" t="str">
        <f t="shared" si="34"/>
        <v xml:space="preserve"> </v>
      </c>
      <c r="L403" s="2" t="str">
        <f t="shared" si="31"/>
        <v xml:space="preserve"> </v>
      </c>
      <c r="M403" s="2" t="str">
        <f t="shared" si="32"/>
        <v xml:space="preserve"> </v>
      </c>
    </row>
    <row r="404" spans="1:13" x14ac:dyDescent="0.25">
      <c r="A404" s="40" t="str">
        <f t="shared" si="30"/>
        <v xml:space="preserve"> </v>
      </c>
      <c r="D404" s="39"/>
      <c r="E404" s="39"/>
      <c r="J404" s="15">
        <f t="shared" si="33"/>
        <v>0</v>
      </c>
      <c r="K404" s="2" t="str">
        <f t="shared" si="34"/>
        <v xml:space="preserve"> </v>
      </c>
      <c r="L404" s="2" t="str">
        <f t="shared" si="31"/>
        <v xml:space="preserve"> </v>
      </c>
      <c r="M404" s="2" t="str">
        <f t="shared" si="32"/>
        <v xml:space="preserve"> </v>
      </c>
    </row>
    <row r="405" spans="1:13" x14ac:dyDescent="0.25">
      <c r="A405" s="40" t="str">
        <f t="shared" si="30"/>
        <v xml:space="preserve"> </v>
      </c>
      <c r="D405" s="39"/>
      <c r="E405" s="39"/>
      <c r="J405" s="15">
        <f t="shared" si="33"/>
        <v>0</v>
      </c>
      <c r="K405" s="2" t="str">
        <f t="shared" si="34"/>
        <v xml:space="preserve"> </v>
      </c>
      <c r="L405" s="2" t="str">
        <f t="shared" si="31"/>
        <v xml:space="preserve"> </v>
      </c>
      <c r="M405" s="2" t="str">
        <f t="shared" si="32"/>
        <v xml:space="preserve"> </v>
      </c>
    </row>
    <row r="406" spans="1:13" x14ac:dyDescent="0.25">
      <c r="A406" s="40" t="str">
        <f t="shared" si="30"/>
        <v xml:space="preserve"> </v>
      </c>
      <c r="D406" s="39"/>
      <c r="E406" s="39"/>
      <c r="J406" s="15">
        <f t="shared" si="33"/>
        <v>0</v>
      </c>
      <c r="K406" s="2" t="str">
        <f t="shared" si="34"/>
        <v xml:space="preserve"> </v>
      </c>
      <c r="L406" s="2" t="str">
        <f t="shared" si="31"/>
        <v xml:space="preserve"> </v>
      </c>
      <c r="M406" s="2" t="str">
        <f t="shared" si="32"/>
        <v xml:space="preserve"> </v>
      </c>
    </row>
    <row r="407" spans="1:13" x14ac:dyDescent="0.25">
      <c r="A407" s="40" t="str">
        <f t="shared" si="30"/>
        <v xml:space="preserve"> </v>
      </c>
      <c r="D407" s="39"/>
      <c r="E407" s="39"/>
      <c r="J407" s="15">
        <f t="shared" si="33"/>
        <v>0</v>
      </c>
      <c r="K407" s="2" t="str">
        <f t="shared" si="34"/>
        <v xml:space="preserve"> </v>
      </c>
      <c r="L407" s="2" t="str">
        <f t="shared" si="31"/>
        <v xml:space="preserve"> </v>
      </c>
      <c r="M407" s="2" t="str">
        <f t="shared" si="32"/>
        <v xml:space="preserve"> </v>
      </c>
    </row>
    <row r="408" spans="1:13" x14ac:dyDescent="0.25">
      <c r="A408" s="40" t="str">
        <f t="shared" si="30"/>
        <v xml:space="preserve"> </v>
      </c>
      <c r="D408" s="39"/>
      <c r="E408" s="39"/>
      <c r="J408" s="15">
        <f t="shared" si="33"/>
        <v>0</v>
      </c>
      <c r="K408" s="2" t="str">
        <f t="shared" si="34"/>
        <v xml:space="preserve"> </v>
      </c>
      <c r="L408" s="2" t="str">
        <f t="shared" si="31"/>
        <v xml:space="preserve"> </v>
      </c>
      <c r="M408" s="2" t="str">
        <f t="shared" si="32"/>
        <v xml:space="preserve"> </v>
      </c>
    </row>
    <row r="409" spans="1:13" x14ac:dyDescent="0.25">
      <c r="A409" s="40" t="str">
        <f t="shared" si="30"/>
        <v xml:space="preserve"> </v>
      </c>
      <c r="D409" s="39"/>
      <c r="E409" s="39"/>
      <c r="J409" s="15">
        <f t="shared" si="33"/>
        <v>0</v>
      </c>
      <c r="K409" s="2" t="str">
        <f t="shared" si="34"/>
        <v xml:space="preserve"> </v>
      </c>
      <c r="L409" s="2" t="str">
        <f t="shared" si="31"/>
        <v xml:space="preserve"> </v>
      </c>
      <c r="M409" s="2" t="str">
        <f t="shared" si="32"/>
        <v xml:space="preserve"> </v>
      </c>
    </row>
    <row r="410" spans="1:13" x14ac:dyDescent="0.25">
      <c r="A410" s="40" t="str">
        <f t="shared" si="30"/>
        <v xml:space="preserve"> </v>
      </c>
      <c r="D410" s="39"/>
      <c r="E410" s="39"/>
      <c r="J410" s="15">
        <f t="shared" si="33"/>
        <v>0</v>
      </c>
      <c r="K410" s="2" t="str">
        <f t="shared" si="34"/>
        <v xml:space="preserve"> </v>
      </c>
      <c r="L410" s="2" t="str">
        <f t="shared" si="31"/>
        <v xml:space="preserve"> </v>
      </c>
      <c r="M410" s="2" t="str">
        <f t="shared" si="32"/>
        <v xml:space="preserve"> </v>
      </c>
    </row>
    <row r="411" spans="1:13" x14ac:dyDescent="0.25">
      <c r="A411" s="40" t="str">
        <f t="shared" si="30"/>
        <v xml:space="preserve"> </v>
      </c>
      <c r="D411" s="39"/>
      <c r="E411" s="39"/>
      <c r="J411" s="15">
        <f t="shared" si="33"/>
        <v>0</v>
      </c>
      <c r="K411" s="2" t="str">
        <f t="shared" si="34"/>
        <v xml:space="preserve"> </v>
      </c>
      <c r="L411" s="2" t="str">
        <f t="shared" si="31"/>
        <v xml:space="preserve"> </v>
      </c>
      <c r="M411" s="2" t="str">
        <f t="shared" si="32"/>
        <v xml:space="preserve"> </v>
      </c>
    </row>
    <row r="412" spans="1:13" x14ac:dyDescent="0.25">
      <c r="A412" s="40" t="str">
        <f t="shared" si="30"/>
        <v xml:space="preserve"> </v>
      </c>
      <c r="D412" s="39"/>
      <c r="E412" s="39"/>
      <c r="J412" s="15">
        <f t="shared" si="33"/>
        <v>0</v>
      </c>
      <c r="K412" s="2" t="str">
        <f t="shared" si="34"/>
        <v xml:space="preserve"> </v>
      </c>
      <c r="L412" s="2" t="str">
        <f t="shared" si="31"/>
        <v xml:space="preserve"> </v>
      </c>
      <c r="M412" s="2" t="str">
        <f t="shared" si="32"/>
        <v xml:space="preserve"> </v>
      </c>
    </row>
    <row r="413" spans="1:13" x14ac:dyDescent="0.25">
      <c r="A413" s="40" t="str">
        <f t="shared" si="30"/>
        <v xml:space="preserve"> </v>
      </c>
      <c r="D413" s="39"/>
      <c r="E413" s="39"/>
      <c r="J413" s="15">
        <f t="shared" si="33"/>
        <v>0</v>
      </c>
      <c r="K413" s="2" t="str">
        <f t="shared" si="34"/>
        <v xml:space="preserve"> </v>
      </c>
      <c r="L413" s="2" t="str">
        <f t="shared" si="31"/>
        <v xml:space="preserve"> </v>
      </c>
      <c r="M413" s="2" t="str">
        <f t="shared" si="32"/>
        <v xml:space="preserve"> </v>
      </c>
    </row>
    <row r="414" spans="1:13" x14ac:dyDescent="0.25">
      <c r="A414" s="40" t="str">
        <f t="shared" si="30"/>
        <v xml:space="preserve"> </v>
      </c>
      <c r="D414" s="39"/>
      <c r="E414" s="39"/>
      <c r="J414" s="15">
        <f t="shared" si="33"/>
        <v>0</v>
      </c>
      <c r="K414" s="2" t="str">
        <f t="shared" si="34"/>
        <v xml:space="preserve"> </v>
      </c>
      <c r="L414" s="2" t="str">
        <f t="shared" si="31"/>
        <v xml:space="preserve"> </v>
      </c>
      <c r="M414" s="2" t="str">
        <f t="shared" si="32"/>
        <v xml:space="preserve"> </v>
      </c>
    </row>
    <row r="415" spans="1:13" x14ac:dyDescent="0.25">
      <c r="A415" s="40" t="str">
        <f t="shared" si="30"/>
        <v xml:space="preserve"> </v>
      </c>
      <c r="D415" s="39"/>
      <c r="E415" s="39"/>
      <c r="J415" s="15">
        <f t="shared" si="33"/>
        <v>0</v>
      </c>
      <c r="K415" s="2" t="str">
        <f t="shared" si="34"/>
        <v xml:space="preserve"> </v>
      </c>
      <c r="L415" s="2" t="str">
        <f t="shared" si="31"/>
        <v xml:space="preserve"> </v>
      </c>
      <c r="M415" s="2" t="str">
        <f t="shared" si="32"/>
        <v xml:space="preserve"> </v>
      </c>
    </row>
    <row r="416" spans="1:13" x14ac:dyDescent="0.25">
      <c r="A416" s="40" t="str">
        <f t="shared" si="30"/>
        <v xml:space="preserve"> </v>
      </c>
      <c r="D416" s="39"/>
      <c r="E416" s="39"/>
      <c r="J416" s="15">
        <f t="shared" si="33"/>
        <v>0</v>
      </c>
      <c r="K416" s="2" t="str">
        <f t="shared" si="34"/>
        <v xml:space="preserve"> </v>
      </c>
      <c r="L416" s="2" t="str">
        <f t="shared" si="31"/>
        <v xml:space="preserve"> </v>
      </c>
      <c r="M416" s="2" t="str">
        <f t="shared" si="32"/>
        <v xml:space="preserve"> </v>
      </c>
    </row>
    <row r="417" spans="1:13" x14ac:dyDescent="0.25">
      <c r="A417" s="40" t="str">
        <f t="shared" si="30"/>
        <v xml:space="preserve"> </v>
      </c>
      <c r="D417" s="39"/>
      <c r="E417" s="39"/>
      <c r="J417" s="15">
        <f t="shared" si="33"/>
        <v>0</v>
      </c>
      <c r="K417" s="2" t="str">
        <f t="shared" si="34"/>
        <v xml:space="preserve"> </v>
      </c>
      <c r="L417" s="2" t="str">
        <f t="shared" si="31"/>
        <v xml:space="preserve"> </v>
      </c>
      <c r="M417" s="2" t="str">
        <f t="shared" si="32"/>
        <v xml:space="preserve"> </v>
      </c>
    </row>
    <row r="418" spans="1:13" x14ac:dyDescent="0.25">
      <c r="A418" s="40" t="str">
        <f t="shared" si="30"/>
        <v xml:space="preserve"> </v>
      </c>
      <c r="D418" s="39"/>
      <c r="E418" s="39"/>
      <c r="J418" s="15">
        <f t="shared" si="33"/>
        <v>0</v>
      </c>
      <c r="K418" s="2" t="str">
        <f t="shared" si="34"/>
        <v xml:space="preserve"> </v>
      </c>
      <c r="L418" s="2" t="str">
        <f t="shared" si="31"/>
        <v xml:space="preserve"> </v>
      </c>
      <c r="M418" s="2" t="str">
        <f t="shared" si="32"/>
        <v xml:space="preserve"> </v>
      </c>
    </row>
    <row r="419" spans="1:13" x14ac:dyDescent="0.25">
      <c r="A419" s="40" t="str">
        <f t="shared" si="30"/>
        <v xml:space="preserve"> </v>
      </c>
      <c r="D419" s="39"/>
      <c r="E419" s="39"/>
      <c r="J419" s="15">
        <f t="shared" si="33"/>
        <v>0</v>
      </c>
      <c r="K419" s="2" t="str">
        <f t="shared" si="34"/>
        <v xml:space="preserve"> </v>
      </c>
      <c r="L419" s="2" t="str">
        <f t="shared" si="31"/>
        <v xml:space="preserve"> </v>
      </c>
      <c r="M419" s="2" t="str">
        <f t="shared" si="32"/>
        <v xml:space="preserve"> </v>
      </c>
    </row>
    <row r="420" spans="1:13" x14ac:dyDescent="0.25">
      <c r="A420" s="40" t="str">
        <f t="shared" si="30"/>
        <v xml:space="preserve"> </v>
      </c>
      <c r="D420" s="39"/>
      <c r="E420" s="39"/>
      <c r="J420" s="15">
        <f t="shared" si="33"/>
        <v>0</v>
      </c>
      <c r="K420" s="2" t="str">
        <f t="shared" si="34"/>
        <v xml:space="preserve"> </v>
      </c>
      <c r="L420" s="2" t="str">
        <f t="shared" si="31"/>
        <v xml:space="preserve"> </v>
      </c>
      <c r="M420" s="2" t="str">
        <f t="shared" si="32"/>
        <v xml:space="preserve"> </v>
      </c>
    </row>
    <row r="421" spans="1:13" x14ac:dyDescent="0.25">
      <c r="A421" s="40" t="str">
        <f t="shared" si="30"/>
        <v xml:space="preserve"> </v>
      </c>
      <c r="D421" s="39"/>
      <c r="E421" s="39"/>
      <c r="J421" s="15">
        <f t="shared" si="33"/>
        <v>0</v>
      </c>
      <c r="K421" s="2" t="str">
        <f t="shared" si="34"/>
        <v xml:space="preserve"> </v>
      </c>
      <c r="L421" s="2" t="str">
        <f t="shared" si="31"/>
        <v xml:space="preserve"> </v>
      </c>
      <c r="M421" s="2" t="str">
        <f t="shared" si="32"/>
        <v xml:space="preserve"> </v>
      </c>
    </row>
    <row r="422" spans="1:13" x14ac:dyDescent="0.25">
      <c r="A422" s="40" t="str">
        <f t="shared" si="30"/>
        <v xml:space="preserve"> </v>
      </c>
      <c r="D422" s="39"/>
      <c r="E422" s="39"/>
      <c r="J422" s="15">
        <f t="shared" si="33"/>
        <v>0</v>
      </c>
      <c r="K422" s="2" t="str">
        <f t="shared" si="34"/>
        <v xml:space="preserve"> </v>
      </c>
      <c r="L422" s="2" t="str">
        <f t="shared" si="31"/>
        <v xml:space="preserve"> </v>
      </c>
      <c r="M422" s="2" t="str">
        <f t="shared" si="32"/>
        <v xml:space="preserve"> </v>
      </c>
    </row>
    <row r="423" spans="1:13" x14ac:dyDescent="0.25">
      <c r="A423" s="40" t="str">
        <f t="shared" si="30"/>
        <v xml:space="preserve"> </v>
      </c>
      <c r="D423" s="39"/>
      <c r="E423" s="39"/>
      <c r="J423" s="15">
        <f t="shared" si="33"/>
        <v>0</v>
      </c>
      <c r="K423" s="2" t="str">
        <f t="shared" si="34"/>
        <v xml:space="preserve"> </v>
      </c>
      <c r="L423" s="2" t="str">
        <f t="shared" si="31"/>
        <v xml:space="preserve"> </v>
      </c>
      <c r="M423" s="2" t="str">
        <f t="shared" si="32"/>
        <v xml:space="preserve"> </v>
      </c>
    </row>
    <row r="424" spans="1:13" x14ac:dyDescent="0.25">
      <c r="A424" s="40" t="str">
        <f t="shared" si="30"/>
        <v xml:space="preserve"> </v>
      </c>
      <c r="D424" s="39"/>
      <c r="E424" s="39"/>
      <c r="J424" s="15">
        <f t="shared" si="33"/>
        <v>0</v>
      </c>
      <c r="K424" s="2" t="str">
        <f t="shared" si="34"/>
        <v xml:space="preserve"> </v>
      </c>
      <c r="L424" s="2" t="str">
        <f t="shared" si="31"/>
        <v xml:space="preserve"> </v>
      </c>
      <c r="M424" s="2" t="str">
        <f t="shared" si="32"/>
        <v xml:space="preserve"> </v>
      </c>
    </row>
    <row r="425" spans="1:13" x14ac:dyDescent="0.25">
      <c r="A425" s="40" t="str">
        <f t="shared" si="30"/>
        <v xml:space="preserve"> </v>
      </c>
      <c r="D425" s="39"/>
      <c r="E425" s="39"/>
      <c r="J425" s="15">
        <f t="shared" si="33"/>
        <v>0</v>
      </c>
      <c r="K425" s="2" t="str">
        <f t="shared" si="34"/>
        <v xml:space="preserve"> </v>
      </c>
      <c r="L425" s="2" t="str">
        <f t="shared" si="31"/>
        <v xml:space="preserve"> </v>
      </c>
      <c r="M425" s="2" t="str">
        <f t="shared" si="32"/>
        <v xml:space="preserve"> </v>
      </c>
    </row>
    <row r="426" spans="1:13" x14ac:dyDescent="0.25">
      <c r="A426" s="40" t="str">
        <f t="shared" si="30"/>
        <v xml:space="preserve"> </v>
      </c>
      <c r="D426" s="39"/>
      <c r="E426" s="39"/>
      <c r="J426" s="15">
        <f t="shared" si="33"/>
        <v>0</v>
      </c>
      <c r="K426" s="2" t="str">
        <f t="shared" si="34"/>
        <v xml:space="preserve"> </v>
      </c>
      <c r="L426" s="2" t="str">
        <f t="shared" si="31"/>
        <v xml:space="preserve"> </v>
      </c>
      <c r="M426" s="2" t="str">
        <f t="shared" si="32"/>
        <v xml:space="preserve"> </v>
      </c>
    </row>
    <row r="427" spans="1:13" x14ac:dyDescent="0.25">
      <c r="A427" s="40" t="str">
        <f t="shared" si="30"/>
        <v xml:space="preserve"> </v>
      </c>
      <c r="D427" s="39"/>
      <c r="E427" s="39"/>
      <c r="J427" s="15">
        <f t="shared" si="33"/>
        <v>0</v>
      </c>
      <c r="K427" s="2" t="str">
        <f t="shared" si="34"/>
        <v xml:space="preserve"> </v>
      </c>
      <c r="L427" s="2" t="str">
        <f t="shared" si="31"/>
        <v xml:space="preserve"> </v>
      </c>
      <c r="M427" s="2" t="str">
        <f t="shared" si="32"/>
        <v xml:space="preserve"> </v>
      </c>
    </row>
    <row r="428" spans="1:13" x14ac:dyDescent="0.25">
      <c r="A428" s="40" t="str">
        <f t="shared" si="30"/>
        <v xml:space="preserve"> </v>
      </c>
      <c r="D428" s="39"/>
      <c r="E428" s="39"/>
      <c r="J428" s="15">
        <f t="shared" si="33"/>
        <v>0</v>
      </c>
      <c r="K428" s="2" t="str">
        <f t="shared" si="34"/>
        <v xml:space="preserve"> </v>
      </c>
      <c r="L428" s="2" t="str">
        <f t="shared" si="31"/>
        <v xml:space="preserve"> </v>
      </c>
      <c r="M428" s="2" t="str">
        <f t="shared" si="32"/>
        <v xml:space="preserve"> </v>
      </c>
    </row>
    <row r="429" spans="1:13" x14ac:dyDescent="0.25">
      <c r="A429" s="40" t="str">
        <f t="shared" si="30"/>
        <v xml:space="preserve"> </v>
      </c>
      <c r="D429" s="39"/>
      <c r="E429" s="39"/>
      <c r="J429" s="15">
        <f t="shared" si="33"/>
        <v>0</v>
      </c>
      <c r="K429" s="2" t="str">
        <f t="shared" si="34"/>
        <v xml:space="preserve"> </v>
      </c>
      <c r="L429" s="2" t="str">
        <f t="shared" si="31"/>
        <v xml:space="preserve"> </v>
      </c>
      <c r="M429" s="2" t="str">
        <f t="shared" si="32"/>
        <v xml:space="preserve"> </v>
      </c>
    </row>
    <row r="430" spans="1:13" x14ac:dyDescent="0.25">
      <c r="A430" s="40" t="str">
        <f t="shared" si="30"/>
        <v xml:space="preserve"> </v>
      </c>
      <c r="D430" s="39"/>
      <c r="E430" s="39"/>
      <c r="J430" s="15">
        <f t="shared" si="33"/>
        <v>0</v>
      </c>
      <c r="K430" s="2" t="str">
        <f t="shared" si="34"/>
        <v xml:space="preserve"> </v>
      </c>
      <c r="L430" s="2" t="str">
        <f t="shared" si="31"/>
        <v xml:space="preserve"> </v>
      </c>
      <c r="M430" s="2" t="str">
        <f t="shared" si="32"/>
        <v xml:space="preserve"> </v>
      </c>
    </row>
    <row r="431" spans="1:13" x14ac:dyDescent="0.25">
      <c r="A431" s="40" t="str">
        <f t="shared" si="30"/>
        <v xml:space="preserve"> </v>
      </c>
      <c r="D431" s="39"/>
      <c r="E431" s="39"/>
      <c r="J431" s="15">
        <f t="shared" si="33"/>
        <v>0</v>
      </c>
      <c r="K431" s="2" t="str">
        <f t="shared" si="34"/>
        <v xml:space="preserve"> </v>
      </c>
      <c r="L431" s="2" t="str">
        <f t="shared" si="31"/>
        <v xml:space="preserve"> </v>
      </c>
      <c r="M431" s="2" t="str">
        <f t="shared" si="32"/>
        <v xml:space="preserve"> </v>
      </c>
    </row>
    <row r="432" spans="1:13" x14ac:dyDescent="0.25">
      <c r="A432" s="40" t="str">
        <f t="shared" si="30"/>
        <v xml:space="preserve"> </v>
      </c>
      <c r="D432" s="39"/>
      <c r="E432" s="39"/>
      <c r="J432" s="15">
        <f t="shared" si="33"/>
        <v>0</v>
      </c>
      <c r="K432" s="2" t="str">
        <f t="shared" si="34"/>
        <v xml:space="preserve"> </v>
      </c>
      <c r="L432" s="2" t="str">
        <f t="shared" si="31"/>
        <v xml:space="preserve"> </v>
      </c>
      <c r="M432" s="2" t="str">
        <f t="shared" si="32"/>
        <v xml:space="preserve"> </v>
      </c>
    </row>
    <row r="433" spans="1:13" x14ac:dyDescent="0.25">
      <c r="A433" s="40" t="str">
        <f t="shared" si="30"/>
        <v xml:space="preserve"> </v>
      </c>
      <c r="D433" s="39"/>
      <c r="E433" s="39"/>
      <c r="J433" s="15">
        <f t="shared" si="33"/>
        <v>0</v>
      </c>
      <c r="K433" s="2" t="str">
        <f t="shared" si="34"/>
        <v xml:space="preserve"> </v>
      </c>
      <c r="L433" s="2" t="str">
        <f t="shared" si="31"/>
        <v xml:space="preserve"> </v>
      </c>
      <c r="M433" s="2" t="str">
        <f t="shared" si="32"/>
        <v xml:space="preserve"> </v>
      </c>
    </row>
    <row r="434" spans="1:13" x14ac:dyDescent="0.25">
      <c r="A434" s="40" t="str">
        <f t="shared" si="30"/>
        <v xml:space="preserve"> </v>
      </c>
      <c r="D434" s="39"/>
      <c r="E434" s="39"/>
      <c r="J434" s="15">
        <f t="shared" si="33"/>
        <v>0</v>
      </c>
      <c r="K434" s="2" t="str">
        <f t="shared" si="34"/>
        <v xml:space="preserve"> </v>
      </c>
      <c r="L434" s="2" t="str">
        <f t="shared" si="31"/>
        <v xml:space="preserve"> </v>
      </c>
      <c r="M434" s="2" t="str">
        <f t="shared" si="32"/>
        <v xml:space="preserve"> </v>
      </c>
    </row>
    <row r="435" spans="1:13" x14ac:dyDescent="0.25">
      <c r="A435" s="40" t="str">
        <f t="shared" si="30"/>
        <v xml:space="preserve"> </v>
      </c>
      <c r="D435" s="39"/>
      <c r="E435" s="39"/>
      <c r="J435" s="15">
        <f t="shared" si="33"/>
        <v>0</v>
      </c>
      <c r="K435" s="2" t="str">
        <f t="shared" si="34"/>
        <v xml:space="preserve"> </v>
      </c>
      <c r="L435" s="2" t="str">
        <f t="shared" si="31"/>
        <v xml:space="preserve"> </v>
      </c>
      <c r="M435" s="2" t="str">
        <f t="shared" si="32"/>
        <v xml:space="preserve"> </v>
      </c>
    </row>
    <row r="436" spans="1:13" x14ac:dyDescent="0.25">
      <c r="A436" s="40" t="str">
        <f t="shared" si="30"/>
        <v xml:space="preserve"> </v>
      </c>
      <c r="D436" s="39"/>
      <c r="E436" s="39"/>
      <c r="J436" s="15">
        <f t="shared" si="33"/>
        <v>0</v>
      </c>
      <c r="K436" s="2" t="str">
        <f t="shared" si="34"/>
        <v xml:space="preserve"> </v>
      </c>
      <c r="L436" s="2" t="str">
        <f t="shared" si="31"/>
        <v xml:space="preserve"> </v>
      </c>
      <c r="M436" s="2" t="str">
        <f t="shared" si="32"/>
        <v xml:space="preserve"> </v>
      </c>
    </row>
    <row r="437" spans="1:13" x14ac:dyDescent="0.25">
      <c r="A437" s="40" t="str">
        <f t="shared" si="30"/>
        <v xml:space="preserve"> </v>
      </c>
      <c r="D437" s="39"/>
      <c r="E437" s="39"/>
      <c r="J437" s="15">
        <f t="shared" si="33"/>
        <v>0</v>
      </c>
      <c r="K437" s="2" t="str">
        <f t="shared" si="34"/>
        <v xml:space="preserve"> </v>
      </c>
      <c r="L437" s="2" t="str">
        <f t="shared" si="31"/>
        <v xml:space="preserve"> </v>
      </c>
      <c r="M437" s="2" t="str">
        <f t="shared" si="32"/>
        <v xml:space="preserve"> </v>
      </c>
    </row>
    <row r="438" spans="1:13" x14ac:dyDescent="0.25">
      <c r="A438" s="40" t="str">
        <f t="shared" si="30"/>
        <v xml:space="preserve"> </v>
      </c>
      <c r="D438" s="39"/>
      <c r="E438" s="39"/>
      <c r="J438" s="15">
        <f t="shared" si="33"/>
        <v>0</v>
      </c>
      <c r="K438" s="2" t="str">
        <f t="shared" si="34"/>
        <v xml:space="preserve"> </v>
      </c>
      <c r="L438" s="2" t="str">
        <f t="shared" si="31"/>
        <v xml:space="preserve"> </v>
      </c>
      <c r="M438" s="2" t="str">
        <f t="shared" si="32"/>
        <v xml:space="preserve"> </v>
      </c>
    </row>
    <row r="439" spans="1:13" x14ac:dyDescent="0.25">
      <c r="A439" s="40" t="str">
        <f t="shared" si="30"/>
        <v xml:space="preserve"> </v>
      </c>
      <c r="D439" s="39"/>
      <c r="E439" s="39"/>
      <c r="J439" s="15">
        <f t="shared" si="33"/>
        <v>0</v>
      </c>
      <c r="K439" s="2" t="str">
        <f t="shared" si="34"/>
        <v xml:space="preserve"> </v>
      </c>
      <c r="L439" s="2" t="str">
        <f t="shared" si="31"/>
        <v xml:space="preserve"> </v>
      </c>
      <c r="M439" s="2" t="str">
        <f t="shared" si="32"/>
        <v xml:space="preserve"> </v>
      </c>
    </row>
    <row r="440" spans="1:13" x14ac:dyDescent="0.25">
      <c r="A440" s="40" t="str">
        <f t="shared" si="30"/>
        <v xml:space="preserve"> </v>
      </c>
      <c r="D440" s="39"/>
      <c r="E440" s="39"/>
      <c r="J440" s="15">
        <f t="shared" si="33"/>
        <v>0</v>
      </c>
      <c r="K440" s="2" t="str">
        <f t="shared" si="34"/>
        <v xml:space="preserve"> </v>
      </c>
      <c r="L440" s="2" t="str">
        <f t="shared" si="31"/>
        <v xml:space="preserve"> </v>
      </c>
      <c r="M440" s="2" t="str">
        <f t="shared" si="32"/>
        <v xml:space="preserve"> </v>
      </c>
    </row>
    <row r="441" spans="1:13" x14ac:dyDescent="0.25">
      <c r="A441" s="40" t="str">
        <f t="shared" si="30"/>
        <v xml:space="preserve"> </v>
      </c>
      <c r="D441" s="39"/>
      <c r="E441" s="39"/>
      <c r="J441" s="15">
        <f t="shared" si="33"/>
        <v>0</v>
      </c>
      <c r="K441" s="2" t="str">
        <f t="shared" si="34"/>
        <v xml:space="preserve"> </v>
      </c>
      <c r="L441" s="2" t="str">
        <f t="shared" si="31"/>
        <v xml:space="preserve"> </v>
      </c>
      <c r="M441" s="2" t="str">
        <f t="shared" si="32"/>
        <v xml:space="preserve"> </v>
      </c>
    </row>
    <row r="442" spans="1:13" x14ac:dyDescent="0.25">
      <c r="A442" s="40" t="str">
        <f t="shared" si="30"/>
        <v xml:space="preserve"> </v>
      </c>
      <c r="D442" s="39"/>
      <c r="E442" s="39"/>
      <c r="J442" s="15">
        <f t="shared" si="33"/>
        <v>0</v>
      </c>
      <c r="K442" s="2" t="str">
        <f t="shared" si="34"/>
        <v xml:space="preserve"> </v>
      </c>
      <c r="L442" s="2" t="str">
        <f t="shared" si="31"/>
        <v xml:space="preserve"> </v>
      </c>
      <c r="M442" s="2" t="str">
        <f t="shared" si="32"/>
        <v xml:space="preserve"> </v>
      </c>
    </row>
    <row r="443" spans="1:13" x14ac:dyDescent="0.25">
      <c r="A443" s="40" t="str">
        <f t="shared" si="30"/>
        <v xml:space="preserve"> </v>
      </c>
      <c r="D443" s="39"/>
      <c r="E443" s="39"/>
      <c r="J443" s="15">
        <f t="shared" si="33"/>
        <v>0</v>
      </c>
      <c r="K443" s="2" t="str">
        <f t="shared" si="34"/>
        <v xml:space="preserve"> </v>
      </c>
      <c r="L443" s="2" t="str">
        <f t="shared" si="31"/>
        <v xml:space="preserve"> </v>
      </c>
      <c r="M443" s="2" t="str">
        <f t="shared" si="32"/>
        <v xml:space="preserve"> </v>
      </c>
    </row>
    <row r="444" spans="1:13" x14ac:dyDescent="0.25">
      <c r="A444" s="40" t="str">
        <f t="shared" si="30"/>
        <v xml:space="preserve"> </v>
      </c>
      <c r="D444" s="39"/>
      <c r="E444" s="39"/>
      <c r="J444" s="15">
        <f t="shared" si="33"/>
        <v>0</v>
      </c>
      <c r="K444" s="2" t="str">
        <f t="shared" si="34"/>
        <v xml:space="preserve"> </v>
      </c>
      <c r="L444" s="2" t="str">
        <f t="shared" si="31"/>
        <v xml:space="preserve"> </v>
      </c>
      <c r="M444" s="2" t="str">
        <f t="shared" si="32"/>
        <v xml:space="preserve"> </v>
      </c>
    </row>
    <row r="445" spans="1:13" x14ac:dyDescent="0.25">
      <c r="A445" s="40" t="str">
        <f t="shared" si="30"/>
        <v xml:space="preserve"> </v>
      </c>
      <c r="D445" s="39"/>
      <c r="E445" s="39"/>
      <c r="J445" s="15">
        <f t="shared" si="33"/>
        <v>0</v>
      </c>
      <c r="K445" s="2" t="str">
        <f t="shared" si="34"/>
        <v xml:space="preserve"> </v>
      </c>
      <c r="L445" s="2" t="str">
        <f t="shared" si="31"/>
        <v xml:space="preserve"> </v>
      </c>
      <c r="M445" s="2" t="str">
        <f t="shared" si="32"/>
        <v xml:space="preserve"> </v>
      </c>
    </row>
    <row r="446" spans="1:13" x14ac:dyDescent="0.25">
      <c r="A446" s="40" t="str">
        <f t="shared" si="30"/>
        <v xml:space="preserve"> </v>
      </c>
      <c r="D446" s="39"/>
      <c r="E446" s="39"/>
      <c r="J446" s="15">
        <f t="shared" si="33"/>
        <v>0</v>
      </c>
      <c r="K446" s="2" t="str">
        <f t="shared" si="34"/>
        <v xml:space="preserve"> </v>
      </c>
      <c r="L446" s="2" t="str">
        <f t="shared" si="31"/>
        <v xml:space="preserve"> </v>
      </c>
      <c r="M446" s="2" t="str">
        <f t="shared" si="32"/>
        <v xml:space="preserve"> </v>
      </c>
    </row>
    <row r="447" spans="1:13" x14ac:dyDescent="0.25">
      <c r="A447" s="40" t="str">
        <f t="shared" si="30"/>
        <v xml:space="preserve"> </v>
      </c>
      <c r="D447" s="39"/>
      <c r="E447" s="39"/>
      <c r="J447" s="15">
        <f t="shared" si="33"/>
        <v>0</v>
      </c>
      <c r="K447" s="2" t="str">
        <f t="shared" si="34"/>
        <v xml:space="preserve"> </v>
      </c>
      <c r="L447" s="2" t="str">
        <f t="shared" si="31"/>
        <v xml:space="preserve"> </v>
      </c>
      <c r="M447" s="2" t="str">
        <f t="shared" si="32"/>
        <v xml:space="preserve"> </v>
      </c>
    </row>
    <row r="448" spans="1:13" x14ac:dyDescent="0.25">
      <c r="A448" s="40" t="str">
        <f t="shared" si="30"/>
        <v xml:space="preserve"> </v>
      </c>
      <c r="D448" s="39"/>
      <c r="E448" s="39"/>
      <c r="J448" s="15">
        <f t="shared" si="33"/>
        <v>0</v>
      </c>
      <c r="K448" s="2" t="str">
        <f t="shared" si="34"/>
        <v xml:space="preserve"> </v>
      </c>
      <c r="L448" s="2" t="str">
        <f t="shared" si="31"/>
        <v xml:space="preserve"> </v>
      </c>
      <c r="M448" s="2" t="str">
        <f t="shared" si="32"/>
        <v xml:space="preserve"> </v>
      </c>
    </row>
    <row r="449" spans="1:13" x14ac:dyDescent="0.25">
      <c r="A449" s="40" t="str">
        <f t="shared" si="30"/>
        <v xml:space="preserve"> </v>
      </c>
      <c r="D449" s="39"/>
      <c r="E449" s="39"/>
      <c r="J449" s="15">
        <f t="shared" si="33"/>
        <v>0</v>
      </c>
      <c r="K449" s="2" t="str">
        <f t="shared" si="34"/>
        <v xml:space="preserve"> </v>
      </c>
      <c r="L449" s="2" t="str">
        <f t="shared" si="31"/>
        <v xml:space="preserve"> </v>
      </c>
      <c r="M449" s="2" t="str">
        <f t="shared" si="32"/>
        <v xml:space="preserve"> </v>
      </c>
    </row>
    <row r="450" spans="1:13" x14ac:dyDescent="0.25">
      <c r="A450" s="40" t="str">
        <f t="shared" si="30"/>
        <v xml:space="preserve"> </v>
      </c>
      <c r="D450" s="39"/>
      <c r="E450" s="39"/>
      <c r="J450" s="15">
        <f t="shared" si="33"/>
        <v>0</v>
      </c>
      <c r="K450" s="2" t="str">
        <f t="shared" si="34"/>
        <v xml:space="preserve"> </v>
      </c>
      <c r="L450" s="2" t="str">
        <f t="shared" si="31"/>
        <v xml:space="preserve"> </v>
      </c>
      <c r="M450" s="2" t="str">
        <f t="shared" si="32"/>
        <v xml:space="preserve"> </v>
      </c>
    </row>
    <row r="451" spans="1:13" x14ac:dyDescent="0.25">
      <c r="A451" s="40" t="str">
        <f t="shared" si="30"/>
        <v xml:space="preserve"> </v>
      </c>
      <c r="D451" s="39"/>
      <c r="E451" s="39"/>
      <c r="J451" s="15">
        <f t="shared" si="33"/>
        <v>0</v>
      </c>
      <c r="K451" s="2" t="str">
        <f t="shared" si="34"/>
        <v xml:space="preserve"> </v>
      </c>
      <c r="L451" s="2" t="str">
        <f t="shared" si="31"/>
        <v xml:space="preserve"> </v>
      </c>
      <c r="M451" s="2" t="str">
        <f t="shared" si="32"/>
        <v xml:space="preserve"> </v>
      </c>
    </row>
    <row r="452" spans="1:13" x14ac:dyDescent="0.25">
      <c r="A452" s="40" t="str">
        <f t="shared" si="30"/>
        <v xml:space="preserve"> </v>
      </c>
      <c r="D452" s="39"/>
      <c r="E452" s="39"/>
      <c r="J452" s="15">
        <f t="shared" si="33"/>
        <v>0</v>
      </c>
      <c r="K452" s="2" t="str">
        <f t="shared" si="34"/>
        <v xml:space="preserve"> </v>
      </c>
      <c r="L452" s="2" t="str">
        <f t="shared" si="31"/>
        <v xml:space="preserve"> </v>
      </c>
      <c r="M452" s="2" t="str">
        <f t="shared" si="32"/>
        <v xml:space="preserve"> </v>
      </c>
    </row>
    <row r="453" spans="1:13" x14ac:dyDescent="0.25">
      <c r="A453" s="40" t="str">
        <f t="shared" si="30"/>
        <v xml:space="preserve"> </v>
      </c>
      <c r="D453" s="39"/>
      <c r="E453" s="39"/>
      <c r="J453" s="15">
        <f t="shared" si="33"/>
        <v>0</v>
      </c>
      <c r="K453" s="2" t="str">
        <f t="shared" si="34"/>
        <v xml:space="preserve"> </v>
      </c>
      <c r="L453" s="2" t="str">
        <f t="shared" si="31"/>
        <v xml:space="preserve"> </v>
      </c>
      <c r="M453" s="2" t="str">
        <f t="shared" si="32"/>
        <v xml:space="preserve"> </v>
      </c>
    </row>
    <row r="454" spans="1:13" x14ac:dyDescent="0.25">
      <c r="A454" s="40" t="str">
        <f t="shared" si="30"/>
        <v xml:space="preserve"> </v>
      </c>
      <c r="D454" s="39"/>
      <c r="E454" s="39"/>
      <c r="J454" s="15">
        <f t="shared" si="33"/>
        <v>0</v>
      </c>
      <c r="K454" s="2" t="str">
        <f t="shared" si="34"/>
        <v xml:space="preserve"> </v>
      </c>
      <c r="L454" s="2" t="str">
        <f t="shared" si="31"/>
        <v xml:space="preserve"> </v>
      </c>
      <c r="M454" s="2" t="str">
        <f t="shared" si="32"/>
        <v xml:space="preserve"> </v>
      </c>
    </row>
    <row r="455" spans="1:13" x14ac:dyDescent="0.25">
      <c r="A455" s="40" t="str">
        <f t="shared" si="30"/>
        <v xml:space="preserve"> </v>
      </c>
      <c r="D455" s="39"/>
      <c r="E455" s="39"/>
      <c r="J455" s="15">
        <f t="shared" si="33"/>
        <v>0</v>
      </c>
      <c r="K455" s="2" t="str">
        <f t="shared" si="34"/>
        <v xml:space="preserve"> </v>
      </c>
      <c r="L455" s="2" t="str">
        <f t="shared" si="31"/>
        <v xml:space="preserve"> </v>
      </c>
      <c r="M455" s="2" t="str">
        <f t="shared" si="32"/>
        <v xml:space="preserve"> </v>
      </c>
    </row>
    <row r="456" spans="1:13" x14ac:dyDescent="0.25">
      <c r="A456" s="40" t="str">
        <f t="shared" si="30"/>
        <v xml:space="preserve"> </v>
      </c>
      <c r="D456" s="39"/>
      <c r="E456" s="39"/>
      <c r="J456" s="15">
        <f t="shared" si="33"/>
        <v>0</v>
      </c>
      <c r="K456" s="2" t="str">
        <f t="shared" si="34"/>
        <v xml:space="preserve"> </v>
      </c>
      <c r="L456" s="2" t="str">
        <f t="shared" si="31"/>
        <v xml:space="preserve"> </v>
      </c>
      <c r="M456" s="2" t="str">
        <f t="shared" si="32"/>
        <v xml:space="preserve"> </v>
      </c>
    </row>
    <row r="457" spans="1:13" x14ac:dyDescent="0.25">
      <c r="A457" s="40" t="str">
        <f t="shared" si="30"/>
        <v xml:space="preserve"> </v>
      </c>
      <c r="D457" s="39"/>
      <c r="E457" s="39"/>
      <c r="J457" s="15">
        <f t="shared" si="33"/>
        <v>0</v>
      </c>
      <c r="K457" s="2" t="str">
        <f t="shared" si="34"/>
        <v xml:space="preserve"> </v>
      </c>
      <c r="L457" s="2" t="str">
        <f t="shared" si="31"/>
        <v xml:space="preserve"> </v>
      </c>
      <c r="M457" s="2" t="str">
        <f t="shared" si="32"/>
        <v xml:space="preserve"> </v>
      </c>
    </row>
    <row r="458" spans="1:13" x14ac:dyDescent="0.25">
      <c r="A458" s="40" t="str">
        <f t="shared" si="30"/>
        <v xml:space="preserve"> </v>
      </c>
      <c r="D458" s="39"/>
      <c r="E458" s="39"/>
      <c r="J458" s="15">
        <f t="shared" si="33"/>
        <v>0</v>
      </c>
      <c r="K458" s="2" t="str">
        <f t="shared" si="34"/>
        <v xml:space="preserve"> </v>
      </c>
      <c r="L458" s="2" t="str">
        <f t="shared" si="31"/>
        <v xml:space="preserve"> </v>
      </c>
      <c r="M458" s="2" t="str">
        <f t="shared" si="32"/>
        <v xml:space="preserve"> </v>
      </c>
    </row>
    <row r="459" spans="1:13" x14ac:dyDescent="0.25">
      <c r="A459" s="40" t="str">
        <f t="shared" si="30"/>
        <v xml:space="preserve"> </v>
      </c>
      <c r="D459" s="39"/>
      <c r="E459" s="39"/>
      <c r="J459" s="15">
        <f t="shared" si="33"/>
        <v>0</v>
      </c>
      <c r="K459" s="2" t="str">
        <f t="shared" si="34"/>
        <v xml:space="preserve"> </v>
      </c>
      <c r="L459" s="2" t="str">
        <f t="shared" si="31"/>
        <v xml:space="preserve"> </v>
      </c>
      <c r="M459" s="2" t="str">
        <f t="shared" si="32"/>
        <v xml:space="preserve"> </v>
      </c>
    </row>
    <row r="460" spans="1:13" x14ac:dyDescent="0.25">
      <c r="A460" s="40" t="str">
        <f t="shared" si="30"/>
        <v xml:space="preserve"> </v>
      </c>
      <c r="D460" s="39"/>
      <c r="E460" s="39"/>
      <c r="J460" s="15">
        <f t="shared" si="33"/>
        <v>0</v>
      </c>
      <c r="K460" s="2" t="str">
        <f t="shared" si="34"/>
        <v xml:space="preserve"> </v>
      </c>
      <c r="L460" s="2" t="str">
        <f t="shared" si="31"/>
        <v xml:space="preserve"> </v>
      </c>
      <c r="M460" s="2" t="str">
        <f t="shared" si="32"/>
        <v xml:space="preserve"> </v>
      </c>
    </row>
    <row r="461" spans="1:13" x14ac:dyDescent="0.25">
      <c r="A461" s="40" t="str">
        <f t="shared" si="30"/>
        <v xml:space="preserve"> </v>
      </c>
      <c r="D461" s="39"/>
      <c r="E461" s="39"/>
      <c r="J461" s="15">
        <f t="shared" si="33"/>
        <v>0</v>
      </c>
      <c r="K461" s="2" t="str">
        <f t="shared" si="34"/>
        <v xml:space="preserve"> </v>
      </c>
      <c r="L461" s="2" t="str">
        <f t="shared" si="31"/>
        <v xml:space="preserve"> </v>
      </c>
      <c r="M461" s="2" t="str">
        <f t="shared" si="32"/>
        <v xml:space="preserve"> </v>
      </c>
    </row>
    <row r="462" spans="1:13" x14ac:dyDescent="0.25">
      <c r="A462" s="40" t="str">
        <f t="shared" si="30"/>
        <v xml:space="preserve"> </v>
      </c>
      <c r="D462" s="39"/>
      <c r="E462" s="39"/>
      <c r="J462" s="15">
        <f t="shared" si="33"/>
        <v>0</v>
      </c>
      <c r="K462" s="2" t="str">
        <f t="shared" si="34"/>
        <v xml:space="preserve"> </v>
      </c>
      <c r="L462" s="2" t="str">
        <f t="shared" si="31"/>
        <v xml:space="preserve"> </v>
      </c>
      <c r="M462" s="2" t="str">
        <f t="shared" si="32"/>
        <v xml:space="preserve"> </v>
      </c>
    </row>
    <row r="463" spans="1:13" x14ac:dyDescent="0.25">
      <c r="A463" s="40" t="str">
        <f t="shared" ref="A463:A482" si="35">IF(COUNTIF(K463:M463,"ERROR")&gt;0,"ERROR"," ")</f>
        <v xml:space="preserve"> </v>
      </c>
      <c r="D463" s="39"/>
      <c r="E463" s="39"/>
      <c r="J463" s="15">
        <f t="shared" si="33"/>
        <v>0</v>
      </c>
      <c r="K463" s="2" t="str">
        <f t="shared" si="34"/>
        <v xml:space="preserve"> </v>
      </c>
      <c r="L463" s="2" t="str">
        <f t="shared" ref="L463:L482" si="36">IF(D463=0," ",IF(COUNTIF(ProfitLoss2,D463)&gt;0," ","ERROR"))</f>
        <v xml:space="preserve"> </v>
      </c>
      <c r="M463" s="2" t="str">
        <f t="shared" ref="M463:M482" si="37">IF(E463=0," ",IF(COUNTIF(BalanceSheetA,E463)&gt;0," ","ERROR"))</f>
        <v xml:space="preserve"> </v>
      </c>
    </row>
    <row r="464" spans="1:13" x14ac:dyDescent="0.25">
      <c r="A464" s="40" t="str">
        <f t="shared" si="35"/>
        <v xml:space="preserve"> </v>
      </c>
      <c r="D464" s="39"/>
      <c r="E464" s="39"/>
      <c r="J464" s="15">
        <f t="shared" ref="J464:J482" si="38">F464-G464+H464-I464</f>
        <v>0</v>
      </c>
      <c r="K464" s="2" t="str">
        <f t="shared" ref="K464:K482" si="39">IF(COUNTA(D464:E464)=2,"ERROR"," ")</f>
        <v xml:space="preserve"> </v>
      </c>
      <c r="L464" s="2" t="str">
        <f t="shared" si="36"/>
        <v xml:space="preserve"> </v>
      </c>
      <c r="M464" s="2" t="str">
        <f t="shared" si="37"/>
        <v xml:space="preserve"> </v>
      </c>
    </row>
    <row r="465" spans="1:13" x14ac:dyDescent="0.25">
      <c r="A465" s="40" t="str">
        <f t="shared" si="35"/>
        <v xml:space="preserve"> </v>
      </c>
      <c r="D465" s="39"/>
      <c r="E465" s="39"/>
      <c r="J465" s="15">
        <f t="shared" si="38"/>
        <v>0</v>
      </c>
      <c r="K465" s="2" t="str">
        <f t="shared" si="39"/>
        <v xml:space="preserve"> </v>
      </c>
      <c r="L465" s="2" t="str">
        <f t="shared" si="36"/>
        <v xml:space="preserve"> </v>
      </c>
      <c r="M465" s="2" t="str">
        <f t="shared" si="37"/>
        <v xml:space="preserve"> </v>
      </c>
    </row>
    <row r="466" spans="1:13" x14ac:dyDescent="0.25">
      <c r="A466" s="40" t="str">
        <f t="shared" si="35"/>
        <v xml:space="preserve"> </v>
      </c>
      <c r="D466" s="39"/>
      <c r="E466" s="39"/>
      <c r="J466" s="15">
        <f t="shared" si="38"/>
        <v>0</v>
      </c>
      <c r="K466" s="2" t="str">
        <f t="shared" si="39"/>
        <v xml:space="preserve"> </v>
      </c>
      <c r="L466" s="2" t="str">
        <f t="shared" si="36"/>
        <v xml:space="preserve"> </v>
      </c>
      <c r="M466" s="2" t="str">
        <f t="shared" si="37"/>
        <v xml:space="preserve"> </v>
      </c>
    </row>
    <row r="467" spans="1:13" x14ac:dyDescent="0.25">
      <c r="A467" s="40" t="str">
        <f t="shared" si="35"/>
        <v xml:space="preserve"> </v>
      </c>
      <c r="D467" s="39"/>
      <c r="E467" s="39"/>
      <c r="J467" s="15">
        <f t="shared" si="38"/>
        <v>0</v>
      </c>
      <c r="K467" s="2" t="str">
        <f t="shared" si="39"/>
        <v xml:space="preserve"> </v>
      </c>
      <c r="L467" s="2" t="str">
        <f t="shared" si="36"/>
        <v xml:space="preserve"> </v>
      </c>
      <c r="M467" s="2" t="str">
        <f t="shared" si="37"/>
        <v xml:space="preserve"> </v>
      </c>
    </row>
    <row r="468" spans="1:13" x14ac:dyDescent="0.25">
      <c r="A468" s="40" t="str">
        <f t="shared" si="35"/>
        <v xml:space="preserve"> </v>
      </c>
      <c r="D468" s="39"/>
      <c r="E468" s="39"/>
      <c r="J468" s="15">
        <f t="shared" si="38"/>
        <v>0</v>
      </c>
      <c r="K468" s="2" t="str">
        <f t="shared" si="39"/>
        <v xml:space="preserve"> </v>
      </c>
      <c r="L468" s="2" t="str">
        <f t="shared" si="36"/>
        <v xml:space="preserve"> </v>
      </c>
      <c r="M468" s="2" t="str">
        <f t="shared" si="37"/>
        <v xml:space="preserve"> </v>
      </c>
    </row>
    <row r="469" spans="1:13" x14ac:dyDescent="0.25">
      <c r="A469" s="40" t="str">
        <f t="shared" si="35"/>
        <v xml:space="preserve"> </v>
      </c>
      <c r="D469" s="39"/>
      <c r="E469" s="39"/>
      <c r="J469" s="15">
        <f t="shared" si="38"/>
        <v>0</v>
      </c>
      <c r="K469" s="2" t="str">
        <f t="shared" si="39"/>
        <v xml:space="preserve"> </v>
      </c>
      <c r="L469" s="2" t="str">
        <f t="shared" si="36"/>
        <v xml:space="preserve"> </v>
      </c>
      <c r="M469" s="2" t="str">
        <f t="shared" si="37"/>
        <v xml:space="preserve"> </v>
      </c>
    </row>
    <row r="470" spans="1:13" x14ac:dyDescent="0.25">
      <c r="A470" s="40" t="str">
        <f t="shared" si="35"/>
        <v xml:space="preserve"> </v>
      </c>
      <c r="D470" s="39"/>
      <c r="E470" s="39"/>
      <c r="J470" s="15">
        <f t="shared" si="38"/>
        <v>0</v>
      </c>
      <c r="K470" s="2" t="str">
        <f t="shared" si="39"/>
        <v xml:space="preserve"> </v>
      </c>
      <c r="L470" s="2" t="str">
        <f t="shared" si="36"/>
        <v xml:space="preserve"> </v>
      </c>
      <c r="M470" s="2" t="str">
        <f t="shared" si="37"/>
        <v xml:space="preserve"> </v>
      </c>
    </row>
    <row r="471" spans="1:13" x14ac:dyDescent="0.25">
      <c r="A471" s="40" t="str">
        <f t="shared" si="35"/>
        <v xml:space="preserve"> </v>
      </c>
      <c r="D471" s="39"/>
      <c r="E471" s="39"/>
      <c r="J471" s="15">
        <f t="shared" si="38"/>
        <v>0</v>
      </c>
      <c r="K471" s="2" t="str">
        <f t="shared" si="39"/>
        <v xml:space="preserve"> </v>
      </c>
      <c r="L471" s="2" t="str">
        <f t="shared" si="36"/>
        <v xml:space="preserve"> </v>
      </c>
      <c r="M471" s="2" t="str">
        <f t="shared" si="37"/>
        <v xml:space="preserve"> </v>
      </c>
    </row>
    <row r="472" spans="1:13" x14ac:dyDescent="0.25">
      <c r="A472" s="40" t="str">
        <f t="shared" si="35"/>
        <v xml:space="preserve"> </v>
      </c>
      <c r="D472" s="39"/>
      <c r="E472" s="39"/>
      <c r="J472" s="15">
        <f t="shared" si="38"/>
        <v>0</v>
      </c>
      <c r="K472" s="2" t="str">
        <f t="shared" si="39"/>
        <v xml:space="preserve"> </v>
      </c>
      <c r="L472" s="2" t="str">
        <f t="shared" si="36"/>
        <v xml:space="preserve"> </v>
      </c>
      <c r="M472" s="2" t="str">
        <f t="shared" si="37"/>
        <v xml:space="preserve"> </v>
      </c>
    </row>
    <row r="473" spans="1:13" x14ac:dyDescent="0.25">
      <c r="A473" s="40" t="str">
        <f t="shared" si="35"/>
        <v xml:space="preserve"> </v>
      </c>
      <c r="D473" s="39"/>
      <c r="E473" s="39"/>
      <c r="J473" s="15">
        <f t="shared" si="38"/>
        <v>0</v>
      </c>
      <c r="K473" s="2" t="str">
        <f t="shared" si="39"/>
        <v xml:space="preserve"> </v>
      </c>
      <c r="L473" s="2" t="str">
        <f t="shared" si="36"/>
        <v xml:space="preserve"> </v>
      </c>
      <c r="M473" s="2" t="str">
        <f t="shared" si="37"/>
        <v xml:space="preserve"> </v>
      </c>
    </row>
    <row r="474" spans="1:13" x14ac:dyDescent="0.25">
      <c r="A474" s="40" t="str">
        <f t="shared" si="35"/>
        <v xml:space="preserve"> </v>
      </c>
      <c r="D474" s="39"/>
      <c r="E474" s="39"/>
      <c r="J474" s="15">
        <f t="shared" si="38"/>
        <v>0</v>
      </c>
      <c r="K474" s="2" t="str">
        <f t="shared" si="39"/>
        <v xml:space="preserve"> </v>
      </c>
      <c r="L474" s="2" t="str">
        <f t="shared" si="36"/>
        <v xml:space="preserve"> </v>
      </c>
      <c r="M474" s="2" t="str">
        <f t="shared" si="37"/>
        <v xml:space="preserve"> </v>
      </c>
    </row>
    <row r="475" spans="1:13" x14ac:dyDescent="0.25">
      <c r="A475" s="40" t="str">
        <f t="shared" si="35"/>
        <v xml:space="preserve"> </v>
      </c>
      <c r="D475" s="39"/>
      <c r="E475" s="39"/>
      <c r="J475" s="15">
        <f t="shared" si="38"/>
        <v>0</v>
      </c>
      <c r="K475" s="2" t="str">
        <f t="shared" si="39"/>
        <v xml:space="preserve"> </v>
      </c>
      <c r="L475" s="2" t="str">
        <f t="shared" si="36"/>
        <v xml:space="preserve"> </v>
      </c>
      <c r="M475" s="2" t="str">
        <f t="shared" si="37"/>
        <v xml:space="preserve"> </v>
      </c>
    </row>
    <row r="476" spans="1:13" x14ac:dyDescent="0.25">
      <c r="A476" s="40" t="str">
        <f t="shared" si="35"/>
        <v xml:space="preserve"> </v>
      </c>
      <c r="D476" s="39"/>
      <c r="E476" s="39"/>
      <c r="J476" s="15">
        <f t="shared" si="38"/>
        <v>0</v>
      </c>
      <c r="K476" s="2" t="str">
        <f t="shared" si="39"/>
        <v xml:space="preserve"> </v>
      </c>
      <c r="L476" s="2" t="str">
        <f t="shared" si="36"/>
        <v xml:space="preserve"> </v>
      </c>
      <c r="M476" s="2" t="str">
        <f t="shared" si="37"/>
        <v xml:space="preserve"> </v>
      </c>
    </row>
    <row r="477" spans="1:13" x14ac:dyDescent="0.25">
      <c r="A477" s="40" t="str">
        <f t="shared" si="35"/>
        <v xml:space="preserve"> </v>
      </c>
      <c r="D477" s="39"/>
      <c r="E477" s="39"/>
      <c r="J477" s="15">
        <f t="shared" si="38"/>
        <v>0</v>
      </c>
      <c r="K477" s="2" t="str">
        <f t="shared" si="39"/>
        <v xml:space="preserve"> </v>
      </c>
      <c r="L477" s="2" t="str">
        <f t="shared" si="36"/>
        <v xml:space="preserve"> </v>
      </c>
      <c r="M477" s="2" t="str">
        <f t="shared" si="37"/>
        <v xml:space="preserve"> </v>
      </c>
    </row>
    <row r="478" spans="1:13" x14ac:dyDescent="0.25">
      <c r="A478" s="40" t="str">
        <f t="shared" si="35"/>
        <v xml:space="preserve"> </v>
      </c>
      <c r="D478" s="39"/>
      <c r="E478" s="39"/>
      <c r="J478" s="15">
        <f t="shared" si="38"/>
        <v>0</v>
      </c>
      <c r="K478" s="2" t="str">
        <f t="shared" si="39"/>
        <v xml:space="preserve"> </v>
      </c>
      <c r="L478" s="2" t="str">
        <f t="shared" si="36"/>
        <v xml:space="preserve"> </v>
      </c>
      <c r="M478" s="2" t="str">
        <f t="shared" si="37"/>
        <v xml:space="preserve"> </v>
      </c>
    </row>
    <row r="479" spans="1:13" x14ac:dyDescent="0.25">
      <c r="A479" s="40" t="str">
        <f t="shared" si="35"/>
        <v xml:space="preserve"> </v>
      </c>
      <c r="D479" s="39"/>
      <c r="E479" s="39"/>
      <c r="J479" s="15">
        <f t="shared" si="38"/>
        <v>0</v>
      </c>
      <c r="K479" s="2" t="str">
        <f t="shared" si="39"/>
        <v xml:space="preserve"> </v>
      </c>
      <c r="L479" s="2" t="str">
        <f t="shared" si="36"/>
        <v xml:space="preserve"> </v>
      </c>
      <c r="M479" s="2" t="str">
        <f t="shared" si="37"/>
        <v xml:space="preserve"> </v>
      </c>
    </row>
    <row r="480" spans="1:13" x14ac:dyDescent="0.25">
      <c r="A480" s="40" t="str">
        <f t="shared" si="35"/>
        <v xml:space="preserve"> </v>
      </c>
      <c r="D480" s="39"/>
      <c r="E480" s="39"/>
      <c r="J480" s="15">
        <f t="shared" si="38"/>
        <v>0</v>
      </c>
      <c r="K480" s="2" t="str">
        <f t="shared" si="39"/>
        <v xml:space="preserve"> </v>
      </c>
      <c r="L480" s="2" t="str">
        <f t="shared" si="36"/>
        <v xml:space="preserve"> </v>
      </c>
      <c r="M480" s="2" t="str">
        <f t="shared" si="37"/>
        <v xml:space="preserve"> </v>
      </c>
    </row>
    <row r="481" spans="1:13" x14ac:dyDescent="0.25">
      <c r="A481" s="40" t="str">
        <f t="shared" si="35"/>
        <v xml:space="preserve"> </v>
      </c>
      <c r="D481" s="39"/>
      <c r="E481" s="39"/>
      <c r="J481" s="15">
        <f t="shared" si="38"/>
        <v>0</v>
      </c>
      <c r="K481" s="2" t="str">
        <f t="shared" si="39"/>
        <v xml:space="preserve"> </v>
      </c>
      <c r="L481" s="2" t="str">
        <f t="shared" si="36"/>
        <v xml:space="preserve"> </v>
      </c>
      <c r="M481" s="2" t="str">
        <f t="shared" si="37"/>
        <v xml:space="preserve"> </v>
      </c>
    </row>
    <row r="482" spans="1:13" x14ac:dyDescent="0.25">
      <c r="A482" s="40" t="str">
        <f t="shared" si="35"/>
        <v xml:space="preserve"> </v>
      </c>
      <c r="D482" s="39"/>
      <c r="E482" s="39"/>
      <c r="J482" s="15">
        <f t="shared" si="38"/>
        <v>0</v>
      </c>
      <c r="K482" s="2" t="str">
        <f t="shared" si="39"/>
        <v xml:space="preserve"> </v>
      </c>
      <c r="L482" s="2" t="str">
        <f t="shared" si="36"/>
        <v xml:space="preserve"> </v>
      </c>
      <c r="M482" s="2" t="str">
        <f t="shared" si="37"/>
        <v xml:space="preserve"> </v>
      </c>
    </row>
    <row r="483" spans="1:13" x14ac:dyDescent="0.25">
      <c r="A483" s="40"/>
    </row>
    <row r="484" spans="1:13" ht="16.5" thickBot="1" x14ac:dyDescent="0.3">
      <c r="A484" s="40"/>
      <c r="F484" s="17">
        <f>SUM(F14:F483)</f>
        <v>0</v>
      </c>
      <c r="G484" s="17">
        <f>SUM(G14:G483)</f>
        <v>0</v>
      </c>
      <c r="H484" s="17">
        <f>SUM(H14:H483)</f>
        <v>0</v>
      </c>
      <c r="I484" s="17">
        <f>SUM(I14:I483)</f>
        <v>0</v>
      </c>
    </row>
    <row r="485" spans="1:13" ht="16.5" thickTop="1" x14ac:dyDescent="0.25">
      <c r="A485" s="40"/>
    </row>
    <row r="486" spans="1:13" x14ac:dyDescent="0.25">
      <c r="A486" s="40"/>
      <c r="C486" s="2" t="s">
        <v>296</v>
      </c>
      <c r="F486" s="4">
        <f>G484-F484</f>
        <v>0</v>
      </c>
    </row>
  </sheetData>
  <sheetProtection formatCells="0" formatColumns="0" formatRows="0" insertHyperlinks="0" deleteColumns="0" deleteRows="0" sort="0" autoFilter="0" pivotTables="0"/>
  <mergeCells count="4">
    <mergeCell ref="F11:G11"/>
    <mergeCell ref="H11:I11"/>
    <mergeCell ref="F12:G12"/>
    <mergeCell ref="H12:I12"/>
  </mergeCells>
  <dataValidations count="2">
    <dataValidation type="list" showInputMessage="1" showErrorMessage="1" sqref="D15:D482" xr:uid="{F7EA4B74-3E5F-4A87-A2A4-D5E9070D7310}">
      <formula1>ProfitLoss2</formula1>
    </dataValidation>
    <dataValidation type="list" showInputMessage="1" showErrorMessage="1" sqref="E15:E482" xr:uid="{DC9D512F-CB33-4D4C-B083-51A593F4D1BF}">
      <formula1>BalanceSheetA</formula1>
    </dataValidation>
  </dataValidations>
  <pageMargins left="0.75" right="0.75" top="1" bottom="1" header="0.5" footer="0.5"/>
  <pageSetup paperSize="9" scale="46" orientation="portrait" r:id="rId1"/>
  <headerFooter alignWithMargins="0"/>
  <colBreaks count="1" manualBreakCount="1">
    <brk id="10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2A9D3-539C-4248-BB0F-DC53E0947F4B}">
  <dimension ref="A1:Q428"/>
  <sheetViews>
    <sheetView zoomScale="89" zoomScaleNormal="89" workbookViewId="0">
      <pane ySplit="3" topLeftCell="A4" activePane="bottomLeft" state="frozen"/>
      <selection pane="bottomLeft" activeCell="A6" sqref="A6"/>
    </sheetView>
  </sheetViews>
  <sheetFormatPr defaultRowHeight="12.75" x14ac:dyDescent="0.2"/>
  <cols>
    <col min="1" max="1" width="17.7109375" style="12" customWidth="1"/>
    <col min="3" max="3" width="46.42578125" style="13" bestFit="1" customWidth="1"/>
    <col min="4" max="5" width="15.42578125" style="14" bestFit="1" customWidth="1"/>
    <col min="6" max="6" width="15.42578125" style="14" customWidth="1"/>
    <col min="7" max="7" width="13.7109375" style="14" customWidth="1"/>
    <col min="8" max="8" width="15.85546875" style="14" bestFit="1" customWidth="1"/>
    <col min="9" max="9" width="16" style="166" customWidth="1"/>
    <col min="10" max="10" width="3.85546875" style="82" customWidth="1"/>
    <col min="11" max="11" width="16.140625" bestFit="1" customWidth="1"/>
    <col min="12" max="12" width="4.140625" customWidth="1"/>
    <col min="13" max="13" width="8.85546875" customWidth="1"/>
    <col min="14" max="14" width="15.85546875" style="48" bestFit="1" customWidth="1"/>
    <col min="15" max="15" width="15.85546875" bestFit="1" customWidth="1"/>
    <col min="16" max="16" width="13.140625" bestFit="1" customWidth="1"/>
    <col min="17" max="17" width="13.85546875" bestFit="1" customWidth="1"/>
  </cols>
  <sheetData>
    <row r="1" spans="1:17" x14ac:dyDescent="0.2">
      <c r="A1" s="333"/>
      <c r="B1" s="334"/>
      <c r="C1" s="349" t="str">
        <f>Criteria!E15</f>
        <v>SURF SHOP</v>
      </c>
      <c r="D1" s="350"/>
      <c r="E1" s="350"/>
      <c r="F1" s="335"/>
      <c r="G1" s="336" t="s">
        <v>176</v>
      </c>
      <c r="H1" s="336"/>
      <c r="I1" s="337">
        <f>Criteria!E22</f>
        <v>2024</v>
      </c>
      <c r="J1" s="337"/>
      <c r="K1" s="337">
        <f>Criteria!E27</f>
        <v>2023</v>
      </c>
      <c r="L1" s="334"/>
      <c r="M1" s="334"/>
      <c r="N1" s="337">
        <f>Criteria!E22</f>
        <v>2024</v>
      </c>
      <c r="O1" s="337">
        <f>Criteria!E27</f>
        <v>2023</v>
      </c>
    </row>
    <row r="2" spans="1:17" x14ac:dyDescent="0.2">
      <c r="A2" s="338" t="s">
        <v>1055</v>
      </c>
      <c r="B2" s="334"/>
      <c r="C2" s="334"/>
      <c r="D2" s="518">
        <f>D400-E400</f>
        <v>0</v>
      </c>
      <c r="E2" s="518"/>
      <c r="F2" s="340" t="s">
        <v>450</v>
      </c>
      <c r="G2" s="335">
        <f>G400</f>
        <v>0</v>
      </c>
      <c r="H2" s="335">
        <f>D2-E2</f>
        <v>0</v>
      </c>
      <c r="I2" s="342">
        <f>I400</f>
        <v>0</v>
      </c>
      <c r="J2" s="343"/>
      <c r="K2" s="344">
        <f>K400</f>
        <v>0</v>
      </c>
      <c r="L2" s="334"/>
      <c r="M2" s="334"/>
      <c r="N2" s="321" t="s">
        <v>347</v>
      </c>
      <c r="O2" s="321" t="s">
        <v>347</v>
      </c>
    </row>
    <row r="3" spans="1:17" x14ac:dyDescent="0.2">
      <c r="A3" s="338" t="s">
        <v>596</v>
      </c>
      <c r="B3" s="351" t="s">
        <v>232</v>
      </c>
      <c r="C3" s="345" t="s">
        <v>233</v>
      </c>
      <c r="D3" s="338" t="s">
        <v>234</v>
      </c>
      <c r="E3" s="338" t="s">
        <v>235</v>
      </c>
      <c r="F3" s="346" t="s">
        <v>144</v>
      </c>
      <c r="G3" s="333"/>
      <c r="H3" s="333"/>
      <c r="I3" s="356"/>
      <c r="J3" s="348"/>
      <c r="K3" s="334"/>
      <c r="L3" s="334"/>
      <c r="M3" s="334"/>
      <c r="N3" s="344">
        <f>SUM(I6:I175)</f>
        <v>0</v>
      </c>
      <c r="O3" s="344">
        <f>SUM(K6:K175)</f>
        <v>0</v>
      </c>
    </row>
    <row r="4" spans="1:17" x14ac:dyDescent="0.2">
      <c r="A4" s="161"/>
      <c r="B4" s="164"/>
      <c r="C4" s="61" t="s">
        <v>947</v>
      </c>
      <c r="D4" s="161"/>
      <c r="E4" s="161"/>
      <c r="F4" s="83"/>
      <c r="G4" s="11"/>
      <c r="H4" s="11"/>
      <c r="I4" s="57"/>
      <c r="J4" s="65"/>
      <c r="N4" s="49"/>
    </row>
    <row r="5" spans="1:17" x14ac:dyDescent="0.2">
      <c r="A5" s="160"/>
      <c r="B5" s="60" t="s">
        <v>236</v>
      </c>
      <c r="C5" s="316" t="s">
        <v>237</v>
      </c>
      <c r="D5" s="90"/>
      <c r="E5" s="57"/>
      <c r="F5" s="57"/>
      <c r="G5" s="44"/>
      <c r="H5" s="44"/>
      <c r="I5" s="57"/>
      <c r="J5" s="65"/>
      <c r="K5" s="52" t="s">
        <v>233</v>
      </c>
      <c r="N5" s="49"/>
    </row>
    <row r="6" spans="1:17" x14ac:dyDescent="0.2">
      <c r="A6" s="315"/>
      <c r="B6" s="10" t="s">
        <v>238</v>
      </c>
      <c r="C6" s="319" t="s">
        <v>164</v>
      </c>
      <c r="D6" s="357"/>
      <c r="E6" s="356"/>
      <c r="F6" s="86"/>
      <c r="G6" s="53">
        <f>SUMIF(JournalsB!D$14:D$920,TrialBalanceB!M6,JournalsB!J$14:J$920)+SUMIF(JournalsB!E$14:E$920,TrialBalanceB!M6,JournalsB!J$14:J$920)</f>
        <v>0</v>
      </c>
      <c r="H6" s="363"/>
      <c r="I6" s="365">
        <f t="shared" ref="I6:I69" si="0">ROUND(D6-E6+G6+F6,0)</f>
        <v>0</v>
      </c>
      <c r="J6" s="81"/>
      <c r="K6" s="54">
        <f t="shared" ref="K6:K69" si="1">ROUND(SUM(A6),0)</f>
        <v>0</v>
      </c>
      <c r="M6" s="192" t="str">
        <f t="shared" ref="M6:M69" si="2">CONCATENATE(B6,C6)</f>
        <v>1000/001Sales</v>
      </c>
      <c r="N6" s="76"/>
      <c r="O6" s="77"/>
      <c r="P6" s="57"/>
      <c r="Q6" s="31"/>
    </row>
    <row r="7" spans="1:17" x14ac:dyDescent="0.2">
      <c r="A7" s="315"/>
      <c r="B7" s="60" t="s">
        <v>239</v>
      </c>
      <c r="C7" s="317" t="s">
        <v>240</v>
      </c>
      <c r="D7" s="357"/>
      <c r="E7" s="356"/>
      <c r="F7" s="86"/>
      <c r="G7" s="53">
        <f>SUMIF(JournalsB!D$14:D$920,TrialBalanceB!M7,JournalsB!J$14:J$920)+SUMIF(JournalsB!E$14:E$920,TrialBalanceB!M7,JournalsB!J$14:J$920)</f>
        <v>0</v>
      </c>
      <c r="H7" s="363"/>
      <c r="I7" s="365">
        <f t="shared" si="0"/>
        <v>0</v>
      </c>
      <c r="J7" s="81"/>
      <c r="K7" s="54">
        <f t="shared" si="1"/>
        <v>0</v>
      </c>
      <c r="M7" s="192" t="str">
        <f t="shared" si="2"/>
        <v>1000/002Sales 2</v>
      </c>
      <c r="N7" s="76"/>
      <c r="O7" s="77"/>
      <c r="P7" s="57"/>
      <c r="Q7" s="31"/>
    </row>
    <row r="8" spans="1:17" x14ac:dyDescent="0.2">
      <c r="A8" s="315"/>
      <c r="B8" s="60" t="s">
        <v>241</v>
      </c>
      <c r="C8" s="318" t="s">
        <v>365</v>
      </c>
      <c r="D8" s="348"/>
      <c r="E8" s="356"/>
      <c r="F8" s="86"/>
      <c r="G8" s="53">
        <f>SUMIF(JournalsB!D$14:D$920,TrialBalanceB!M8,JournalsB!J$14:J$920)+SUMIF(JournalsB!E$14:E$920,TrialBalanceB!M8,JournalsB!J$14:J$920)</f>
        <v>0</v>
      </c>
      <c r="H8" s="363"/>
      <c r="I8" s="365">
        <f t="shared" si="0"/>
        <v>0</v>
      </c>
      <c r="J8" s="81"/>
      <c r="K8" s="54">
        <f t="shared" si="1"/>
        <v>0</v>
      </c>
      <c r="M8" s="192" t="str">
        <f t="shared" si="2"/>
        <v>1000/003Rent received</v>
      </c>
      <c r="N8" s="76"/>
      <c r="O8" s="77"/>
      <c r="P8" s="57"/>
      <c r="Q8" s="31"/>
    </row>
    <row r="9" spans="1:17" x14ac:dyDescent="0.2">
      <c r="A9" s="315"/>
      <c r="B9" s="60" t="s">
        <v>242</v>
      </c>
      <c r="C9" s="316" t="s">
        <v>121</v>
      </c>
      <c r="D9" s="358"/>
      <c r="E9" s="356"/>
      <c r="F9" s="86"/>
      <c r="G9" s="53">
        <f>SUMIF(JournalsB!D$14:D$920,TrialBalanceB!M9,JournalsB!J$14:J$920)+SUMIF(JournalsB!E$14:E$920,TrialBalanceB!M9,JournalsB!J$14:J$920)</f>
        <v>0</v>
      </c>
      <c r="H9" s="363"/>
      <c r="I9" s="365">
        <f t="shared" si="0"/>
        <v>0</v>
      </c>
      <c r="J9" s="81"/>
      <c r="K9" s="54">
        <f t="shared" si="1"/>
        <v>0</v>
      </c>
      <c r="M9" s="192" t="str">
        <f t="shared" si="2"/>
        <v>2000/000COST OF SALES</v>
      </c>
      <c r="N9" s="76"/>
      <c r="O9" s="77"/>
      <c r="P9" s="57"/>
      <c r="Q9" s="31"/>
    </row>
    <row r="10" spans="1:17" x14ac:dyDescent="0.2">
      <c r="A10" s="315"/>
      <c r="B10" s="60" t="s">
        <v>243</v>
      </c>
      <c r="C10" s="319" t="s">
        <v>629</v>
      </c>
      <c r="D10" s="359"/>
      <c r="E10" s="356"/>
      <c r="F10" s="86"/>
      <c r="G10" s="53">
        <f>SUMIF(JournalsB!D$14:D$920,TrialBalanceB!M10,JournalsB!J$14:J$920)+SUMIF(JournalsB!E$14:E$920,TrialBalanceB!M10,JournalsB!J$14:J$920)</f>
        <v>0</v>
      </c>
      <c r="H10" s="363"/>
      <c r="I10" s="365">
        <f t="shared" si="0"/>
        <v>0</v>
      </c>
      <c r="J10" s="81"/>
      <c r="K10" s="54">
        <f t="shared" si="1"/>
        <v>0</v>
      </c>
      <c r="M10" s="192" t="str">
        <f t="shared" si="2"/>
        <v>2000/001Opening stock - Raw materials</v>
      </c>
      <c r="N10" s="76"/>
      <c r="O10" s="77"/>
      <c r="P10" s="57"/>
      <c r="Q10" s="31"/>
    </row>
    <row r="11" spans="1:17" x14ac:dyDescent="0.2">
      <c r="A11" s="315"/>
      <c r="B11" s="60" t="s">
        <v>393</v>
      </c>
      <c r="C11" s="317" t="s">
        <v>394</v>
      </c>
      <c r="D11" s="357"/>
      <c r="E11" s="356"/>
      <c r="F11" s="86"/>
      <c r="G11" s="53">
        <f>SUMIF(JournalsB!D$14:D$920,TrialBalanceB!M11,JournalsB!J$14:J$920)+SUMIF(JournalsB!E$14:E$920,TrialBalanceB!M11,JournalsB!J$14:J$920)</f>
        <v>0</v>
      </c>
      <c r="H11" s="363"/>
      <c r="I11" s="365">
        <f t="shared" si="0"/>
        <v>0</v>
      </c>
      <c r="J11" s="81"/>
      <c r="K11" s="54">
        <f t="shared" si="1"/>
        <v>0</v>
      </c>
      <c r="M11" s="192" t="str">
        <f t="shared" si="2"/>
        <v>2000/002Opening stock - WIP</v>
      </c>
      <c r="N11" s="76"/>
      <c r="O11" s="77"/>
      <c r="P11" s="57"/>
      <c r="Q11" s="31"/>
    </row>
    <row r="12" spans="1:17" x14ac:dyDescent="0.2">
      <c r="A12" s="315"/>
      <c r="B12" s="60" t="s">
        <v>395</v>
      </c>
      <c r="C12" s="317" t="s">
        <v>396</v>
      </c>
      <c r="D12" s="357"/>
      <c r="E12" s="356"/>
      <c r="F12" s="86"/>
      <c r="G12" s="53">
        <f>SUMIF(JournalsB!D$14:D$920,TrialBalanceB!M12,JournalsB!J$14:J$920)+SUMIF(JournalsB!E$14:E$920,TrialBalanceB!M12,JournalsB!J$14:J$920)</f>
        <v>0</v>
      </c>
      <c r="H12" s="363"/>
      <c r="I12" s="365">
        <f t="shared" si="0"/>
        <v>0</v>
      </c>
      <c r="J12" s="81"/>
      <c r="K12" s="54">
        <f t="shared" si="1"/>
        <v>0</v>
      </c>
      <c r="M12" s="192" t="str">
        <f t="shared" si="2"/>
        <v>2000/003Opening stock - Finished goods</v>
      </c>
      <c r="N12" s="76"/>
      <c r="O12" s="77"/>
      <c r="P12" s="57"/>
      <c r="Q12" s="31"/>
    </row>
    <row r="13" spans="1:17" x14ac:dyDescent="0.2">
      <c r="A13" s="315"/>
      <c r="B13" s="60" t="s">
        <v>397</v>
      </c>
      <c r="C13" s="317" t="s">
        <v>398</v>
      </c>
      <c r="D13" s="357"/>
      <c r="E13" s="356"/>
      <c r="F13" s="86"/>
      <c r="G13" s="53">
        <f>SUMIF(JournalsB!D$14:D$920,TrialBalanceB!M13,JournalsB!J$14:J$920)+SUMIF(JournalsB!E$14:E$920,TrialBalanceB!M13,JournalsB!J$14:J$920)</f>
        <v>0</v>
      </c>
      <c r="H13" s="363"/>
      <c r="I13" s="365">
        <f t="shared" si="0"/>
        <v>0</v>
      </c>
      <c r="J13" s="81"/>
      <c r="K13" s="54">
        <f t="shared" si="1"/>
        <v>0</v>
      </c>
      <c r="M13" s="192" t="str">
        <f t="shared" si="2"/>
        <v>2000/004Opening stock - Trading stock</v>
      </c>
      <c r="N13" s="76"/>
      <c r="O13" s="77"/>
      <c r="P13" s="57"/>
      <c r="Q13" s="31"/>
    </row>
    <row r="14" spans="1:17" x14ac:dyDescent="0.2">
      <c r="A14" s="315"/>
      <c r="B14" s="10" t="s">
        <v>399</v>
      </c>
      <c r="C14" s="317" t="s">
        <v>276</v>
      </c>
      <c r="D14" s="357"/>
      <c r="E14" s="356"/>
      <c r="F14" s="86"/>
      <c r="G14" s="53">
        <f>SUMIF(JournalsB!D$14:D$920,TrialBalanceB!M14,JournalsB!J$14:J$920)+SUMIF(JournalsB!E$14:E$920,TrialBalanceB!M14,JournalsB!J$14:J$920)</f>
        <v>0</v>
      </c>
      <c r="H14" s="363"/>
      <c r="I14" s="365">
        <f t="shared" si="0"/>
        <v>0</v>
      </c>
      <c r="J14" s="81"/>
      <c r="K14" s="54">
        <f t="shared" si="1"/>
        <v>0</v>
      </c>
      <c r="M14" s="192" t="str">
        <f t="shared" si="2"/>
        <v>2000/010Purchases</v>
      </c>
      <c r="N14" s="76"/>
      <c r="O14" s="77"/>
      <c r="P14" s="57"/>
      <c r="Q14" s="31"/>
    </row>
    <row r="15" spans="1:17" x14ac:dyDescent="0.2">
      <c r="A15" s="315"/>
      <c r="B15" s="10" t="s">
        <v>400</v>
      </c>
      <c r="C15" s="352"/>
      <c r="D15" s="356"/>
      <c r="E15" s="356"/>
      <c r="F15" s="86"/>
      <c r="G15" s="53">
        <f>SUMIF(JournalsB!D$14:D$920,TrialBalanceB!M15,JournalsB!J$14:J$920)+SUMIF(JournalsB!E$14:E$920,TrialBalanceB!M15,JournalsB!J$14:J$920)</f>
        <v>0</v>
      </c>
      <c r="H15" s="363"/>
      <c r="I15" s="365">
        <f t="shared" si="0"/>
        <v>0</v>
      </c>
      <c r="J15" s="81"/>
      <c r="K15" s="54">
        <f t="shared" si="1"/>
        <v>0</v>
      </c>
      <c r="M15" s="192" t="str">
        <f t="shared" si="2"/>
        <v>2000/011</v>
      </c>
      <c r="N15" s="76"/>
      <c r="O15" s="77"/>
      <c r="P15" s="57"/>
      <c r="Q15" s="31"/>
    </row>
    <row r="16" spans="1:17" x14ac:dyDescent="0.2">
      <c r="A16" s="315"/>
      <c r="B16" s="60" t="s">
        <v>401</v>
      </c>
      <c r="C16" s="353"/>
      <c r="D16" s="348"/>
      <c r="E16" s="356"/>
      <c r="F16" s="86"/>
      <c r="G16" s="53">
        <f>SUMIF(JournalsB!D$14:D$920,TrialBalanceB!M16,JournalsB!J$14:J$920)+SUMIF(JournalsB!E$14:E$920,TrialBalanceB!M16,JournalsB!J$14:J$920)</f>
        <v>0</v>
      </c>
      <c r="H16" s="363"/>
      <c r="I16" s="365">
        <f t="shared" si="0"/>
        <v>0</v>
      </c>
      <c r="J16" s="81"/>
      <c r="K16" s="54">
        <f t="shared" si="1"/>
        <v>0</v>
      </c>
      <c r="M16" s="192" t="str">
        <f t="shared" si="2"/>
        <v>2000/012</v>
      </c>
      <c r="N16" s="76"/>
      <c r="O16" s="77"/>
      <c r="P16" s="57"/>
      <c r="Q16" s="31"/>
    </row>
    <row r="17" spans="1:17" x14ac:dyDescent="0.2">
      <c r="A17" s="315"/>
      <c r="B17" s="60" t="s">
        <v>402</v>
      </c>
      <c r="C17" s="353"/>
      <c r="D17" s="348"/>
      <c r="E17" s="356"/>
      <c r="F17" s="86"/>
      <c r="G17" s="53">
        <f>SUMIF(JournalsB!D$14:D$920,TrialBalanceB!M17,JournalsB!J$14:J$920)+SUMIF(JournalsB!E$14:E$920,TrialBalanceB!M17,JournalsB!J$14:J$920)</f>
        <v>0</v>
      </c>
      <c r="H17" s="363"/>
      <c r="I17" s="365">
        <f t="shared" si="0"/>
        <v>0</v>
      </c>
      <c r="J17" s="81"/>
      <c r="K17" s="54">
        <f t="shared" si="1"/>
        <v>0</v>
      </c>
      <c r="M17" s="192" t="str">
        <f t="shared" si="2"/>
        <v>2000/013</v>
      </c>
      <c r="N17" s="76"/>
      <c r="O17" s="77"/>
      <c r="P17" s="57"/>
      <c r="Q17" s="31"/>
    </row>
    <row r="18" spans="1:17" x14ac:dyDescent="0.2">
      <c r="A18" s="315"/>
      <c r="B18" s="60" t="s">
        <v>403</v>
      </c>
      <c r="C18" s="353"/>
      <c r="D18" s="348"/>
      <c r="E18" s="356"/>
      <c r="F18" s="86"/>
      <c r="G18" s="53">
        <f>SUMIF(JournalsB!D$14:D$920,TrialBalanceB!M18,JournalsB!J$14:J$920)+SUMIF(JournalsB!E$14:E$920,TrialBalanceB!M18,JournalsB!J$14:J$920)</f>
        <v>0</v>
      </c>
      <c r="H18" s="363"/>
      <c r="I18" s="365">
        <f t="shared" si="0"/>
        <v>0</v>
      </c>
      <c r="J18" s="81"/>
      <c r="K18" s="54">
        <f t="shared" si="1"/>
        <v>0</v>
      </c>
      <c r="M18" s="192" t="str">
        <f t="shared" si="2"/>
        <v>2000/014</v>
      </c>
      <c r="N18" s="76"/>
      <c r="O18" s="77"/>
      <c r="P18" s="57"/>
      <c r="Q18" s="31"/>
    </row>
    <row r="19" spans="1:17" x14ac:dyDescent="0.2">
      <c r="A19" s="315"/>
      <c r="B19" s="60" t="s">
        <v>404</v>
      </c>
      <c r="C19" s="353"/>
      <c r="D19" s="348"/>
      <c r="E19" s="356"/>
      <c r="F19" s="86"/>
      <c r="G19" s="53">
        <f>SUMIF(JournalsB!D$14:D$920,TrialBalanceB!M19,JournalsB!J$14:J$920)+SUMIF(JournalsB!E$14:E$920,TrialBalanceB!M19,JournalsB!J$14:J$920)</f>
        <v>0</v>
      </c>
      <c r="H19" s="363"/>
      <c r="I19" s="365">
        <f t="shared" si="0"/>
        <v>0</v>
      </c>
      <c r="J19" s="81"/>
      <c r="K19" s="54">
        <f t="shared" si="1"/>
        <v>0</v>
      </c>
      <c r="M19" s="192" t="str">
        <f t="shared" si="2"/>
        <v>2000/015</v>
      </c>
      <c r="N19" s="76"/>
      <c r="O19" s="77"/>
      <c r="P19" s="57"/>
      <c r="Q19" s="31"/>
    </row>
    <row r="20" spans="1:17" x14ac:dyDescent="0.2">
      <c r="A20" s="315"/>
      <c r="B20" s="60" t="s">
        <v>405</v>
      </c>
      <c r="C20" s="317" t="s">
        <v>406</v>
      </c>
      <c r="D20" s="357"/>
      <c r="E20" s="356"/>
      <c r="F20" s="86"/>
      <c r="G20" s="53">
        <f>SUMIF(JournalsB!D$14:D$920,TrialBalanceB!M20,JournalsB!J$14:J$920)+SUMIF(JournalsB!E$14:E$920,TrialBalanceB!M20,JournalsB!J$14:J$920)</f>
        <v>0</v>
      </c>
      <c r="H20" s="363"/>
      <c r="I20" s="365">
        <f t="shared" si="0"/>
        <v>0</v>
      </c>
      <c r="J20" s="81"/>
      <c r="K20" s="54">
        <f t="shared" si="1"/>
        <v>0</v>
      </c>
      <c r="M20" s="192" t="str">
        <f t="shared" si="2"/>
        <v>2000/050Closing stock - Raw materials</v>
      </c>
      <c r="N20" s="76"/>
      <c r="O20" s="77"/>
      <c r="P20" s="57"/>
      <c r="Q20" s="31"/>
    </row>
    <row r="21" spans="1:17" x14ac:dyDescent="0.2">
      <c r="A21" s="315"/>
      <c r="B21" s="60" t="s">
        <v>407</v>
      </c>
      <c r="C21" s="317" t="s">
        <v>408</v>
      </c>
      <c r="D21" s="357"/>
      <c r="E21" s="356"/>
      <c r="F21" s="86"/>
      <c r="G21" s="53">
        <f>SUMIF(JournalsB!D$14:D$920,TrialBalanceB!M21,JournalsB!J$14:J$920)+SUMIF(JournalsB!E$14:E$920,TrialBalanceB!M21,JournalsB!J$14:J$920)</f>
        <v>0</v>
      </c>
      <c r="H21" s="363"/>
      <c r="I21" s="365">
        <f t="shared" si="0"/>
        <v>0</v>
      </c>
      <c r="J21" s="81"/>
      <c r="K21" s="54">
        <f t="shared" si="1"/>
        <v>0</v>
      </c>
      <c r="M21" s="192" t="str">
        <f t="shared" si="2"/>
        <v>2000/051Closing stock - WIP</v>
      </c>
      <c r="N21" s="76"/>
      <c r="O21" s="77"/>
      <c r="P21" s="57"/>
      <c r="Q21" s="31"/>
    </row>
    <row r="22" spans="1:17" x14ac:dyDescent="0.2">
      <c r="A22" s="315"/>
      <c r="B22" s="60" t="s">
        <v>409</v>
      </c>
      <c r="C22" s="317" t="s">
        <v>410</v>
      </c>
      <c r="D22" s="357"/>
      <c r="E22" s="356"/>
      <c r="F22" s="86"/>
      <c r="G22" s="53">
        <f>SUMIF(JournalsB!D$14:D$920,TrialBalanceB!M22,JournalsB!J$14:J$920)+SUMIF(JournalsB!E$14:E$920,TrialBalanceB!M22,JournalsB!J$14:J$920)</f>
        <v>0</v>
      </c>
      <c r="H22" s="363"/>
      <c r="I22" s="365">
        <f t="shared" si="0"/>
        <v>0</v>
      </c>
      <c r="J22" s="81"/>
      <c r="K22" s="54">
        <f t="shared" si="1"/>
        <v>0</v>
      </c>
      <c r="M22" s="192" t="str">
        <f t="shared" si="2"/>
        <v>2000/052Closing stock - Finished goods</v>
      </c>
      <c r="N22" s="76"/>
      <c r="O22" s="77"/>
      <c r="P22" s="57"/>
      <c r="Q22" s="31"/>
    </row>
    <row r="23" spans="1:17" x14ac:dyDescent="0.2">
      <c r="A23" s="315"/>
      <c r="B23" s="60" t="s">
        <v>411</v>
      </c>
      <c r="C23" s="317" t="s">
        <v>412</v>
      </c>
      <c r="D23" s="357"/>
      <c r="E23" s="356"/>
      <c r="F23" s="86"/>
      <c r="G23" s="53">
        <f>SUMIF(JournalsB!D$14:D$920,TrialBalanceB!M23,JournalsB!J$14:J$920)+SUMIF(JournalsB!E$14:E$920,TrialBalanceB!M23,JournalsB!J$14:J$920)</f>
        <v>0</v>
      </c>
      <c r="H23" s="363"/>
      <c r="I23" s="365">
        <f t="shared" si="0"/>
        <v>0</v>
      </c>
      <c r="J23" s="81"/>
      <c r="K23" s="54">
        <f t="shared" si="1"/>
        <v>0</v>
      </c>
      <c r="M23" s="192" t="str">
        <f t="shared" si="2"/>
        <v>2000/053Closing stock - Trading stock</v>
      </c>
      <c r="N23" s="76"/>
      <c r="O23" s="77"/>
      <c r="P23" s="57"/>
      <c r="Q23" s="31"/>
    </row>
    <row r="24" spans="1:17" x14ac:dyDescent="0.2">
      <c r="A24" s="315"/>
      <c r="B24" s="62" t="s">
        <v>320</v>
      </c>
      <c r="C24" s="321" t="s">
        <v>319</v>
      </c>
      <c r="D24" s="346"/>
      <c r="E24" s="356"/>
      <c r="F24" s="86"/>
      <c r="G24" s="53">
        <f>SUMIF(JournalsB!D$14:D$920,TrialBalanceB!M24,JournalsB!J$14:J$920)+SUMIF(JournalsB!E$14:E$920,TrialBalanceB!M24,JournalsB!J$14:J$920)</f>
        <v>0</v>
      </c>
      <c r="H24" s="363"/>
      <c r="I24" s="365">
        <f t="shared" si="0"/>
        <v>0</v>
      </c>
      <c r="J24" s="81"/>
      <c r="K24" s="54">
        <f t="shared" si="1"/>
        <v>0</v>
      </c>
      <c r="M24" s="192" t="str">
        <f t="shared" si="2"/>
        <v>2050/000OTHER OPERATING INCOME</v>
      </c>
      <c r="N24" s="76"/>
      <c r="O24" s="77"/>
      <c r="P24" s="57"/>
      <c r="Q24" s="31"/>
    </row>
    <row r="25" spans="1:17" x14ac:dyDescent="0.2">
      <c r="A25" s="315"/>
      <c r="B25" s="62" t="s">
        <v>321</v>
      </c>
      <c r="C25" s="318" t="str">
        <f>CONCATENATE("Insurance claims - ",Criteria!H15)</f>
        <v>Insurance claims - Surf Shop</v>
      </c>
      <c r="D25" s="356"/>
      <c r="E25" s="356"/>
      <c r="F25" s="86"/>
      <c r="G25" s="53">
        <f>SUMIF(JournalsB!D$14:D$920,TrialBalanceB!M25,JournalsB!J$14:J$920)+SUMIF(JournalsB!E$14:E$920,TrialBalanceB!M25,JournalsB!J$14:J$920)</f>
        <v>0</v>
      </c>
      <c r="H25" s="363"/>
      <c r="I25" s="365">
        <f t="shared" si="0"/>
        <v>0</v>
      </c>
      <c r="J25" s="81"/>
      <c r="K25" s="54">
        <f t="shared" si="1"/>
        <v>0</v>
      </c>
      <c r="M25" s="192" t="str">
        <f t="shared" si="2"/>
        <v>2050/001Insurance claims - Surf Shop</v>
      </c>
      <c r="N25" s="76"/>
      <c r="O25" s="77"/>
      <c r="P25" s="57"/>
      <c r="Q25" s="31"/>
    </row>
    <row r="26" spans="1:17" x14ac:dyDescent="0.2">
      <c r="A26" s="315"/>
      <c r="B26" s="62" t="s">
        <v>322</v>
      </c>
      <c r="C26" s="318" t="s">
        <v>809</v>
      </c>
      <c r="D26" s="348"/>
      <c r="E26" s="356"/>
      <c r="F26" s="86"/>
      <c r="G26" s="53">
        <f>SUMIF(JournalsB!D$14:D$920,TrialBalanceB!M26,JournalsB!J$14:J$920)+SUMIF(JournalsB!E$14:E$920,TrialBalanceB!M26,JournalsB!J$14:J$920)</f>
        <v>0</v>
      </c>
      <c r="H26" s="363"/>
      <c r="I26" s="365">
        <f t="shared" si="0"/>
        <v>0</v>
      </c>
      <c r="J26" s="81"/>
      <c r="K26" s="54">
        <f t="shared" si="1"/>
        <v>0</v>
      </c>
      <c r="M26" s="192" t="str">
        <f t="shared" si="2"/>
        <v>2050/002Government grants received</v>
      </c>
      <c r="N26" s="76"/>
      <c r="O26" s="77"/>
      <c r="P26" s="57"/>
      <c r="Q26" s="31"/>
    </row>
    <row r="27" spans="1:17" x14ac:dyDescent="0.2">
      <c r="A27" s="315"/>
      <c r="B27" s="62" t="s">
        <v>323</v>
      </c>
      <c r="C27" s="353"/>
      <c r="D27" s="348"/>
      <c r="E27" s="356"/>
      <c r="F27" s="86"/>
      <c r="G27" s="53">
        <f>SUMIF(JournalsB!D$14:D$920,TrialBalanceB!M27,JournalsB!J$14:J$920)+SUMIF(JournalsB!E$14:E$920,TrialBalanceB!M27,JournalsB!J$14:J$920)</f>
        <v>0</v>
      </c>
      <c r="H27" s="363"/>
      <c r="I27" s="365">
        <f t="shared" si="0"/>
        <v>0</v>
      </c>
      <c r="J27" s="81"/>
      <c r="K27" s="54">
        <f t="shared" si="1"/>
        <v>0</v>
      </c>
      <c r="M27" s="192" t="str">
        <f t="shared" si="2"/>
        <v>2050/003</v>
      </c>
      <c r="N27" s="76"/>
      <c r="O27" s="77"/>
      <c r="P27" s="57"/>
      <c r="Q27" s="31"/>
    </row>
    <row r="28" spans="1:17" x14ac:dyDescent="0.2">
      <c r="A28" s="315"/>
      <c r="B28" s="62" t="s">
        <v>324</v>
      </c>
      <c r="C28" s="353"/>
      <c r="D28" s="348"/>
      <c r="E28" s="356"/>
      <c r="F28" s="86"/>
      <c r="G28" s="53">
        <f>SUMIF(JournalsB!D$14:D$920,TrialBalanceB!M28,JournalsB!J$14:J$920)+SUMIF(JournalsB!E$14:E$920,TrialBalanceB!M28,JournalsB!J$14:J$920)</f>
        <v>0</v>
      </c>
      <c r="H28" s="363"/>
      <c r="I28" s="365">
        <f t="shared" si="0"/>
        <v>0</v>
      </c>
      <c r="J28" s="81"/>
      <c r="K28" s="54">
        <f t="shared" si="1"/>
        <v>0</v>
      </c>
      <c r="M28" s="192" t="str">
        <f t="shared" si="2"/>
        <v>2050/004</v>
      </c>
      <c r="N28" s="76"/>
      <c r="O28" s="77"/>
      <c r="P28" s="57"/>
      <c r="Q28" s="31"/>
    </row>
    <row r="29" spans="1:17" x14ac:dyDescent="0.2">
      <c r="A29" s="315"/>
      <c r="B29" s="62" t="s">
        <v>325</v>
      </c>
      <c r="C29" s="353"/>
      <c r="D29" s="348"/>
      <c r="E29" s="356"/>
      <c r="F29" s="86"/>
      <c r="G29" s="53">
        <f>SUMIF(JournalsB!D$14:D$920,TrialBalanceB!M29,JournalsB!J$14:J$920)+SUMIF(JournalsB!E$14:E$920,TrialBalanceB!M29,JournalsB!J$14:J$920)</f>
        <v>0</v>
      </c>
      <c r="H29" s="363"/>
      <c r="I29" s="365">
        <f t="shared" si="0"/>
        <v>0</v>
      </c>
      <c r="J29" s="81"/>
      <c r="K29" s="54">
        <f t="shared" si="1"/>
        <v>0</v>
      </c>
      <c r="M29" s="192" t="str">
        <f t="shared" si="2"/>
        <v>2050/005</v>
      </c>
      <c r="N29" s="76"/>
      <c r="O29" s="77"/>
      <c r="P29" s="57"/>
      <c r="Q29" s="31"/>
    </row>
    <row r="30" spans="1:17" x14ac:dyDescent="0.2">
      <c r="A30" s="315"/>
      <c r="B30" s="49" t="s">
        <v>1156</v>
      </c>
      <c r="C30" s="318" t="s">
        <v>1157</v>
      </c>
      <c r="D30" s="348"/>
      <c r="E30" s="356"/>
      <c r="F30" s="86"/>
      <c r="G30" s="53">
        <f>SUMIF(JournalsB!D$14:D$920,TrialBalanceB!M30,JournalsB!J$14:J$920)+SUMIF(JournalsB!E$14:E$920,TrialBalanceB!M30,JournalsB!J$14:J$920)</f>
        <v>0</v>
      </c>
      <c r="H30" s="363"/>
      <c r="I30" s="365">
        <f t="shared" ref="I30" si="3">ROUND(D30-E30+G30+F30,0)</f>
        <v>0</v>
      </c>
      <c r="J30" s="81"/>
      <c r="K30" s="54">
        <f t="shared" ref="K30" si="4">ROUND(SUM(A30),0)</f>
        <v>0</v>
      </c>
      <c r="M30" s="192" t="str">
        <f t="shared" ref="M30" si="5">CONCATENATE(B30,C30)</f>
        <v>2050/006Recoupment of depreciation</v>
      </c>
      <c r="N30" s="76"/>
      <c r="O30" s="77"/>
      <c r="P30" s="57"/>
      <c r="Q30" s="31"/>
    </row>
    <row r="31" spans="1:17" x14ac:dyDescent="0.2">
      <c r="A31" s="315"/>
      <c r="B31" s="49" t="s">
        <v>631</v>
      </c>
      <c r="C31" s="321" t="s">
        <v>630</v>
      </c>
      <c r="D31" s="346"/>
      <c r="E31" s="356"/>
      <c r="F31" s="86"/>
      <c r="G31" s="53">
        <f>SUMIF(JournalsB!D$14:D$920,TrialBalanceB!M31,JournalsB!J$14:J$920)+SUMIF(JournalsB!E$14:E$920,TrialBalanceB!M31,JournalsB!J$14:J$920)</f>
        <v>0</v>
      </c>
      <c r="H31" s="363"/>
      <c r="I31" s="365">
        <f t="shared" si="0"/>
        <v>0</v>
      </c>
      <c r="J31" s="81"/>
      <c r="K31" s="54">
        <f t="shared" si="1"/>
        <v>0</v>
      </c>
      <c r="M31" s="192" t="str">
        <f t="shared" si="2"/>
        <v>2060/000NET (PROFIT)/LOSS OTHER</v>
      </c>
      <c r="N31" s="76"/>
      <c r="O31" s="77"/>
      <c r="P31" s="57"/>
      <c r="Q31" s="31"/>
    </row>
    <row r="32" spans="1:17" x14ac:dyDescent="0.2">
      <c r="A32" s="315"/>
      <c r="B32" s="49" t="s">
        <v>544</v>
      </c>
      <c r="C32" s="318"/>
      <c r="D32" s="356"/>
      <c r="E32" s="356"/>
      <c r="F32" s="86"/>
      <c r="G32" s="53">
        <f>SUMIF(JournalsB!D$14:D$920,TrialBalanceB!M32,JournalsB!J$14:J$920)+SUMIF(JournalsB!E$14:E$920,TrialBalanceB!M32,JournalsB!J$14:J$920)</f>
        <v>0</v>
      </c>
      <c r="H32" s="363"/>
      <c r="I32" s="365">
        <f t="shared" si="0"/>
        <v>0</v>
      </c>
      <c r="J32" s="81"/>
      <c r="K32" s="54">
        <f t="shared" si="1"/>
        <v>0</v>
      </c>
      <c r="M32" s="192" t="str">
        <f t="shared" si="2"/>
        <v>2060/001</v>
      </c>
      <c r="N32" s="76"/>
      <c r="O32" s="77"/>
      <c r="P32" s="57"/>
      <c r="Q32" s="31"/>
    </row>
    <row r="33" spans="1:17" x14ac:dyDescent="0.2">
      <c r="A33" s="315"/>
      <c r="B33" s="49" t="s">
        <v>545</v>
      </c>
      <c r="C33" s="323"/>
      <c r="D33" s="348"/>
      <c r="E33" s="356"/>
      <c r="F33" s="86"/>
      <c r="G33" s="53">
        <f>SUMIF(JournalsB!D$14:D$920,TrialBalanceB!M33,JournalsB!J$14:J$920)+SUMIF(JournalsB!E$14:E$920,TrialBalanceB!M33,JournalsB!J$14:J$920)</f>
        <v>0</v>
      </c>
      <c r="H33" s="363"/>
      <c r="I33" s="365">
        <f t="shared" si="0"/>
        <v>0</v>
      </c>
      <c r="J33" s="81"/>
      <c r="K33" s="54">
        <f t="shared" si="1"/>
        <v>0</v>
      </c>
      <c r="M33" s="192" t="str">
        <f t="shared" si="2"/>
        <v>2060/002</v>
      </c>
      <c r="N33" s="76"/>
      <c r="O33" s="77"/>
      <c r="P33" s="57"/>
      <c r="Q33" s="31"/>
    </row>
    <row r="34" spans="1:17" x14ac:dyDescent="0.2">
      <c r="A34" s="315"/>
      <c r="B34" s="49" t="s">
        <v>546</v>
      </c>
      <c r="C34" s="323"/>
      <c r="D34" s="348"/>
      <c r="E34" s="356"/>
      <c r="F34" s="86"/>
      <c r="G34" s="53">
        <f>SUMIF(JournalsB!D$14:D$920,TrialBalanceB!M34,JournalsB!J$14:J$920)+SUMIF(JournalsB!E$14:E$920,TrialBalanceB!M34,JournalsB!J$14:J$920)</f>
        <v>0</v>
      </c>
      <c r="H34" s="363"/>
      <c r="I34" s="365">
        <f t="shared" si="0"/>
        <v>0</v>
      </c>
      <c r="J34" s="81"/>
      <c r="K34" s="54">
        <f t="shared" si="1"/>
        <v>0</v>
      </c>
      <c r="M34" s="192" t="str">
        <f t="shared" si="2"/>
        <v>2060/003</v>
      </c>
      <c r="N34" s="76"/>
      <c r="O34" s="77"/>
      <c r="P34" s="57"/>
      <c r="Q34" s="31"/>
    </row>
    <row r="35" spans="1:17" x14ac:dyDescent="0.2">
      <c r="A35" s="315"/>
      <c r="B35" s="49" t="s">
        <v>547</v>
      </c>
      <c r="C35" s="323"/>
      <c r="D35" s="348"/>
      <c r="E35" s="356"/>
      <c r="F35" s="86"/>
      <c r="G35" s="53">
        <f>SUMIF(JournalsB!D$14:D$920,TrialBalanceB!M35,JournalsB!J$14:J$920)+SUMIF(JournalsB!E$14:E$920,TrialBalanceB!M35,JournalsB!J$14:J$920)</f>
        <v>0</v>
      </c>
      <c r="H35" s="363"/>
      <c r="I35" s="365">
        <f t="shared" si="0"/>
        <v>0</v>
      </c>
      <c r="J35" s="81"/>
      <c r="K35" s="54">
        <f t="shared" si="1"/>
        <v>0</v>
      </c>
      <c r="M35" s="192" t="str">
        <f t="shared" si="2"/>
        <v>2060/004</v>
      </c>
      <c r="N35" s="76"/>
      <c r="O35" s="77"/>
      <c r="P35" s="57"/>
      <c r="Q35" s="31"/>
    </row>
    <row r="36" spans="1:17" x14ac:dyDescent="0.2">
      <c r="A36" s="315"/>
      <c r="B36" s="60" t="s">
        <v>413</v>
      </c>
      <c r="C36" s="316" t="s">
        <v>1050</v>
      </c>
      <c r="D36" s="358"/>
      <c r="E36" s="356"/>
      <c r="F36" s="86"/>
      <c r="G36" s="53">
        <f>SUMIF(JournalsB!D$14:D$920,TrialBalanceB!M36,JournalsB!J$14:J$920)+SUMIF(JournalsB!E$14:E$920,TrialBalanceB!M36,JournalsB!J$14:J$920)</f>
        <v>0</v>
      </c>
      <c r="H36" s="363"/>
      <c r="I36" s="365">
        <f t="shared" si="0"/>
        <v>0</v>
      </c>
      <c r="J36" s="81"/>
      <c r="K36" s="54">
        <f t="shared" si="1"/>
        <v>0</v>
      </c>
      <c r="M36" s="192" t="str">
        <f t="shared" si="2"/>
        <v>2100/000OPERATING EXPENSES</v>
      </c>
      <c r="N36" s="76"/>
      <c r="O36" s="77"/>
      <c r="P36" s="57"/>
      <c r="Q36" s="31"/>
    </row>
    <row r="37" spans="1:17" x14ac:dyDescent="0.2">
      <c r="A37" s="315"/>
      <c r="B37" s="60" t="s">
        <v>414</v>
      </c>
      <c r="C37" s="317" t="s">
        <v>277</v>
      </c>
      <c r="D37" s="357"/>
      <c r="E37" s="356"/>
      <c r="F37" s="86"/>
      <c r="G37" s="53">
        <f>SUMIF(JournalsB!D$14:D$920,TrialBalanceB!M37,JournalsB!J$14:J$920)+SUMIF(JournalsB!E$14:E$920,TrialBalanceB!M37,JournalsB!J$14:J$920)</f>
        <v>0</v>
      </c>
      <c r="H37" s="363"/>
      <c r="I37" s="365">
        <f t="shared" si="0"/>
        <v>0</v>
      </c>
      <c r="J37" s="81"/>
      <c r="K37" s="54">
        <f t="shared" si="1"/>
        <v>0</v>
      </c>
      <c r="M37" s="192" t="str">
        <f t="shared" si="2"/>
        <v>2100/001Advertising</v>
      </c>
      <c r="N37" s="76"/>
      <c r="O37" s="77"/>
      <c r="P37" s="57"/>
      <c r="Q37" s="31"/>
    </row>
    <row r="38" spans="1:17" x14ac:dyDescent="0.2">
      <c r="A38" s="315"/>
      <c r="B38" s="60" t="s">
        <v>415</v>
      </c>
      <c r="C38" s="319" t="s">
        <v>702</v>
      </c>
      <c r="D38" s="359"/>
      <c r="E38" s="356"/>
      <c r="F38" s="86"/>
      <c r="G38" s="53">
        <f>SUMIF(JournalsB!D$14:D$920,TrialBalanceB!M38,JournalsB!J$14:J$920)+SUMIF(JournalsB!E$14:E$920,TrialBalanceB!M38,JournalsB!J$14:J$920)</f>
        <v>0</v>
      </c>
      <c r="H38" s="363"/>
      <c r="I38" s="365">
        <f t="shared" si="0"/>
        <v>0</v>
      </c>
      <c r="J38" s="81"/>
      <c r="K38" s="54">
        <f t="shared" si="1"/>
        <v>0</v>
      </c>
      <c r="M38" s="192" t="str">
        <f t="shared" si="2"/>
        <v>2100/010Assets less than R7,000</v>
      </c>
      <c r="N38" s="76"/>
      <c r="O38" s="77"/>
      <c r="P38" s="57"/>
      <c r="Q38" s="31"/>
    </row>
    <row r="39" spans="1:17" x14ac:dyDescent="0.2">
      <c r="A39" s="315"/>
      <c r="B39" s="60" t="s">
        <v>416</v>
      </c>
      <c r="C39" s="317" t="s">
        <v>278</v>
      </c>
      <c r="D39" s="357"/>
      <c r="E39" s="356"/>
      <c r="F39" s="86"/>
      <c r="G39" s="53">
        <f>SUMIF(JournalsB!D$14:D$920,TrialBalanceB!M39,JournalsB!J$14:J$920)+SUMIF(JournalsB!E$14:E$920,TrialBalanceB!M39,JournalsB!J$14:J$920)</f>
        <v>0</v>
      </c>
      <c r="H39" s="363"/>
      <c r="I39" s="365">
        <f t="shared" si="0"/>
        <v>0</v>
      </c>
      <c r="J39" s="81"/>
      <c r="K39" s="54">
        <f t="shared" si="1"/>
        <v>0</v>
      </c>
      <c r="M39" s="192" t="str">
        <f t="shared" si="2"/>
        <v>2100/020Consumables</v>
      </c>
      <c r="N39" s="76"/>
      <c r="O39" s="77"/>
      <c r="P39" s="57"/>
      <c r="Q39" s="31"/>
    </row>
    <row r="40" spans="1:17" x14ac:dyDescent="0.2">
      <c r="A40" s="315"/>
      <c r="B40" s="60" t="s">
        <v>417</v>
      </c>
      <c r="C40" s="316" t="s">
        <v>613</v>
      </c>
      <c r="D40" s="358"/>
      <c r="E40" s="356"/>
      <c r="F40" s="86"/>
      <c r="G40" s="53">
        <f>SUMIF(JournalsB!D$14:D$920,TrialBalanceB!M40,JournalsB!J$14:J$920)+SUMIF(JournalsB!E$14:E$920,TrialBalanceB!M40,JournalsB!J$14:J$920)</f>
        <v>0</v>
      </c>
      <c r="H40" s="363"/>
      <c r="I40" s="365">
        <f t="shared" si="0"/>
        <v>0</v>
      </c>
      <c r="J40" s="81"/>
      <c r="K40" s="54">
        <f t="shared" si="1"/>
        <v>0</v>
      </c>
      <c r="M40" s="192" t="str">
        <f t="shared" si="2"/>
        <v>2100/030Depreciation--------------------------------------------------</v>
      </c>
      <c r="N40" s="76"/>
      <c r="O40" s="77"/>
      <c r="P40" s="57"/>
      <c r="Q40" s="31"/>
    </row>
    <row r="41" spans="1:17" x14ac:dyDescent="0.2">
      <c r="A41" s="315"/>
      <c r="B41" s="60" t="s">
        <v>419</v>
      </c>
      <c r="C41" s="319" t="s">
        <v>1128</v>
      </c>
      <c r="D41" s="357"/>
      <c r="E41" s="356"/>
      <c r="F41" s="86"/>
      <c r="G41" s="53">
        <f>SUMIF(JournalsB!D$14:D$920,TrialBalanceB!M41,JournalsB!J$14:J$920)+SUMIF(JournalsB!E$14:E$920,TrialBalanceB!M41,JournalsB!J$14:J$920)</f>
        <v>0</v>
      </c>
      <c r="H41" s="363"/>
      <c r="I41" s="365">
        <f t="shared" si="0"/>
        <v>0</v>
      </c>
      <c r="J41" s="81"/>
      <c r="K41" s="54">
        <f t="shared" si="1"/>
        <v>0</v>
      </c>
      <c r="M41" s="192" t="str">
        <f t="shared" si="2"/>
        <v>2100/031Depr - Property</v>
      </c>
      <c r="N41" s="76"/>
      <c r="O41" s="77"/>
      <c r="P41" s="57"/>
      <c r="Q41" s="31"/>
    </row>
    <row r="42" spans="1:17" x14ac:dyDescent="0.2">
      <c r="A42" s="315"/>
      <c r="B42" s="60" t="s">
        <v>420</v>
      </c>
      <c r="C42" s="319" t="s">
        <v>762</v>
      </c>
      <c r="D42" s="357"/>
      <c r="E42" s="356"/>
      <c r="F42" s="86"/>
      <c r="G42" s="53">
        <f>SUMIF(JournalsB!D$14:D$920,TrialBalanceB!M42,JournalsB!J$14:J$920)+SUMIF(JournalsB!E$14:E$920,TrialBalanceB!M42,JournalsB!J$14:J$920)</f>
        <v>0</v>
      </c>
      <c r="H42" s="363"/>
      <c r="I42" s="365">
        <f t="shared" si="0"/>
        <v>0</v>
      </c>
      <c r="J42" s="81"/>
      <c r="K42" s="54">
        <f t="shared" si="1"/>
        <v>0</v>
      </c>
      <c r="M42" s="192" t="str">
        <f t="shared" si="2"/>
        <v>2100/032Depr - Plant and machinery</v>
      </c>
      <c r="N42" s="76"/>
      <c r="O42" s="77"/>
      <c r="P42" s="57"/>
      <c r="Q42" s="31"/>
    </row>
    <row r="43" spans="1:17" x14ac:dyDescent="0.2">
      <c r="A43" s="315"/>
      <c r="B43" s="60" t="s">
        <v>58</v>
      </c>
      <c r="C43" s="317" t="s">
        <v>59</v>
      </c>
      <c r="D43" s="357"/>
      <c r="E43" s="356"/>
      <c r="F43" s="86"/>
      <c r="G43" s="53">
        <f>SUMIF(JournalsB!D$14:D$920,TrialBalanceB!M43,JournalsB!J$14:J$920)+SUMIF(JournalsB!E$14:E$920,TrialBalanceB!M43,JournalsB!J$14:J$920)</f>
        <v>0</v>
      </c>
      <c r="H43" s="363"/>
      <c r="I43" s="365">
        <f t="shared" si="0"/>
        <v>0</v>
      </c>
      <c r="J43" s="81"/>
      <c r="K43" s="54">
        <f t="shared" si="1"/>
        <v>0</v>
      </c>
      <c r="M43" s="192" t="str">
        <f t="shared" si="2"/>
        <v>2100/033Depr - Motor vehicles</v>
      </c>
      <c r="N43" s="76"/>
      <c r="O43" s="77"/>
      <c r="P43" s="57"/>
      <c r="Q43" s="31"/>
    </row>
    <row r="44" spans="1:17" x14ac:dyDescent="0.2">
      <c r="A44" s="315"/>
      <c r="B44" s="60" t="s">
        <v>61</v>
      </c>
      <c r="C44" s="317" t="s">
        <v>62</v>
      </c>
      <c r="D44" s="357"/>
      <c r="E44" s="356"/>
      <c r="F44" s="86"/>
      <c r="G44" s="53">
        <f>SUMIF(JournalsB!D$14:D$920,TrialBalanceB!M44,JournalsB!J$14:J$920)+SUMIF(JournalsB!E$14:E$920,TrialBalanceB!M44,JournalsB!J$14:J$920)</f>
        <v>0</v>
      </c>
      <c r="H44" s="363"/>
      <c r="I44" s="365">
        <f t="shared" si="0"/>
        <v>0</v>
      </c>
      <c r="J44" s="81"/>
      <c r="K44" s="54">
        <f t="shared" si="1"/>
        <v>0</v>
      </c>
      <c r="M44" s="192" t="str">
        <f t="shared" si="2"/>
        <v>2100/040Discounts allowed</v>
      </c>
      <c r="N44" s="76"/>
      <c r="O44" s="77"/>
      <c r="P44" s="57"/>
      <c r="Q44" s="31"/>
    </row>
    <row r="45" spans="1:17" x14ac:dyDescent="0.2">
      <c r="A45" s="315"/>
      <c r="B45" s="60" t="s">
        <v>63</v>
      </c>
      <c r="C45" s="319" t="s">
        <v>733</v>
      </c>
      <c r="D45" s="357"/>
      <c r="E45" s="356"/>
      <c r="F45" s="86"/>
      <c r="G45" s="53">
        <f>SUMIF(JournalsB!D$14:D$920,TrialBalanceB!M45,JournalsB!J$14:J$920)+SUMIF(JournalsB!E$14:E$920,TrialBalanceB!M45,JournalsB!J$14:J$920)</f>
        <v>0</v>
      </c>
      <c r="H45" s="363"/>
      <c r="I45" s="365">
        <f t="shared" si="0"/>
        <v>0</v>
      </c>
      <c r="J45" s="81"/>
      <c r="K45" s="54">
        <f t="shared" si="1"/>
        <v>0</v>
      </c>
      <c r="M45" s="192" t="str">
        <f t="shared" si="2"/>
        <v>2100/050Electricity and water</v>
      </c>
      <c r="N45" s="76"/>
      <c r="O45" s="77"/>
      <c r="P45" s="57"/>
      <c r="Q45" s="31"/>
    </row>
    <row r="46" spans="1:17" x14ac:dyDescent="0.2">
      <c r="A46" s="315"/>
      <c r="B46" s="60" t="s">
        <v>64</v>
      </c>
      <c r="C46" s="317" t="s">
        <v>68</v>
      </c>
      <c r="D46" s="357"/>
      <c r="E46" s="356"/>
      <c r="F46" s="86"/>
      <c r="G46" s="53">
        <f>SUMIF(JournalsB!D$14:D$920,TrialBalanceB!M46,JournalsB!J$14:J$920)+SUMIF(JournalsB!E$14:E$920,TrialBalanceB!M46,JournalsB!J$14:J$920)</f>
        <v>0</v>
      </c>
      <c r="H46" s="363"/>
      <c r="I46" s="365">
        <f t="shared" si="0"/>
        <v>0</v>
      </c>
      <c r="J46" s="81"/>
      <c r="K46" s="54">
        <f t="shared" si="1"/>
        <v>0</v>
      </c>
      <c r="M46" s="192" t="str">
        <f t="shared" si="2"/>
        <v>2100/055Equipment lease</v>
      </c>
      <c r="N46" s="76"/>
      <c r="O46" s="77"/>
      <c r="P46" s="57"/>
      <c r="Q46" s="31"/>
    </row>
    <row r="47" spans="1:17" x14ac:dyDescent="0.2">
      <c r="A47" s="315"/>
      <c r="B47" s="60" t="s">
        <v>69</v>
      </c>
      <c r="C47" s="317" t="s">
        <v>280</v>
      </c>
      <c r="D47" s="357"/>
      <c r="E47" s="356"/>
      <c r="F47" s="86"/>
      <c r="G47" s="53">
        <f>SUMIF(JournalsB!D$14:D$920,TrialBalanceB!M47,JournalsB!J$14:J$920)+SUMIF(JournalsB!E$14:E$920,TrialBalanceB!M47,JournalsB!J$14:J$920)</f>
        <v>0</v>
      </c>
      <c r="H47" s="363"/>
      <c r="I47" s="365">
        <f t="shared" si="0"/>
        <v>0</v>
      </c>
      <c r="J47" s="81"/>
      <c r="K47" s="54">
        <f t="shared" si="1"/>
        <v>0</v>
      </c>
      <c r="M47" s="192" t="str">
        <f t="shared" si="2"/>
        <v>2100/060Insurance</v>
      </c>
      <c r="N47" s="76"/>
      <c r="O47" s="57"/>
      <c r="P47" s="57"/>
      <c r="Q47" s="31"/>
    </row>
    <row r="48" spans="1:17" x14ac:dyDescent="0.2">
      <c r="A48" s="315"/>
      <c r="B48" s="60" t="s">
        <v>451</v>
      </c>
      <c r="C48" s="317" t="s">
        <v>184</v>
      </c>
      <c r="D48" s="357"/>
      <c r="E48" s="356"/>
      <c r="F48" s="86"/>
      <c r="G48" s="53">
        <f>SUMIF(JournalsB!D$14:D$920,TrialBalanceB!M48,JournalsB!J$14:J$920)+SUMIF(JournalsB!E$14:E$920,TrialBalanceB!M48,JournalsB!J$14:J$920)</f>
        <v>0</v>
      </c>
      <c r="H48" s="363"/>
      <c r="I48" s="365">
        <f t="shared" si="0"/>
        <v>0</v>
      </c>
      <c r="J48" s="81"/>
      <c r="K48" s="54">
        <f t="shared" si="1"/>
        <v>0</v>
      </c>
      <c r="M48" s="192" t="str">
        <f t="shared" si="2"/>
        <v>2100/071Levies - SDL</v>
      </c>
      <c r="N48" s="76"/>
      <c r="O48" s="77"/>
      <c r="P48" s="57"/>
      <c r="Q48" s="31"/>
    </row>
    <row r="49" spans="1:17" x14ac:dyDescent="0.2">
      <c r="A49" s="315"/>
      <c r="B49" s="60" t="s">
        <v>185</v>
      </c>
      <c r="C49" s="317" t="s">
        <v>186</v>
      </c>
      <c r="D49" s="357"/>
      <c r="E49" s="356"/>
      <c r="F49" s="86"/>
      <c r="G49" s="53">
        <f>SUMIF(JournalsB!D$14:D$920,TrialBalanceB!M49,JournalsB!J$14:J$920)+SUMIF(JournalsB!E$14:E$920,TrialBalanceB!M49,JournalsB!J$14:J$920)</f>
        <v>0</v>
      </c>
      <c r="H49" s="363"/>
      <c r="I49" s="365">
        <f t="shared" si="0"/>
        <v>0</v>
      </c>
      <c r="J49" s="81"/>
      <c r="K49" s="54">
        <f t="shared" si="1"/>
        <v>0</v>
      </c>
      <c r="M49" s="192" t="str">
        <f t="shared" si="2"/>
        <v>2100/072Levies - other</v>
      </c>
      <c r="N49" s="76"/>
      <c r="O49" s="77"/>
      <c r="P49" s="57"/>
      <c r="Q49" s="31"/>
    </row>
    <row r="50" spans="1:17" x14ac:dyDescent="0.2">
      <c r="A50" s="315"/>
      <c r="B50" s="60" t="s">
        <v>187</v>
      </c>
      <c r="C50" s="323" t="s">
        <v>354</v>
      </c>
      <c r="D50" s="348"/>
      <c r="E50" s="356"/>
      <c r="F50" s="86"/>
      <c r="G50" s="53">
        <f>SUMIF(JournalsB!D$14:D$920,TrialBalanceB!M50,JournalsB!J$14:J$920)+SUMIF(JournalsB!E$14:E$920,TrialBalanceB!M50,JournalsB!J$14:J$920)</f>
        <v>0</v>
      </c>
      <c r="H50" s="363"/>
      <c r="I50" s="365">
        <f t="shared" si="0"/>
        <v>0</v>
      </c>
      <c r="J50" s="81"/>
      <c r="K50" s="54">
        <f t="shared" si="1"/>
        <v>0</v>
      </c>
      <c r="M50" s="192" t="str">
        <f t="shared" si="2"/>
        <v>2100/080Trade licenses</v>
      </c>
      <c r="N50" s="76"/>
      <c r="O50" s="77"/>
      <c r="P50" s="57"/>
      <c r="Q50" s="31"/>
    </row>
    <row r="51" spans="1:17" x14ac:dyDescent="0.2">
      <c r="A51" s="315"/>
      <c r="B51" s="60" t="s">
        <v>188</v>
      </c>
      <c r="C51" s="316" t="s">
        <v>641</v>
      </c>
      <c r="D51" s="358"/>
      <c r="E51" s="356"/>
      <c r="F51" s="86"/>
      <c r="G51" s="53">
        <f>SUMIF(JournalsB!D$14:D$920,TrialBalanceB!M51,JournalsB!J$14:J$920)+SUMIF(JournalsB!E$14:E$920,TrialBalanceB!M51,JournalsB!J$14:J$920)</f>
        <v>0</v>
      </c>
      <c r="H51" s="363"/>
      <c r="I51" s="365">
        <f t="shared" si="0"/>
        <v>0</v>
      </c>
      <c r="J51" s="81"/>
      <c r="K51" s="54">
        <f t="shared" si="1"/>
        <v>0</v>
      </c>
      <c r="M51" s="192" t="str">
        <f t="shared" si="2"/>
        <v>2100/090Motor vehicle expenses----------------------------------</v>
      </c>
      <c r="N51" s="76"/>
      <c r="O51" s="77"/>
      <c r="P51" s="57"/>
      <c r="Q51" s="31"/>
    </row>
    <row r="52" spans="1:17" x14ac:dyDescent="0.2">
      <c r="A52" s="315"/>
      <c r="B52" s="60" t="s">
        <v>190</v>
      </c>
      <c r="C52" s="317" t="s">
        <v>191</v>
      </c>
      <c r="D52" s="357"/>
      <c r="E52" s="356"/>
      <c r="F52" s="86"/>
      <c r="G52" s="53">
        <f>SUMIF(JournalsB!D$14:D$920,TrialBalanceB!M52,JournalsB!J$14:J$920)+SUMIF(JournalsB!E$14:E$920,TrialBalanceB!M52,JournalsB!J$14:J$920)</f>
        <v>0</v>
      </c>
      <c r="H52" s="363"/>
      <c r="I52" s="365">
        <f t="shared" si="0"/>
        <v>0</v>
      </c>
      <c r="J52" s="81"/>
      <c r="K52" s="54">
        <f t="shared" si="1"/>
        <v>0</v>
      </c>
      <c r="M52" s="192" t="str">
        <f t="shared" si="2"/>
        <v>2100/091Motor vehicle expenses - Petrol and oil</v>
      </c>
      <c r="N52" s="76"/>
      <c r="O52" s="77"/>
      <c r="P52" s="57"/>
      <c r="Q52" s="31"/>
    </row>
    <row r="53" spans="1:17" x14ac:dyDescent="0.2">
      <c r="A53" s="315"/>
      <c r="B53" s="60" t="s">
        <v>192</v>
      </c>
      <c r="C53" s="317" t="s">
        <v>193</v>
      </c>
      <c r="D53" s="357"/>
      <c r="E53" s="356"/>
      <c r="F53" s="86"/>
      <c r="G53" s="53">
        <f>SUMIF(JournalsB!D$14:D$920,TrialBalanceB!M53,JournalsB!J$14:J$920)+SUMIF(JournalsB!E$14:E$920,TrialBalanceB!M53,JournalsB!J$14:J$920)</f>
        <v>0</v>
      </c>
      <c r="H53" s="363"/>
      <c r="I53" s="365">
        <f t="shared" si="0"/>
        <v>0</v>
      </c>
      <c r="J53" s="81"/>
      <c r="K53" s="54">
        <f t="shared" si="1"/>
        <v>0</v>
      </c>
      <c r="M53" s="192" t="str">
        <f t="shared" si="2"/>
        <v>2100/092Motor vehicle expenses - R&amp;M</v>
      </c>
      <c r="N53" s="76"/>
      <c r="O53" s="77"/>
      <c r="P53" s="57"/>
      <c r="Q53" s="31"/>
    </row>
    <row r="54" spans="1:17" x14ac:dyDescent="0.2">
      <c r="A54" s="315"/>
      <c r="B54" s="60" t="s">
        <v>194</v>
      </c>
      <c r="C54" s="317" t="s">
        <v>195</v>
      </c>
      <c r="D54" s="357"/>
      <c r="E54" s="356"/>
      <c r="F54" s="86"/>
      <c r="G54" s="53">
        <f>SUMIF(JournalsB!D$14:D$920,TrialBalanceB!M54,JournalsB!J$14:J$920)+SUMIF(JournalsB!E$14:E$920,TrialBalanceB!M54,JournalsB!J$14:J$920)</f>
        <v>0</v>
      </c>
      <c r="H54" s="363"/>
      <c r="I54" s="365">
        <f t="shared" si="0"/>
        <v>0</v>
      </c>
      <c r="J54" s="81"/>
      <c r="K54" s="54">
        <f t="shared" si="1"/>
        <v>0</v>
      </c>
      <c r="M54" s="192" t="str">
        <f t="shared" si="2"/>
        <v>2100/093Motor vehicle expenses - Insurance</v>
      </c>
      <c r="N54" s="76"/>
      <c r="O54" s="77"/>
      <c r="P54" s="57"/>
      <c r="Q54" s="31"/>
    </row>
    <row r="55" spans="1:17" x14ac:dyDescent="0.2">
      <c r="A55" s="315"/>
      <c r="B55" s="60" t="s">
        <v>196</v>
      </c>
      <c r="C55" s="318" t="s">
        <v>763</v>
      </c>
      <c r="D55" s="348"/>
      <c r="E55" s="356"/>
      <c r="F55" s="86"/>
      <c r="G55" s="53">
        <f>SUMIF(JournalsB!D$14:D$920,TrialBalanceB!M55,JournalsB!J$14:J$920)+SUMIF(JournalsB!E$14:E$920,TrialBalanceB!M55,JournalsB!J$14:J$920)</f>
        <v>0</v>
      </c>
      <c r="H55" s="363"/>
      <c r="I55" s="365">
        <f t="shared" si="0"/>
        <v>0</v>
      </c>
      <c r="J55" s="81"/>
      <c r="K55" s="54">
        <f t="shared" si="1"/>
        <v>0</v>
      </c>
      <c r="M55" s="192" t="str">
        <f t="shared" si="2"/>
        <v>2100/094Motor vehicle expenses - Licenses</v>
      </c>
      <c r="N55" s="76"/>
      <c r="O55" s="77"/>
      <c r="P55" s="57"/>
      <c r="Q55" s="31"/>
    </row>
    <row r="56" spans="1:17" x14ac:dyDescent="0.2">
      <c r="A56" s="315"/>
      <c r="B56" s="60" t="s">
        <v>197</v>
      </c>
      <c r="C56" s="319" t="s">
        <v>764</v>
      </c>
      <c r="D56" s="357"/>
      <c r="E56" s="356"/>
      <c r="F56" s="86"/>
      <c r="G56" s="53">
        <f>SUMIF(JournalsB!D$14:D$920,TrialBalanceB!M56,JournalsB!J$14:J$920)+SUMIF(JournalsB!E$14:E$920,TrialBalanceB!M56,JournalsB!J$14:J$920)</f>
        <v>0</v>
      </c>
      <c r="H56" s="363"/>
      <c r="I56" s="365">
        <f t="shared" si="0"/>
        <v>0</v>
      </c>
      <c r="J56" s="81"/>
      <c r="K56" s="54">
        <f t="shared" si="1"/>
        <v>0</v>
      </c>
      <c r="M56" s="192" t="str">
        <f t="shared" si="2"/>
        <v>2100/095Motor vehicle expenses - General</v>
      </c>
      <c r="N56" s="76"/>
      <c r="O56" s="77"/>
      <c r="P56" s="57"/>
      <c r="Q56" s="31"/>
    </row>
    <row r="57" spans="1:17" x14ac:dyDescent="0.2">
      <c r="A57" s="315"/>
      <c r="B57" s="60" t="s">
        <v>198</v>
      </c>
      <c r="C57" s="316" t="s">
        <v>199</v>
      </c>
      <c r="D57" s="358"/>
      <c r="E57" s="356"/>
      <c r="F57" s="86"/>
      <c r="G57" s="53">
        <f>SUMIF(JournalsB!D$14:D$920,TrialBalanceB!M57,JournalsB!J$14:J$920)+SUMIF(JournalsB!E$14:E$920,TrialBalanceB!M57,JournalsB!J$14:J$920)</f>
        <v>0</v>
      </c>
      <c r="H57" s="363"/>
      <c r="I57" s="365">
        <f t="shared" si="0"/>
        <v>0</v>
      </c>
      <c r="J57" s="81"/>
      <c r="K57" s="54">
        <f t="shared" si="1"/>
        <v>0</v>
      </c>
      <c r="M57" s="192" t="str">
        <f t="shared" si="2"/>
        <v>2100/100Rent paid-------------------------------</v>
      </c>
      <c r="N57" s="76"/>
      <c r="O57" s="77"/>
      <c r="P57" s="57"/>
      <c r="Q57" s="31"/>
    </row>
    <row r="58" spans="1:17" x14ac:dyDescent="0.2">
      <c r="A58" s="315"/>
      <c r="B58" s="60" t="s">
        <v>200</v>
      </c>
      <c r="C58" s="352"/>
      <c r="D58" s="348"/>
      <c r="E58" s="356"/>
      <c r="F58" s="86"/>
      <c r="G58" s="53">
        <f>SUMIF(JournalsB!D$14:D$920,TrialBalanceB!M58,JournalsB!J$14:J$920)+SUMIF(JournalsB!E$14:E$920,TrialBalanceB!M58,JournalsB!J$14:J$920)</f>
        <v>0</v>
      </c>
      <c r="H58" s="363"/>
      <c r="I58" s="365">
        <f t="shared" si="0"/>
        <v>0</v>
      </c>
      <c r="J58" s="81"/>
      <c r="K58" s="54">
        <f t="shared" si="1"/>
        <v>0</v>
      </c>
      <c r="M58" s="192" t="str">
        <f t="shared" si="2"/>
        <v>2100/101</v>
      </c>
      <c r="N58" s="76"/>
      <c r="O58" s="77"/>
      <c r="P58" s="57"/>
      <c r="Q58" s="31"/>
    </row>
    <row r="59" spans="1:17" x14ac:dyDescent="0.2">
      <c r="A59" s="315"/>
      <c r="B59" s="60" t="s">
        <v>201</v>
      </c>
      <c r="C59" s="353"/>
      <c r="D59" s="348"/>
      <c r="E59" s="356"/>
      <c r="F59" s="86"/>
      <c r="G59" s="53">
        <f>SUMIF(JournalsB!D$14:D$920,TrialBalanceB!M59,JournalsB!J$14:J$920)+SUMIF(JournalsB!E$14:E$920,TrialBalanceB!M59,JournalsB!J$14:J$920)</f>
        <v>0</v>
      </c>
      <c r="H59" s="363"/>
      <c r="I59" s="365">
        <f t="shared" si="0"/>
        <v>0</v>
      </c>
      <c r="J59" s="81"/>
      <c r="K59" s="54">
        <f t="shared" si="1"/>
        <v>0</v>
      </c>
      <c r="M59" s="192" t="str">
        <f t="shared" si="2"/>
        <v>2100/102</v>
      </c>
      <c r="N59" s="76"/>
      <c r="O59" s="77"/>
      <c r="P59" s="57"/>
      <c r="Q59" s="31"/>
    </row>
    <row r="60" spans="1:17" x14ac:dyDescent="0.2">
      <c r="A60" s="315"/>
      <c r="B60" s="60" t="s">
        <v>202</v>
      </c>
      <c r="C60" s="353"/>
      <c r="D60" s="348"/>
      <c r="E60" s="356"/>
      <c r="F60" s="86"/>
      <c r="G60" s="53">
        <f>SUMIF(JournalsB!D$14:D$920,TrialBalanceB!M60,JournalsB!J$14:J$920)+SUMIF(JournalsB!E$14:E$920,TrialBalanceB!M60,JournalsB!J$14:J$920)</f>
        <v>0</v>
      </c>
      <c r="H60" s="363"/>
      <c r="I60" s="365">
        <f t="shared" si="0"/>
        <v>0</v>
      </c>
      <c r="J60" s="81"/>
      <c r="K60" s="54">
        <f t="shared" si="1"/>
        <v>0</v>
      </c>
      <c r="M60" s="192" t="str">
        <f t="shared" si="2"/>
        <v>2100/103</v>
      </c>
      <c r="N60" s="76"/>
      <c r="O60" s="77"/>
      <c r="P60" s="57"/>
      <c r="Q60" s="31"/>
    </row>
    <row r="61" spans="1:17" x14ac:dyDescent="0.2">
      <c r="A61" s="315"/>
      <c r="B61" s="60" t="s">
        <v>203</v>
      </c>
      <c r="C61" s="317" t="s">
        <v>76</v>
      </c>
      <c r="D61" s="357"/>
      <c r="E61" s="356"/>
      <c r="F61" s="86"/>
      <c r="G61" s="53">
        <f>SUMIF(JournalsB!D$14:D$920,TrialBalanceB!M61,JournalsB!J$14:J$920)+SUMIF(JournalsB!E$14:E$920,TrialBalanceB!M61,JournalsB!J$14:J$920)</f>
        <v>0</v>
      </c>
      <c r="H61" s="363"/>
      <c r="I61" s="365">
        <f t="shared" si="0"/>
        <v>0</v>
      </c>
      <c r="J61" s="81"/>
      <c r="K61" s="54">
        <f t="shared" si="1"/>
        <v>0</v>
      </c>
      <c r="M61" s="192" t="str">
        <f t="shared" si="2"/>
        <v>2100/110Repairs and maintenance</v>
      </c>
      <c r="N61" s="76"/>
      <c r="O61" s="77"/>
      <c r="P61" s="57"/>
      <c r="Q61" s="31"/>
    </row>
    <row r="62" spans="1:17" x14ac:dyDescent="0.2">
      <c r="A62" s="315"/>
      <c r="B62" s="60" t="s">
        <v>77</v>
      </c>
      <c r="C62" s="317" t="s">
        <v>78</v>
      </c>
      <c r="D62" s="357"/>
      <c r="E62" s="356"/>
      <c r="F62" s="86"/>
      <c r="G62" s="53">
        <f>SUMIF(JournalsB!D$14:D$920,TrialBalanceB!M62,JournalsB!J$14:J$920)+SUMIF(JournalsB!E$14:E$920,TrialBalanceB!M62,JournalsB!J$14:J$920)</f>
        <v>0</v>
      </c>
      <c r="H62" s="363"/>
      <c r="I62" s="365">
        <f t="shared" si="0"/>
        <v>0</v>
      </c>
      <c r="J62" s="81"/>
      <c r="K62" s="54">
        <f t="shared" si="1"/>
        <v>0</v>
      </c>
      <c r="M62" s="192" t="str">
        <f t="shared" si="2"/>
        <v>2100/120Salaries</v>
      </c>
      <c r="N62" s="76"/>
      <c r="O62" s="77"/>
      <c r="P62" s="57"/>
      <c r="Q62" s="31"/>
    </row>
    <row r="63" spans="1:17" x14ac:dyDescent="0.2">
      <c r="A63" s="315"/>
      <c r="B63" s="60" t="s">
        <v>79</v>
      </c>
      <c r="C63" s="317" t="s">
        <v>80</v>
      </c>
      <c r="D63" s="357"/>
      <c r="E63" s="356"/>
      <c r="F63" s="86"/>
      <c r="G63" s="53">
        <f>SUMIF(JournalsB!D$14:D$920,TrialBalanceB!M63,JournalsB!J$14:J$920)+SUMIF(JournalsB!E$14:E$920,TrialBalanceB!M63,JournalsB!J$14:J$920)</f>
        <v>0</v>
      </c>
      <c r="H63" s="363"/>
      <c r="I63" s="365">
        <f t="shared" si="0"/>
        <v>0</v>
      </c>
      <c r="J63" s="81"/>
      <c r="K63" s="54">
        <f t="shared" si="1"/>
        <v>0</v>
      </c>
      <c r="M63" s="192" t="str">
        <f t="shared" si="2"/>
        <v>2100/121UIF - Employer</v>
      </c>
      <c r="N63" s="76"/>
      <c r="O63" s="77"/>
      <c r="P63" s="57"/>
      <c r="Q63" s="31"/>
    </row>
    <row r="64" spans="1:17" x14ac:dyDescent="0.2">
      <c r="A64" s="315"/>
      <c r="B64" s="60" t="s">
        <v>81</v>
      </c>
      <c r="C64" s="317" t="s">
        <v>82</v>
      </c>
      <c r="D64" s="357"/>
      <c r="E64" s="356"/>
      <c r="F64" s="86"/>
      <c r="G64" s="53">
        <f>SUMIF(JournalsB!D$14:D$920,TrialBalanceB!M64,JournalsB!J$14:J$920)+SUMIF(JournalsB!E$14:E$920,TrialBalanceB!M64,JournalsB!J$14:J$920)</f>
        <v>0</v>
      </c>
      <c r="H64" s="363"/>
      <c r="I64" s="365">
        <f t="shared" si="0"/>
        <v>0</v>
      </c>
      <c r="J64" s="81"/>
      <c r="K64" s="54">
        <f t="shared" si="1"/>
        <v>0</v>
      </c>
      <c r="M64" s="192" t="str">
        <f t="shared" si="2"/>
        <v>2100/122Casual wages</v>
      </c>
      <c r="N64" s="76"/>
      <c r="O64" s="77"/>
      <c r="P64" s="57"/>
      <c r="Q64" s="31"/>
    </row>
    <row r="65" spans="1:17" x14ac:dyDescent="0.2">
      <c r="A65" s="315"/>
      <c r="B65" s="60" t="s">
        <v>83</v>
      </c>
      <c r="C65" s="317" t="s">
        <v>84</v>
      </c>
      <c r="D65" s="357"/>
      <c r="E65" s="356"/>
      <c r="F65" s="86"/>
      <c r="G65" s="53">
        <f>SUMIF(JournalsB!D$14:D$920,TrialBalanceB!M65,JournalsB!J$14:J$920)+SUMIF(JournalsB!E$14:E$920,TrialBalanceB!M65,JournalsB!J$14:J$920)</f>
        <v>0</v>
      </c>
      <c r="H65" s="363"/>
      <c r="I65" s="365">
        <f t="shared" si="0"/>
        <v>0</v>
      </c>
      <c r="J65" s="81"/>
      <c r="K65" s="54">
        <f t="shared" si="1"/>
        <v>0</v>
      </c>
      <c r="M65" s="192" t="str">
        <f t="shared" si="2"/>
        <v>2100/130Telephone</v>
      </c>
      <c r="N65" s="76"/>
      <c r="O65" s="77"/>
      <c r="P65" s="57"/>
      <c r="Q65" s="31"/>
    </row>
    <row r="66" spans="1:17" x14ac:dyDescent="0.2">
      <c r="A66" s="315"/>
      <c r="B66" s="60" t="s">
        <v>85</v>
      </c>
      <c r="C66" s="317" t="s">
        <v>479</v>
      </c>
      <c r="D66" s="357"/>
      <c r="E66" s="356"/>
      <c r="F66" s="86"/>
      <c r="G66" s="53">
        <f>SUMIF(JournalsB!D$14:D$920,TrialBalanceB!M66,JournalsB!J$14:J$920)+SUMIF(JournalsB!E$14:E$920,TrialBalanceB!M66,JournalsB!J$14:J$920)</f>
        <v>0</v>
      </c>
      <c r="H66" s="363"/>
      <c r="I66" s="365">
        <f t="shared" si="0"/>
        <v>0</v>
      </c>
      <c r="J66" s="81"/>
      <c r="K66" s="54">
        <f t="shared" si="1"/>
        <v>0</v>
      </c>
      <c r="M66" s="192" t="str">
        <f t="shared" si="2"/>
        <v>2100/135Postage and courier</v>
      </c>
      <c r="N66" s="76"/>
      <c r="O66" s="77"/>
      <c r="P66" s="57"/>
      <c r="Q66" s="31"/>
    </row>
    <row r="67" spans="1:17" x14ac:dyDescent="0.2">
      <c r="A67" s="315"/>
      <c r="B67" s="60" t="s">
        <v>86</v>
      </c>
      <c r="C67" s="317" t="s">
        <v>255</v>
      </c>
      <c r="D67" s="357"/>
      <c r="E67" s="356"/>
      <c r="F67" s="86"/>
      <c r="G67" s="53">
        <f>SUMIF(JournalsB!D$14:D$920,TrialBalanceB!M67,JournalsB!J$14:J$920)+SUMIF(JournalsB!E$14:E$920,TrialBalanceB!M67,JournalsB!J$14:J$920)</f>
        <v>0</v>
      </c>
      <c r="H67" s="363"/>
      <c r="I67" s="365">
        <f t="shared" si="0"/>
        <v>0</v>
      </c>
      <c r="J67" s="81"/>
      <c r="K67" s="54">
        <f t="shared" si="1"/>
        <v>0</v>
      </c>
      <c r="M67" s="192" t="str">
        <f t="shared" si="2"/>
        <v>2100/140Training</v>
      </c>
      <c r="N67" s="76"/>
      <c r="O67" s="77"/>
      <c r="P67" s="57"/>
      <c r="Q67" s="31"/>
    </row>
    <row r="68" spans="1:17" x14ac:dyDescent="0.2">
      <c r="A68" s="315"/>
      <c r="B68" s="60" t="s">
        <v>87</v>
      </c>
      <c r="C68" s="318" t="s">
        <v>805</v>
      </c>
      <c r="D68" s="348"/>
      <c r="E68" s="356"/>
      <c r="F68" s="86"/>
      <c r="G68" s="53">
        <f>SUMIF(JournalsB!D$14:D$920,TrialBalanceB!M68,JournalsB!J$14:J$920)+SUMIF(JournalsB!E$14:E$920,TrialBalanceB!M68,JournalsB!J$14:J$920)</f>
        <v>0</v>
      </c>
      <c r="H68" s="363"/>
      <c r="I68" s="365">
        <f t="shared" si="0"/>
        <v>0</v>
      </c>
      <c r="J68" s="81"/>
      <c r="K68" s="54">
        <f t="shared" si="1"/>
        <v>0</v>
      </c>
      <c r="M68" s="192" t="str">
        <f t="shared" si="2"/>
        <v>2100/150Traveling and accommodation</v>
      </c>
      <c r="N68" s="76"/>
      <c r="O68" s="77"/>
      <c r="P68" s="57"/>
      <c r="Q68" s="31"/>
    </row>
    <row r="69" spans="1:17" x14ac:dyDescent="0.2">
      <c r="A69" s="315"/>
      <c r="B69" s="110" t="s">
        <v>597</v>
      </c>
      <c r="C69" s="352"/>
      <c r="D69" s="356"/>
      <c r="E69" s="356"/>
      <c r="F69" s="86"/>
      <c r="G69" s="53">
        <f>SUMIF(JournalsB!D$14:D$920,TrialBalanceB!M69,JournalsB!J$14:J$920)+SUMIF(JournalsB!E$14:E$920,TrialBalanceB!M69,JournalsB!J$14:J$920)</f>
        <v>0</v>
      </c>
      <c r="H69" s="363"/>
      <c r="I69" s="365">
        <f t="shared" si="0"/>
        <v>0</v>
      </c>
      <c r="J69" s="81"/>
      <c r="K69" s="54">
        <f t="shared" si="1"/>
        <v>0</v>
      </c>
      <c r="M69" s="192" t="str">
        <f t="shared" si="2"/>
        <v>2150/001</v>
      </c>
      <c r="N69" s="76"/>
      <c r="O69" s="77"/>
      <c r="P69" s="57"/>
      <c r="Q69" s="31"/>
    </row>
    <row r="70" spans="1:17" x14ac:dyDescent="0.2">
      <c r="A70" s="315"/>
      <c r="B70" s="110" t="s">
        <v>598</v>
      </c>
      <c r="C70" s="352"/>
      <c r="D70" s="356"/>
      <c r="E70" s="356"/>
      <c r="F70" s="86"/>
      <c r="G70" s="53">
        <f>SUMIF(JournalsB!D$14:D$920,TrialBalanceB!M70,JournalsB!J$14:J$920)+SUMIF(JournalsB!E$14:E$920,TrialBalanceB!M70,JournalsB!J$14:J$920)</f>
        <v>0</v>
      </c>
      <c r="H70" s="363"/>
      <c r="I70" s="365">
        <f t="shared" ref="I70:I88" si="6">ROUND(D70-E70+G70+F70,0)</f>
        <v>0</v>
      </c>
      <c r="J70" s="81"/>
      <c r="K70" s="54">
        <f t="shared" ref="K70:K123" si="7">ROUND(SUM(A70),0)</f>
        <v>0</v>
      </c>
      <c r="M70" s="192" t="str">
        <f t="shared" ref="M70:M123" si="8">CONCATENATE(B70,C70)</f>
        <v>2150/002</v>
      </c>
      <c r="N70" s="76"/>
      <c r="O70" s="77"/>
      <c r="P70" s="57"/>
      <c r="Q70" s="31"/>
    </row>
    <row r="71" spans="1:17" x14ac:dyDescent="0.2">
      <c r="A71" s="315"/>
      <c r="B71" s="110" t="s">
        <v>599</v>
      </c>
      <c r="C71" s="352"/>
      <c r="D71" s="356"/>
      <c r="E71" s="356"/>
      <c r="F71" s="86"/>
      <c r="G71" s="53">
        <f>SUMIF(JournalsB!D$14:D$920,TrialBalanceB!M71,JournalsB!J$14:J$920)+SUMIF(JournalsB!E$14:E$920,TrialBalanceB!M71,JournalsB!J$14:J$920)</f>
        <v>0</v>
      </c>
      <c r="H71" s="363"/>
      <c r="I71" s="365">
        <f t="shared" si="6"/>
        <v>0</v>
      </c>
      <c r="J71" s="81"/>
      <c r="K71" s="54">
        <f t="shared" si="7"/>
        <v>0</v>
      </c>
      <c r="M71" s="192" t="str">
        <f t="shared" si="8"/>
        <v>2150/003</v>
      </c>
      <c r="N71" s="76"/>
      <c r="O71" s="77"/>
      <c r="P71" s="57"/>
      <c r="Q71" s="31"/>
    </row>
    <row r="72" spans="1:17" x14ac:dyDescent="0.2">
      <c r="A72" s="315"/>
      <c r="B72" s="110" t="s">
        <v>600</v>
      </c>
      <c r="C72" s="352"/>
      <c r="D72" s="356"/>
      <c r="E72" s="356"/>
      <c r="F72" s="86"/>
      <c r="G72" s="53">
        <f>SUMIF(JournalsB!D$14:D$920,TrialBalanceB!M72,JournalsB!J$14:J$920)+SUMIF(JournalsB!E$14:E$920,TrialBalanceB!M72,JournalsB!J$14:J$920)</f>
        <v>0</v>
      </c>
      <c r="H72" s="363"/>
      <c r="I72" s="365">
        <f t="shared" si="6"/>
        <v>0</v>
      </c>
      <c r="J72" s="81"/>
      <c r="K72" s="54">
        <f t="shared" si="7"/>
        <v>0</v>
      </c>
      <c r="M72" s="192" t="str">
        <f t="shared" si="8"/>
        <v>2150/004</v>
      </c>
      <c r="N72" s="76"/>
      <c r="O72" s="77"/>
      <c r="P72" s="57"/>
      <c r="Q72" s="31"/>
    </row>
    <row r="73" spans="1:17" x14ac:dyDescent="0.2">
      <c r="A73" s="315"/>
      <c r="B73" s="110" t="s">
        <v>601</v>
      </c>
      <c r="C73" s="352"/>
      <c r="D73" s="356"/>
      <c r="E73" s="356"/>
      <c r="F73" s="86"/>
      <c r="G73" s="53">
        <f>SUMIF(JournalsB!D$14:D$920,TrialBalanceB!M73,JournalsB!J$14:J$920)+SUMIF(JournalsB!E$14:E$920,TrialBalanceB!M73,JournalsB!J$14:J$920)</f>
        <v>0</v>
      </c>
      <c r="H73" s="363"/>
      <c r="I73" s="365">
        <f t="shared" si="6"/>
        <v>0</v>
      </c>
      <c r="J73" s="81"/>
      <c r="K73" s="54">
        <f t="shared" si="7"/>
        <v>0</v>
      </c>
      <c r="M73" s="192" t="str">
        <f t="shared" si="8"/>
        <v>2150/005</v>
      </c>
      <c r="N73" s="76"/>
      <c r="O73" s="77"/>
      <c r="P73" s="57"/>
      <c r="Q73" s="31"/>
    </row>
    <row r="74" spans="1:17" x14ac:dyDescent="0.2">
      <c r="A74" s="315"/>
      <c r="B74" s="110" t="s">
        <v>602</v>
      </c>
      <c r="C74" s="352"/>
      <c r="D74" s="350"/>
      <c r="E74" s="356"/>
      <c r="F74" s="86"/>
      <c r="G74" s="53">
        <f>SUMIF(JournalsB!D$14:D$920,TrialBalanceB!M74,JournalsB!J$14:J$920)+SUMIF(JournalsB!E$14:E$920,TrialBalanceB!M74,JournalsB!J$14:J$920)</f>
        <v>0</v>
      </c>
      <c r="H74" s="363"/>
      <c r="I74" s="365">
        <f t="shared" si="6"/>
        <v>0</v>
      </c>
      <c r="J74" s="81"/>
      <c r="K74" s="54">
        <f t="shared" si="7"/>
        <v>0</v>
      </c>
      <c r="M74" s="192" t="str">
        <f t="shared" si="8"/>
        <v>2150/006</v>
      </c>
      <c r="N74" s="76"/>
      <c r="O74" s="77"/>
      <c r="P74" s="57"/>
      <c r="Q74" s="31"/>
    </row>
    <row r="75" spans="1:17" x14ac:dyDescent="0.2">
      <c r="A75" s="315"/>
      <c r="B75" s="110" t="s">
        <v>603</v>
      </c>
      <c r="C75" s="354"/>
      <c r="D75" s="350"/>
      <c r="E75" s="356"/>
      <c r="F75" s="86"/>
      <c r="G75" s="53">
        <f>SUMIF(JournalsB!D$14:D$920,TrialBalanceB!M75,JournalsB!J$14:J$920)+SUMIF(JournalsB!E$14:E$920,TrialBalanceB!M75,JournalsB!J$14:J$920)</f>
        <v>0</v>
      </c>
      <c r="H75" s="363"/>
      <c r="I75" s="365">
        <f t="shared" si="6"/>
        <v>0</v>
      </c>
      <c r="J75" s="81"/>
      <c r="K75" s="54">
        <f t="shared" si="7"/>
        <v>0</v>
      </c>
      <c r="M75" s="192" t="str">
        <f t="shared" si="8"/>
        <v>2150/007</v>
      </c>
      <c r="N75" s="76"/>
      <c r="O75" s="77"/>
      <c r="P75" s="57"/>
      <c r="Q75" s="31"/>
    </row>
    <row r="76" spans="1:17" x14ac:dyDescent="0.2">
      <c r="A76" s="315"/>
      <c r="B76" s="110" t="s">
        <v>604</v>
      </c>
      <c r="C76" s="354"/>
      <c r="D76" s="356"/>
      <c r="E76" s="356"/>
      <c r="F76" s="86"/>
      <c r="G76" s="53">
        <f>SUMIF(JournalsB!D$14:D$920,TrialBalanceB!M76,JournalsB!J$14:J$920)+SUMIF(JournalsB!E$14:E$920,TrialBalanceB!M76,JournalsB!J$14:J$920)</f>
        <v>0</v>
      </c>
      <c r="H76" s="363"/>
      <c r="I76" s="365">
        <f t="shared" si="6"/>
        <v>0</v>
      </c>
      <c r="J76" s="81"/>
      <c r="K76" s="54">
        <f t="shared" si="7"/>
        <v>0</v>
      </c>
      <c r="M76" s="192" t="str">
        <f t="shared" si="8"/>
        <v>2150/008</v>
      </c>
      <c r="N76" s="76"/>
      <c r="O76" s="77"/>
      <c r="P76" s="57"/>
      <c r="Q76" s="31"/>
    </row>
    <row r="77" spans="1:17" x14ac:dyDescent="0.2">
      <c r="A77" s="315"/>
      <c r="B77" s="110" t="s">
        <v>605</v>
      </c>
      <c r="C77" s="352"/>
      <c r="D77" s="356"/>
      <c r="E77" s="356"/>
      <c r="F77" s="86"/>
      <c r="G77" s="53">
        <f>SUMIF(JournalsB!D$14:D$920,TrialBalanceB!M77,JournalsB!J$14:J$920)+SUMIF(JournalsB!E$14:E$920,TrialBalanceB!M77,JournalsB!J$14:J$920)</f>
        <v>0</v>
      </c>
      <c r="H77" s="363"/>
      <c r="I77" s="365">
        <f t="shared" si="6"/>
        <v>0</v>
      </c>
      <c r="J77" s="81"/>
      <c r="K77" s="54">
        <f t="shared" si="7"/>
        <v>0</v>
      </c>
      <c r="M77" s="192" t="str">
        <f t="shared" si="8"/>
        <v>2150/009</v>
      </c>
      <c r="N77" s="76"/>
      <c r="O77" s="77"/>
      <c r="P77" s="57"/>
      <c r="Q77" s="31"/>
    </row>
    <row r="78" spans="1:17" x14ac:dyDescent="0.2">
      <c r="A78" s="315"/>
      <c r="B78" s="110" t="s">
        <v>606</v>
      </c>
      <c r="C78" s="352"/>
      <c r="D78" s="356"/>
      <c r="E78" s="356"/>
      <c r="F78" s="86"/>
      <c r="G78" s="53">
        <f>SUMIF(JournalsB!D$14:D$920,TrialBalanceB!M78,JournalsB!J$14:J$920)+SUMIF(JournalsB!E$14:E$920,TrialBalanceB!M78,JournalsB!J$14:J$920)</f>
        <v>0</v>
      </c>
      <c r="H78" s="363"/>
      <c r="I78" s="365">
        <f t="shared" si="6"/>
        <v>0</v>
      </c>
      <c r="J78" s="81"/>
      <c r="K78" s="54">
        <f t="shared" si="7"/>
        <v>0</v>
      </c>
      <c r="M78" s="192" t="str">
        <f t="shared" si="8"/>
        <v>2150/010</v>
      </c>
      <c r="N78" s="76"/>
      <c r="O78" s="77"/>
      <c r="P78" s="57"/>
      <c r="Q78" s="31"/>
    </row>
    <row r="79" spans="1:17" x14ac:dyDescent="0.2">
      <c r="A79" s="315"/>
      <c r="B79" s="60" t="s">
        <v>21</v>
      </c>
      <c r="C79" s="316" t="s">
        <v>949</v>
      </c>
      <c r="D79" s="358"/>
      <c r="E79" s="356"/>
      <c r="F79" s="86"/>
      <c r="G79" s="53">
        <f>SUMIF(JournalsB!D$14:D$920,TrialBalanceB!M79,JournalsB!J$14:J$920)+SUMIF(JournalsB!E$14:E$920,TrialBalanceB!M79,JournalsB!J$14:J$920)</f>
        <v>0</v>
      </c>
      <c r="H79" s="363"/>
      <c r="I79" s="365">
        <f t="shared" si="6"/>
        <v>0</v>
      </c>
      <c r="J79" s="81"/>
      <c r="K79" s="54">
        <f t="shared" si="7"/>
        <v>0</v>
      </c>
      <c r="M79" s="192" t="str">
        <f t="shared" si="8"/>
        <v>2500/000OTHER INCOME (TRADING ACTIVITY)</v>
      </c>
      <c r="N79" s="76"/>
      <c r="O79" s="77"/>
      <c r="P79" s="57"/>
      <c r="Q79" s="31"/>
    </row>
    <row r="80" spans="1:17" x14ac:dyDescent="0.2">
      <c r="A80" s="315"/>
      <c r="B80" s="60" t="s">
        <v>364</v>
      </c>
      <c r="C80" s="318" t="s">
        <v>765</v>
      </c>
      <c r="D80" s="348"/>
      <c r="E80" s="356"/>
      <c r="F80" s="86"/>
      <c r="G80" s="53">
        <f>SUMIF(JournalsB!D$14:D$920,TrialBalanceB!M80,JournalsB!J$14:J$920)+SUMIF(JournalsB!E$14:E$920,TrialBalanceB!M80,JournalsB!J$14:J$920)</f>
        <v>0</v>
      </c>
      <c r="H80" s="363"/>
      <c r="I80" s="365">
        <f t="shared" si="6"/>
        <v>0</v>
      </c>
      <c r="J80" s="81"/>
      <c r="K80" s="54">
        <f t="shared" si="7"/>
        <v>0</v>
      </c>
      <c r="M80" s="192" t="str">
        <f t="shared" si="8"/>
        <v>2710/000Rent received (not main income)</v>
      </c>
      <c r="N80" s="76"/>
      <c r="O80" s="77"/>
      <c r="P80" s="57"/>
      <c r="Q80" s="31"/>
    </row>
    <row r="81" spans="1:17" x14ac:dyDescent="0.2">
      <c r="A81" s="315"/>
      <c r="B81" s="60" t="s">
        <v>206</v>
      </c>
      <c r="C81" s="319" t="s">
        <v>632</v>
      </c>
      <c r="D81" s="359"/>
      <c r="E81" s="356"/>
      <c r="F81" s="86"/>
      <c r="G81" s="53">
        <f>SUMIF(JournalsB!D$14:D$920,TrialBalanceB!M81,JournalsB!J$14:J$920)+SUMIF(JournalsB!E$14:E$920,TrialBalanceB!M81,JournalsB!J$14:J$920)</f>
        <v>0</v>
      </c>
      <c r="H81" s="363"/>
      <c r="I81" s="365">
        <f t="shared" si="6"/>
        <v>0</v>
      </c>
      <c r="J81" s="81"/>
      <c r="K81" s="54">
        <f t="shared" si="7"/>
        <v>0</v>
      </c>
      <c r="M81" s="192" t="str">
        <f t="shared" si="8"/>
        <v>2810/000(Profit)/Loss on sale of fixed assets</v>
      </c>
      <c r="N81" s="76"/>
      <c r="O81" s="77"/>
      <c r="P81" s="57"/>
      <c r="Q81" s="31"/>
    </row>
    <row r="82" spans="1:17" x14ac:dyDescent="0.2">
      <c r="A82" s="315"/>
      <c r="B82" s="60" t="s">
        <v>207</v>
      </c>
      <c r="C82" s="317" t="s">
        <v>208</v>
      </c>
      <c r="D82" s="357"/>
      <c r="E82" s="356"/>
      <c r="F82" s="86"/>
      <c r="G82" s="53">
        <f>SUMIF(JournalsB!D$14:D$920,TrialBalanceB!M82,JournalsB!J$14:J$920)+SUMIF(JournalsB!E$14:E$920,TrialBalanceB!M82,JournalsB!J$14:J$920)</f>
        <v>0</v>
      </c>
      <c r="H82" s="363"/>
      <c r="I82" s="365">
        <f t="shared" si="6"/>
        <v>0</v>
      </c>
      <c r="J82" s="81"/>
      <c r="K82" s="54">
        <f t="shared" si="7"/>
        <v>0</v>
      </c>
      <c r="M82" s="192" t="str">
        <f t="shared" si="8"/>
        <v>2820/000Bad debts recovered</v>
      </c>
      <c r="N82" s="76"/>
      <c r="O82" s="77"/>
      <c r="P82" s="57"/>
      <c r="Q82" s="31"/>
    </row>
    <row r="83" spans="1:17" x14ac:dyDescent="0.2">
      <c r="A83" s="315"/>
      <c r="B83" s="60" t="s">
        <v>209</v>
      </c>
      <c r="C83" s="317" t="s">
        <v>210</v>
      </c>
      <c r="D83" s="357"/>
      <c r="E83" s="356"/>
      <c r="F83" s="86"/>
      <c r="G83" s="53">
        <f>SUMIF(JournalsB!D$14:D$920,TrialBalanceB!M83,JournalsB!J$14:J$920)+SUMIF(JournalsB!E$14:E$920,TrialBalanceB!M83,JournalsB!J$14:J$920)</f>
        <v>0</v>
      </c>
      <c r="H83" s="363"/>
      <c r="I83" s="365">
        <f t="shared" si="6"/>
        <v>0</v>
      </c>
      <c r="J83" s="81"/>
      <c r="K83" s="54">
        <f t="shared" si="7"/>
        <v>0</v>
      </c>
      <c r="M83" s="192" t="str">
        <f t="shared" si="8"/>
        <v>2830/000Other income</v>
      </c>
      <c r="N83" s="76"/>
      <c r="O83" s="57"/>
      <c r="P83" s="57"/>
      <c r="Q83" s="31"/>
    </row>
    <row r="84" spans="1:17" x14ac:dyDescent="0.2">
      <c r="A84" s="315"/>
      <c r="B84" s="60" t="s">
        <v>211</v>
      </c>
      <c r="C84" s="316" t="s">
        <v>1043</v>
      </c>
      <c r="D84" s="358"/>
      <c r="E84" s="356"/>
      <c r="F84" s="86"/>
      <c r="G84" s="53">
        <f>SUMIF(JournalsB!D$14:D$920,TrialBalanceB!M84,JournalsB!J$14:J$920)+SUMIF(JournalsB!E$14:E$920,TrialBalanceB!M84,JournalsB!J$14:J$920)</f>
        <v>0</v>
      </c>
      <c r="H84" s="363"/>
      <c r="I84" s="365">
        <f t="shared" si="6"/>
        <v>0</v>
      </c>
      <c r="J84" s="81"/>
      <c r="K84" s="54">
        <f t="shared" si="7"/>
        <v>0</v>
      </c>
      <c r="M84" s="192" t="str">
        <f t="shared" si="8"/>
        <v>3000/000ADMINISTRATIVE EXPENSES</v>
      </c>
      <c r="N84" s="76"/>
      <c r="O84" s="77"/>
      <c r="P84" s="57"/>
      <c r="Q84" s="31"/>
    </row>
    <row r="85" spans="1:17" x14ac:dyDescent="0.2">
      <c r="A85" s="315"/>
      <c r="B85" s="60" t="s">
        <v>212</v>
      </c>
      <c r="C85" s="317" t="s">
        <v>213</v>
      </c>
      <c r="D85" s="357"/>
      <c r="E85" s="356"/>
      <c r="F85" s="86"/>
      <c r="G85" s="53">
        <f>SUMIF(JournalsB!D$14:D$920,TrialBalanceB!M85,JournalsB!J$14:J$920)+SUMIF(JournalsB!E$14:E$920,TrialBalanceB!M85,JournalsB!J$14:J$920)</f>
        <v>0</v>
      </c>
      <c r="H85" s="363"/>
      <c r="I85" s="365">
        <f t="shared" si="6"/>
        <v>0</v>
      </c>
      <c r="J85" s="81"/>
      <c r="K85" s="54">
        <f t="shared" si="7"/>
        <v>0</v>
      </c>
      <c r="M85" s="192" t="str">
        <f t="shared" si="8"/>
        <v>3000/011Audit fees for current year</v>
      </c>
      <c r="N85" s="76"/>
      <c r="O85" s="57"/>
      <c r="P85" s="57"/>
      <c r="Q85" s="31"/>
    </row>
    <row r="86" spans="1:17" x14ac:dyDescent="0.2">
      <c r="A86" s="315"/>
      <c r="B86" s="60" t="s">
        <v>214</v>
      </c>
      <c r="C86" s="323" t="s">
        <v>353</v>
      </c>
      <c r="D86" s="348"/>
      <c r="E86" s="356"/>
      <c r="F86" s="86"/>
      <c r="G86" s="53">
        <f>SUMIF(JournalsB!D$14:D$920,TrialBalanceB!M86,JournalsB!J$14:J$920)+SUMIF(JournalsB!E$14:E$920,TrialBalanceB!M86,JournalsB!J$14:J$920)</f>
        <v>0</v>
      </c>
      <c r="H86" s="363"/>
      <c r="I86" s="365">
        <f t="shared" si="6"/>
        <v>0</v>
      </c>
      <c r="J86" s="81"/>
      <c r="K86" s="54">
        <f t="shared" si="7"/>
        <v>0</v>
      </c>
      <c r="M86" s="192" t="str">
        <f t="shared" si="8"/>
        <v>3000/012Under provision previous year</v>
      </c>
      <c r="N86" s="76"/>
      <c r="O86" s="77"/>
      <c r="P86" s="57"/>
      <c r="Q86" s="31"/>
    </row>
    <row r="87" spans="1:17" x14ac:dyDescent="0.2">
      <c r="A87" s="315"/>
      <c r="B87" s="60" t="s">
        <v>215</v>
      </c>
      <c r="C87" s="317" t="s">
        <v>216</v>
      </c>
      <c r="D87" s="357"/>
      <c r="E87" s="356"/>
      <c r="F87" s="86"/>
      <c r="G87" s="53">
        <f>SUMIF(JournalsB!D$14:D$920,TrialBalanceB!M87,JournalsB!J$14:J$920)+SUMIF(JournalsB!E$14:E$920,TrialBalanceB!M87,JournalsB!J$14:J$920)</f>
        <v>0</v>
      </c>
      <c r="H87" s="363"/>
      <c r="I87" s="365">
        <f t="shared" si="6"/>
        <v>0</v>
      </c>
      <c r="J87" s="81"/>
      <c r="K87" s="54">
        <f t="shared" si="7"/>
        <v>0</v>
      </c>
      <c r="M87" s="192" t="str">
        <f t="shared" si="8"/>
        <v>3000/013Overprovision previous year</v>
      </c>
      <c r="N87" s="76"/>
      <c r="O87" s="77"/>
      <c r="P87" s="57"/>
      <c r="Q87" s="31"/>
    </row>
    <row r="88" spans="1:17" x14ac:dyDescent="0.2">
      <c r="A88" s="315"/>
      <c r="B88" s="60" t="s">
        <v>217</v>
      </c>
      <c r="C88" s="317" t="s">
        <v>218</v>
      </c>
      <c r="D88" s="357"/>
      <c r="E88" s="356"/>
      <c r="F88" s="86"/>
      <c r="G88" s="53">
        <f>SUMIF(JournalsB!D$14:D$920,TrialBalanceB!M88,JournalsB!J$14:J$920)+SUMIF(JournalsB!E$14:E$920,TrialBalanceB!M88,JournalsB!J$14:J$920)</f>
        <v>0</v>
      </c>
      <c r="H88" s="363"/>
      <c r="I88" s="365">
        <f t="shared" si="6"/>
        <v>0</v>
      </c>
      <c r="J88" s="81"/>
      <c r="K88" s="54">
        <f t="shared" si="7"/>
        <v>0</v>
      </c>
      <c r="M88" s="192" t="str">
        <f t="shared" si="8"/>
        <v>3000/014Accounting fees</v>
      </c>
      <c r="N88" s="76"/>
      <c r="O88" s="77"/>
      <c r="P88" s="57"/>
      <c r="Q88" s="31"/>
    </row>
    <row r="89" spans="1:17" x14ac:dyDescent="0.2">
      <c r="A89" s="315"/>
      <c r="B89" s="60" t="s">
        <v>219</v>
      </c>
      <c r="C89" s="317" t="s">
        <v>220</v>
      </c>
      <c r="D89" s="357"/>
      <c r="E89" s="356"/>
      <c r="F89" s="86"/>
      <c r="G89" s="53">
        <f>SUMIF(JournalsB!D$14:D$920,TrialBalanceB!M89,JournalsB!J$14:J$920)+SUMIF(JournalsB!E$14:E$920,TrialBalanceB!M89,JournalsB!J$14:J$920)</f>
        <v>0</v>
      </c>
      <c r="H89" s="363"/>
      <c r="I89" s="365">
        <f>ROUND(D89-E89+G89+F89,0)</f>
        <v>0</v>
      </c>
      <c r="J89" s="81"/>
      <c r="K89" s="54">
        <f t="shared" si="7"/>
        <v>0</v>
      </c>
      <c r="M89" s="192" t="str">
        <f t="shared" si="8"/>
        <v>3000/020Bank charges</v>
      </c>
      <c r="N89" s="76"/>
      <c r="O89" s="77"/>
      <c r="P89" s="57"/>
      <c r="Q89" s="31"/>
    </row>
    <row r="90" spans="1:17" x14ac:dyDescent="0.2">
      <c r="A90" s="315"/>
      <c r="B90" s="60" t="s">
        <v>221</v>
      </c>
      <c r="C90" s="317" t="s">
        <v>222</v>
      </c>
      <c r="D90" s="357"/>
      <c r="E90" s="356"/>
      <c r="F90" s="86"/>
      <c r="G90" s="53">
        <f>SUMIF(JournalsB!D$14:D$920,TrialBalanceB!M90,JournalsB!J$14:J$920)+SUMIF(JournalsB!E$14:E$920,TrialBalanceB!M90,JournalsB!J$14:J$920)</f>
        <v>0</v>
      </c>
      <c r="H90" s="363"/>
      <c r="I90" s="365">
        <f t="shared" ref="I90:I178" si="9">ROUND(D90-E90+G90+F90,0)</f>
        <v>0</v>
      </c>
      <c r="J90" s="81"/>
      <c r="K90" s="54">
        <f t="shared" si="7"/>
        <v>0</v>
      </c>
      <c r="M90" s="192" t="str">
        <f t="shared" si="8"/>
        <v>3000/030Bad debts</v>
      </c>
      <c r="N90" s="76"/>
      <c r="O90" s="77"/>
      <c r="P90" s="57"/>
      <c r="Q90" s="31"/>
    </row>
    <row r="91" spans="1:17" x14ac:dyDescent="0.2">
      <c r="A91" s="315"/>
      <c r="B91" s="60" t="s">
        <v>223</v>
      </c>
      <c r="C91" s="317" t="s">
        <v>259</v>
      </c>
      <c r="D91" s="357"/>
      <c r="E91" s="356"/>
      <c r="F91" s="86"/>
      <c r="G91" s="53">
        <f>SUMIF(JournalsB!D$14:D$920,TrialBalanceB!M91,JournalsB!J$14:J$920)+SUMIF(JournalsB!E$14:E$920,TrialBalanceB!M91,JournalsB!J$14:J$920)</f>
        <v>0</v>
      </c>
      <c r="H91" s="363"/>
      <c r="I91" s="365">
        <f t="shared" si="9"/>
        <v>0</v>
      </c>
      <c r="J91" s="81"/>
      <c r="K91" s="54">
        <f t="shared" si="7"/>
        <v>0</v>
      </c>
      <c r="M91" s="192" t="str">
        <f t="shared" si="8"/>
        <v>3000/040Cleaning</v>
      </c>
      <c r="N91" s="76"/>
      <c r="O91" s="77"/>
      <c r="P91" s="57"/>
      <c r="Q91" s="31"/>
    </row>
    <row r="92" spans="1:17" x14ac:dyDescent="0.2">
      <c r="A92" s="315"/>
      <c r="B92" s="60" t="s">
        <v>224</v>
      </c>
      <c r="C92" s="317" t="s">
        <v>225</v>
      </c>
      <c r="D92" s="357"/>
      <c r="E92" s="356"/>
      <c r="F92" s="86"/>
      <c r="G92" s="53">
        <f>SUMIF(JournalsB!D$14:D$920,TrialBalanceB!M92,JournalsB!J$14:J$920)+SUMIF(JournalsB!E$14:E$920,TrialBalanceB!M92,JournalsB!J$14:J$920)</f>
        <v>0</v>
      </c>
      <c r="H92" s="363"/>
      <c r="I92" s="365">
        <f t="shared" si="9"/>
        <v>0</v>
      </c>
      <c r="J92" s="81"/>
      <c r="K92" s="54">
        <f t="shared" si="7"/>
        <v>0</v>
      </c>
      <c r="M92" s="192" t="str">
        <f t="shared" si="8"/>
        <v>3000/050Computer expenses</v>
      </c>
      <c r="N92" s="76"/>
      <c r="O92" s="77"/>
      <c r="P92" s="57"/>
      <c r="Q92" s="31"/>
    </row>
    <row r="93" spans="1:17" x14ac:dyDescent="0.2">
      <c r="A93" s="315"/>
      <c r="B93" s="110" t="s">
        <v>659</v>
      </c>
      <c r="C93" s="319" t="s">
        <v>735</v>
      </c>
      <c r="D93" s="357"/>
      <c r="E93" s="356"/>
      <c r="F93" s="86"/>
      <c r="G93" s="53">
        <f>SUMIF(JournalsB!D$14:D$920,TrialBalanceB!M93,JournalsB!J$14:J$920)+SUMIF(JournalsB!E$14:E$920,TrialBalanceB!M93,JournalsB!J$14:J$920)</f>
        <v>0</v>
      </c>
      <c r="H93" s="363"/>
      <c r="I93" s="365">
        <f t="shared" ref="I93" si="10">ROUND(D93-E93+G93+F93,0)</f>
        <v>0</v>
      </c>
      <c r="J93" s="81"/>
      <c r="K93" s="54">
        <f t="shared" ref="K93" si="11">ROUND(SUM(A93),0)</f>
        <v>0</v>
      </c>
      <c r="M93" s="192" t="str">
        <f t="shared" ref="M93" si="12">CONCATENATE(B93,C93)</f>
        <v>3000/055Consulting and professional fees</v>
      </c>
      <c r="N93" s="76"/>
      <c r="O93" s="77"/>
      <c r="P93" s="57"/>
      <c r="Q93" s="31"/>
    </row>
    <row r="94" spans="1:17" x14ac:dyDescent="0.2">
      <c r="A94" s="315"/>
      <c r="B94" s="60" t="s">
        <v>226</v>
      </c>
      <c r="C94" s="316" t="s">
        <v>418</v>
      </c>
      <c r="D94" s="358"/>
      <c r="E94" s="356"/>
      <c r="F94" s="86"/>
      <c r="G94" s="53">
        <f>SUMIF(JournalsB!D$14:D$920,TrialBalanceB!M94,JournalsB!J$14:J$920)+SUMIF(JournalsB!E$14:E$920,TrialBalanceB!M94,JournalsB!J$14:J$920)</f>
        <v>0</v>
      </c>
      <c r="H94" s="363"/>
      <c r="I94" s="365">
        <f t="shared" si="9"/>
        <v>0</v>
      </c>
      <c r="J94" s="81"/>
      <c r="K94" s="54">
        <f t="shared" si="7"/>
        <v>0</v>
      </c>
      <c r="M94" s="192" t="str">
        <f t="shared" si="8"/>
        <v>3000/060Depreciation----------------------------</v>
      </c>
      <c r="N94" s="76"/>
      <c r="O94" s="77"/>
      <c r="P94" s="57"/>
      <c r="Q94" s="31"/>
    </row>
    <row r="95" spans="1:17" x14ac:dyDescent="0.2">
      <c r="A95" s="315"/>
      <c r="B95" s="110" t="s">
        <v>227</v>
      </c>
      <c r="C95" s="318" t="s">
        <v>60</v>
      </c>
      <c r="D95" s="356"/>
      <c r="E95" s="356"/>
      <c r="F95" s="86"/>
      <c r="G95" s="53">
        <f>SUMIF(JournalsB!D$14:D$920,TrialBalanceB!M95,JournalsB!J$14:J$920)+SUMIF(JournalsB!E$14:E$920,TrialBalanceB!M95,JournalsB!J$14:J$920)</f>
        <v>0</v>
      </c>
      <c r="H95" s="363"/>
      <c r="I95" s="365">
        <f t="shared" si="9"/>
        <v>0</v>
      </c>
      <c r="J95" s="81"/>
      <c r="K95" s="54">
        <f t="shared" si="7"/>
        <v>0</v>
      </c>
      <c r="M95" s="192" t="str">
        <f t="shared" si="8"/>
        <v>3000/061Depr - Electronic equipment</v>
      </c>
      <c r="N95" s="76"/>
      <c r="O95" s="77"/>
      <c r="P95" s="57"/>
      <c r="Q95" s="31"/>
    </row>
    <row r="96" spans="1:17" x14ac:dyDescent="0.2">
      <c r="A96" s="315"/>
      <c r="B96" s="110" t="s">
        <v>366</v>
      </c>
      <c r="C96" s="319" t="s">
        <v>770</v>
      </c>
      <c r="D96" s="357"/>
      <c r="E96" s="356"/>
      <c r="F96" s="86"/>
      <c r="G96" s="53">
        <f>SUMIF(JournalsB!D$14:D$920,TrialBalanceB!M96,JournalsB!J$14:J$920)+SUMIF(JournalsB!E$14:E$920,TrialBalanceB!M96,JournalsB!J$14:J$920)</f>
        <v>0</v>
      </c>
      <c r="H96" s="363"/>
      <c r="I96" s="365">
        <f t="shared" si="9"/>
        <v>0</v>
      </c>
      <c r="J96" s="81"/>
      <c r="K96" s="54">
        <f t="shared" si="7"/>
        <v>0</v>
      </c>
      <c r="M96" s="192" t="str">
        <f t="shared" si="8"/>
        <v>3000/063Depr - Furniture and fittings</v>
      </c>
      <c r="N96" s="76"/>
      <c r="O96" s="77"/>
      <c r="P96" s="57"/>
      <c r="Q96" s="31"/>
    </row>
    <row r="97" spans="1:17" x14ac:dyDescent="0.2">
      <c r="A97" s="315"/>
      <c r="B97" s="60" t="s">
        <v>367</v>
      </c>
      <c r="C97" s="316" t="s">
        <v>942</v>
      </c>
      <c r="D97" s="358"/>
      <c r="E97" s="356"/>
      <c r="F97" s="86"/>
      <c r="G97" s="53">
        <f>SUMIF(JournalsB!D$14:D$920,TrialBalanceB!M97,JournalsB!J$14:J$920)+SUMIF(JournalsB!E$14:E$920,TrialBalanceB!M97,JournalsB!J$14:J$920)</f>
        <v>0</v>
      </c>
      <c r="H97" s="363"/>
      <c r="I97" s="365">
        <f t="shared" si="9"/>
        <v>0</v>
      </c>
      <c r="J97" s="81"/>
      <c r="K97" s="54">
        <f t="shared" si="7"/>
        <v>0</v>
      </c>
      <c r="M97" s="192" t="str">
        <f t="shared" si="8"/>
        <v>3000/070Trustees' remuneration-----------------</v>
      </c>
      <c r="N97" s="76"/>
      <c r="O97" s="77"/>
      <c r="P97" s="57"/>
      <c r="Q97" s="31"/>
    </row>
    <row r="98" spans="1:17" x14ac:dyDescent="0.2">
      <c r="A98" s="315"/>
      <c r="B98" s="60" t="s">
        <v>368</v>
      </c>
      <c r="C98" s="352" t="str">
        <f>Criteria!E38</f>
        <v>A Trustee</v>
      </c>
      <c r="D98" s="356"/>
      <c r="E98" s="356"/>
      <c r="F98" s="86"/>
      <c r="G98" s="53">
        <f>SUMIF(JournalsB!D$14:D$920,TrialBalanceB!M98,JournalsB!J$14:J$920)+SUMIF(JournalsB!E$14:E$920,TrialBalanceB!M98,JournalsB!J$14:J$920)</f>
        <v>0</v>
      </c>
      <c r="H98" s="363"/>
      <c r="I98" s="365">
        <f t="shared" si="9"/>
        <v>0</v>
      </c>
      <c r="J98" s="81"/>
      <c r="K98" s="54">
        <f t="shared" si="7"/>
        <v>0</v>
      </c>
      <c r="M98" s="192" t="str">
        <f t="shared" si="8"/>
        <v>3000/071A Trustee</v>
      </c>
      <c r="N98" s="76"/>
      <c r="O98" s="77"/>
      <c r="P98" s="57"/>
      <c r="Q98" s="31"/>
    </row>
    <row r="99" spans="1:17" x14ac:dyDescent="0.2">
      <c r="A99" s="315"/>
      <c r="B99" s="60" t="s">
        <v>369</v>
      </c>
      <c r="C99" s="352" t="str">
        <f>Criteria!E39</f>
        <v>C Trustee</v>
      </c>
      <c r="D99" s="356"/>
      <c r="E99" s="356"/>
      <c r="F99" s="86"/>
      <c r="G99" s="53">
        <f>SUMIF(JournalsB!D$14:D$920,TrialBalanceB!M99,JournalsB!J$14:J$920)+SUMIF(JournalsB!E$14:E$920,TrialBalanceB!M99,JournalsB!J$14:J$920)</f>
        <v>0</v>
      </c>
      <c r="H99" s="363"/>
      <c r="I99" s="365">
        <f t="shared" si="9"/>
        <v>0</v>
      </c>
      <c r="J99" s="81"/>
      <c r="K99" s="54">
        <f t="shared" si="7"/>
        <v>0</v>
      </c>
      <c r="M99" s="192" t="str">
        <f t="shared" si="8"/>
        <v>3000/072C Trustee</v>
      </c>
      <c r="N99" s="76"/>
      <c r="O99" s="77"/>
      <c r="P99" s="57"/>
      <c r="Q99" s="31"/>
    </row>
    <row r="100" spans="1:17" x14ac:dyDescent="0.2">
      <c r="A100" s="315"/>
      <c r="B100" s="60" t="s">
        <v>370</v>
      </c>
      <c r="C100" s="352">
        <f>Criteria!E40</f>
        <v>0</v>
      </c>
      <c r="D100" s="356"/>
      <c r="E100" s="356"/>
      <c r="F100" s="86"/>
      <c r="G100" s="53">
        <f>SUMIF(JournalsB!D$14:D$920,TrialBalanceB!M100,JournalsB!J$14:J$920)+SUMIF(JournalsB!E$14:E$920,TrialBalanceB!M100,JournalsB!J$14:J$920)</f>
        <v>0</v>
      </c>
      <c r="H100" s="363"/>
      <c r="I100" s="365">
        <f t="shared" si="9"/>
        <v>0</v>
      </c>
      <c r="J100" s="81"/>
      <c r="K100" s="54">
        <f t="shared" si="7"/>
        <v>0</v>
      </c>
      <c r="M100" s="192" t="str">
        <f t="shared" si="8"/>
        <v>3000/0730</v>
      </c>
      <c r="N100" s="76"/>
      <c r="O100" s="77"/>
      <c r="P100" s="57"/>
      <c r="Q100" s="31"/>
    </row>
    <row r="101" spans="1:17" x14ac:dyDescent="0.2">
      <c r="A101" s="315"/>
      <c r="B101" s="60" t="s">
        <v>371</v>
      </c>
      <c r="C101" s="352">
        <f>Criteria!E41</f>
        <v>0</v>
      </c>
      <c r="D101" s="356"/>
      <c r="E101" s="356"/>
      <c r="F101" s="86"/>
      <c r="G101" s="53">
        <f>SUMIF(JournalsB!D$14:D$920,TrialBalanceB!M101,JournalsB!J$14:J$920)+SUMIF(JournalsB!E$14:E$920,TrialBalanceB!M101,JournalsB!J$14:J$920)</f>
        <v>0</v>
      </c>
      <c r="H101" s="363"/>
      <c r="I101" s="365">
        <f t="shared" si="9"/>
        <v>0</v>
      </c>
      <c r="J101" s="81"/>
      <c r="K101" s="54">
        <f t="shared" si="7"/>
        <v>0</v>
      </c>
      <c r="M101" s="192" t="str">
        <f t="shared" si="8"/>
        <v>3000/0740</v>
      </c>
      <c r="N101" s="76"/>
      <c r="O101" s="77"/>
      <c r="P101" s="57"/>
      <c r="Q101" s="31"/>
    </row>
    <row r="102" spans="1:17" x14ac:dyDescent="0.2">
      <c r="A102" s="315"/>
      <c r="B102" s="60" t="s">
        <v>372</v>
      </c>
      <c r="C102" s="352">
        <f>Criteria!E42</f>
        <v>0</v>
      </c>
      <c r="D102" s="357"/>
      <c r="E102" s="356"/>
      <c r="F102" s="86"/>
      <c r="G102" s="53">
        <f>SUMIF(JournalsB!D$14:D$920,TrialBalanceB!M102,JournalsB!J$14:J$920)+SUMIF(JournalsB!E$14:E$920,TrialBalanceB!M102,JournalsB!J$14:J$920)</f>
        <v>0</v>
      </c>
      <c r="H102" s="363"/>
      <c r="I102" s="365">
        <f t="shared" si="9"/>
        <v>0</v>
      </c>
      <c r="J102" s="81"/>
      <c r="K102" s="54">
        <f t="shared" si="7"/>
        <v>0</v>
      </c>
      <c r="M102" s="192" t="str">
        <f t="shared" si="8"/>
        <v>3000/0750</v>
      </c>
      <c r="N102" s="76"/>
      <c r="O102" s="77"/>
      <c r="P102" s="57"/>
      <c r="Q102" s="31"/>
    </row>
    <row r="103" spans="1:17" x14ac:dyDescent="0.2">
      <c r="A103" s="315"/>
      <c r="B103" s="60" t="s">
        <v>373</v>
      </c>
      <c r="C103" s="317" t="s">
        <v>260</v>
      </c>
      <c r="D103" s="357"/>
      <c r="E103" s="356"/>
      <c r="F103" s="86"/>
      <c r="G103" s="53">
        <f>SUMIF(JournalsB!D$14:D$920,TrialBalanceB!M103,JournalsB!J$14:J$920)+SUMIF(JournalsB!E$14:E$920,TrialBalanceB!M103,JournalsB!J$14:J$920)</f>
        <v>0</v>
      </c>
      <c r="H103" s="363"/>
      <c r="I103" s="365">
        <f t="shared" si="9"/>
        <v>0</v>
      </c>
      <c r="J103" s="81"/>
      <c r="K103" s="54">
        <f t="shared" si="7"/>
        <v>0</v>
      </c>
      <c r="M103" s="192" t="str">
        <f t="shared" si="8"/>
        <v>3000/080Donations</v>
      </c>
      <c r="N103" s="76"/>
      <c r="O103" s="77"/>
      <c r="P103" s="57"/>
      <c r="Q103" s="31"/>
    </row>
    <row r="104" spans="1:17" x14ac:dyDescent="0.2">
      <c r="A104" s="315"/>
      <c r="B104" s="60" t="s">
        <v>374</v>
      </c>
      <c r="C104" s="317" t="s">
        <v>375</v>
      </c>
      <c r="D104" s="357"/>
      <c r="E104" s="356"/>
      <c r="F104" s="86"/>
      <c r="G104" s="53">
        <f>SUMIF(JournalsB!D$14:D$920,TrialBalanceB!M104,JournalsB!J$14:J$920)+SUMIF(JournalsB!E$14:E$920,TrialBalanceB!M104,JournalsB!J$14:J$920)</f>
        <v>0</v>
      </c>
      <c r="H104" s="363"/>
      <c r="I104" s="365">
        <f t="shared" si="9"/>
        <v>0</v>
      </c>
      <c r="J104" s="81"/>
      <c r="K104" s="54">
        <f t="shared" si="7"/>
        <v>0</v>
      </c>
      <c r="M104" s="192" t="str">
        <f t="shared" si="8"/>
        <v>3000/090Entertainment expenses</v>
      </c>
      <c r="N104" s="76"/>
      <c r="O104" s="77"/>
      <c r="P104" s="57"/>
      <c r="Q104" s="31"/>
    </row>
    <row r="105" spans="1:17" x14ac:dyDescent="0.2">
      <c r="A105" s="315"/>
      <c r="B105" s="62" t="s">
        <v>70</v>
      </c>
      <c r="C105" s="323" t="s">
        <v>326</v>
      </c>
      <c r="D105" s="348"/>
      <c r="E105" s="356"/>
      <c r="F105" s="86"/>
      <c r="G105" s="53">
        <f>SUMIF(JournalsB!D$14:D$920,TrialBalanceB!M105,JournalsB!J$14:J$920)+SUMIF(JournalsB!E$14:E$920,TrialBalanceB!M105,JournalsB!J$14:J$920)</f>
        <v>0</v>
      </c>
      <c r="H105" s="363"/>
      <c r="I105" s="365">
        <f t="shared" si="9"/>
        <v>0</v>
      </c>
      <c r="J105" s="81"/>
      <c r="K105" s="54">
        <f t="shared" si="7"/>
        <v>0</v>
      </c>
      <c r="M105" s="192" t="str">
        <f t="shared" si="8"/>
        <v>3000/095Fines</v>
      </c>
      <c r="N105" s="76"/>
      <c r="O105" s="77"/>
      <c r="P105" s="57"/>
      <c r="Q105" s="31"/>
    </row>
    <row r="106" spans="1:17" x14ac:dyDescent="0.2">
      <c r="A106" s="315"/>
      <c r="B106" s="60" t="s">
        <v>376</v>
      </c>
      <c r="C106" s="317" t="s">
        <v>377</v>
      </c>
      <c r="D106" s="357"/>
      <c r="E106" s="356"/>
      <c r="F106" s="86"/>
      <c r="G106" s="53">
        <f>SUMIF(JournalsB!D$14:D$920,TrialBalanceB!M106,JournalsB!J$14:J$920)+SUMIF(JournalsB!E$14:E$920,TrialBalanceB!M106,JournalsB!J$14:J$920)</f>
        <v>0</v>
      </c>
      <c r="H106" s="363"/>
      <c r="I106" s="365">
        <f t="shared" si="9"/>
        <v>0</v>
      </c>
      <c r="J106" s="81"/>
      <c r="K106" s="54">
        <f t="shared" si="7"/>
        <v>0</v>
      </c>
      <c r="M106" s="192" t="str">
        <f t="shared" si="8"/>
        <v>3000/100General expenses</v>
      </c>
      <c r="N106" s="76"/>
      <c r="O106" s="77"/>
      <c r="P106" s="57"/>
      <c r="Q106" s="31"/>
    </row>
    <row r="107" spans="1:17" x14ac:dyDescent="0.2">
      <c r="A107" s="315"/>
      <c r="B107" s="60" t="s">
        <v>304</v>
      </c>
      <c r="C107" s="318" t="s">
        <v>767</v>
      </c>
      <c r="D107" s="348"/>
      <c r="E107" s="356"/>
      <c r="F107" s="86"/>
      <c r="G107" s="53">
        <f>SUMIF(JournalsB!D$14:D$920,TrialBalanceB!M107,JournalsB!J$14:J$920)+SUMIF(JournalsB!E$14:E$920,TrialBalanceB!M107,JournalsB!J$14:J$920)</f>
        <v>0</v>
      </c>
      <c r="H107" s="363"/>
      <c r="I107" s="365">
        <f t="shared" si="9"/>
        <v>0</v>
      </c>
      <c r="J107" s="81"/>
      <c r="K107" s="54">
        <f t="shared" si="7"/>
        <v>0</v>
      </c>
      <c r="M107" s="192" t="str">
        <f t="shared" si="8"/>
        <v>3000/110Legal expenses - tax deductible</v>
      </c>
      <c r="N107" s="76"/>
      <c r="O107" s="77"/>
      <c r="P107" s="57"/>
      <c r="Q107" s="31"/>
    </row>
    <row r="108" spans="1:17" x14ac:dyDescent="0.2">
      <c r="A108" s="315"/>
      <c r="B108" s="60" t="s">
        <v>452</v>
      </c>
      <c r="C108" s="318" t="s">
        <v>768</v>
      </c>
      <c r="D108" s="348"/>
      <c r="E108" s="356"/>
      <c r="F108" s="86"/>
      <c r="G108" s="53">
        <f>SUMIF(JournalsB!D$14:D$920,TrialBalanceB!M108,JournalsB!J$14:J$920)+SUMIF(JournalsB!E$14:E$920,TrialBalanceB!M108,JournalsB!J$14:J$920)</f>
        <v>0</v>
      </c>
      <c r="H108" s="363"/>
      <c r="I108" s="365">
        <f t="shared" si="9"/>
        <v>0</v>
      </c>
      <c r="J108" s="81"/>
      <c r="K108" s="54">
        <f t="shared" si="7"/>
        <v>0</v>
      </c>
      <c r="M108" s="192" t="str">
        <f t="shared" si="8"/>
        <v>3000/111Legal expenses - non deductible</v>
      </c>
      <c r="N108" s="76"/>
      <c r="O108" s="77"/>
      <c r="P108" s="57"/>
      <c r="Q108" s="31"/>
    </row>
    <row r="109" spans="1:17" x14ac:dyDescent="0.2">
      <c r="A109" s="315"/>
      <c r="B109" s="60" t="s">
        <v>305</v>
      </c>
      <c r="C109" s="317" t="s">
        <v>306</v>
      </c>
      <c r="D109" s="357"/>
      <c r="E109" s="356"/>
      <c r="F109" s="86"/>
      <c r="G109" s="53">
        <f>SUMIF(JournalsB!D$14:D$920,TrialBalanceB!M109,JournalsB!J$14:J$920)+SUMIF(JournalsB!E$14:E$920,TrialBalanceB!M109,JournalsB!J$14:J$920)</f>
        <v>0</v>
      </c>
      <c r="H109" s="363"/>
      <c r="I109" s="365">
        <f t="shared" si="9"/>
        <v>0</v>
      </c>
      <c r="J109" s="81"/>
      <c r="K109" s="54">
        <f t="shared" si="7"/>
        <v>0</v>
      </c>
      <c r="M109" s="192" t="str">
        <f t="shared" si="8"/>
        <v>3000/120Printing and stationary</v>
      </c>
      <c r="N109" s="76"/>
      <c r="O109" s="77"/>
      <c r="P109" s="57"/>
      <c r="Q109" s="31"/>
    </row>
    <row r="110" spans="1:17" x14ac:dyDescent="0.2">
      <c r="A110" s="315"/>
      <c r="B110" s="60" t="s">
        <v>307</v>
      </c>
      <c r="C110" s="317" t="s">
        <v>261</v>
      </c>
      <c r="D110" s="357"/>
      <c r="E110" s="356"/>
      <c r="F110" s="86"/>
      <c r="G110" s="53">
        <f>SUMIF(JournalsB!D$14:D$920,TrialBalanceB!M110,JournalsB!J$14:J$920)+SUMIF(JournalsB!E$14:E$920,TrialBalanceB!M110,JournalsB!J$14:J$920)</f>
        <v>0</v>
      </c>
      <c r="H110" s="363"/>
      <c r="I110" s="365">
        <f t="shared" si="9"/>
        <v>0</v>
      </c>
      <c r="J110" s="81"/>
      <c r="K110" s="54">
        <f t="shared" si="7"/>
        <v>0</v>
      </c>
      <c r="M110" s="192" t="str">
        <f t="shared" si="8"/>
        <v>3000/130Refreshments</v>
      </c>
      <c r="N110" s="76"/>
      <c r="O110" s="77"/>
      <c r="P110" s="57"/>
      <c r="Q110" s="31"/>
    </row>
    <row r="111" spans="1:17" x14ac:dyDescent="0.2">
      <c r="A111" s="315"/>
      <c r="B111" s="60" t="s">
        <v>308</v>
      </c>
      <c r="C111" s="317" t="s">
        <v>78</v>
      </c>
      <c r="D111" s="357"/>
      <c r="E111" s="356"/>
      <c r="F111" s="86"/>
      <c r="G111" s="53">
        <f>SUMIF(JournalsB!D$14:D$920,TrialBalanceB!M111,JournalsB!J$14:J$920)+SUMIF(JournalsB!E$14:E$920,TrialBalanceB!M111,JournalsB!J$14:J$920)</f>
        <v>0</v>
      </c>
      <c r="H111" s="363"/>
      <c r="I111" s="365">
        <f t="shared" si="9"/>
        <v>0</v>
      </c>
      <c r="J111" s="81"/>
      <c r="K111" s="54">
        <f t="shared" si="7"/>
        <v>0</v>
      </c>
      <c r="M111" s="192" t="str">
        <f t="shared" si="8"/>
        <v>3000/140Salaries</v>
      </c>
      <c r="N111" s="76"/>
      <c r="O111" s="77"/>
      <c r="P111" s="57"/>
      <c r="Q111" s="31"/>
    </row>
    <row r="112" spans="1:17" x14ac:dyDescent="0.2">
      <c r="A112" s="315"/>
      <c r="B112" s="110" t="s">
        <v>309</v>
      </c>
      <c r="C112" s="317" t="s">
        <v>82</v>
      </c>
      <c r="D112" s="357"/>
      <c r="E112" s="356"/>
      <c r="F112" s="86"/>
      <c r="G112" s="53">
        <f>SUMIF(JournalsB!D$14:D$920,TrialBalanceB!M112,JournalsB!J$14:J$920)+SUMIF(JournalsB!E$14:E$920,TrialBalanceB!M112,JournalsB!J$14:J$920)</f>
        <v>0</v>
      </c>
      <c r="H112" s="363"/>
      <c r="I112" s="365">
        <f t="shared" si="9"/>
        <v>0</v>
      </c>
      <c r="J112" s="81"/>
      <c r="K112" s="54">
        <f t="shared" si="7"/>
        <v>0</v>
      </c>
      <c r="M112" s="192" t="str">
        <f t="shared" si="8"/>
        <v>3000/141Casual wages</v>
      </c>
      <c r="N112" s="76"/>
      <c r="O112" s="77"/>
      <c r="P112" s="57"/>
      <c r="Q112" s="31"/>
    </row>
    <row r="113" spans="1:17" x14ac:dyDescent="0.2">
      <c r="A113" s="315"/>
      <c r="B113" s="60" t="s">
        <v>310</v>
      </c>
      <c r="C113" s="317" t="s">
        <v>262</v>
      </c>
      <c r="D113" s="357"/>
      <c r="E113" s="356"/>
      <c r="F113" s="86"/>
      <c r="G113" s="53">
        <f>SUMIF(JournalsB!D$14:D$920,TrialBalanceB!M113,JournalsB!J$14:J$920)+SUMIF(JournalsB!E$14:E$920,TrialBalanceB!M113,JournalsB!J$14:J$920)</f>
        <v>0</v>
      </c>
      <c r="H113" s="363"/>
      <c r="I113" s="365">
        <f t="shared" si="9"/>
        <v>0</v>
      </c>
      <c r="J113" s="81"/>
      <c r="K113" s="54">
        <f t="shared" si="7"/>
        <v>0</v>
      </c>
      <c r="M113" s="192" t="str">
        <f t="shared" si="8"/>
        <v>3000/150Security</v>
      </c>
      <c r="N113" s="76"/>
      <c r="O113" s="77"/>
      <c r="P113" s="57"/>
      <c r="Q113" s="31"/>
    </row>
    <row r="114" spans="1:17" x14ac:dyDescent="0.2">
      <c r="A114" s="315"/>
      <c r="B114" s="60" t="s">
        <v>311</v>
      </c>
      <c r="C114" s="319" t="s">
        <v>737</v>
      </c>
      <c r="D114" s="359"/>
      <c r="E114" s="356"/>
      <c r="F114" s="86"/>
      <c r="G114" s="53">
        <f>SUMIF(JournalsB!D$14:D$920,TrialBalanceB!M114,JournalsB!J$14:J$920)+SUMIF(JournalsB!E$14:E$920,TrialBalanceB!M114,JournalsB!J$14:J$920)</f>
        <v>0</v>
      </c>
      <c r="H114" s="363"/>
      <c r="I114" s="365">
        <f t="shared" si="9"/>
        <v>0</v>
      </c>
      <c r="J114" s="81"/>
      <c r="K114" s="54">
        <f t="shared" si="7"/>
        <v>0</v>
      </c>
      <c r="M114" s="192" t="str">
        <f t="shared" si="8"/>
        <v>3000/160Subscriptions and membership fees</v>
      </c>
      <c r="N114" s="76"/>
      <c r="O114" s="77"/>
      <c r="P114" s="57"/>
      <c r="Q114" s="31"/>
    </row>
    <row r="115" spans="1:17" x14ac:dyDescent="0.2">
      <c r="A115" s="315"/>
      <c r="B115" s="60" t="s">
        <v>330</v>
      </c>
      <c r="C115" s="319" t="s">
        <v>769</v>
      </c>
      <c r="D115" s="357"/>
      <c r="E115" s="356"/>
      <c r="F115" s="86"/>
      <c r="G115" s="53">
        <f>SUMIF(JournalsB!D$14:D$920,TrialBalanceB!M115,JournalsB!J$14:J$920)+SUMIF(JournalsB!E$14:E$920,TrialBalanceB!M115,JournalsB!J$14:J$920)</f>
        <v>0</v>
      </c>
      <c r="H115" s="363"/>
      <c r="I115" s="365">
        <f t="shared" si="9"/>
        <v>0</v>
      </c>
      <c r="J115" s="81"/>
      <c r="K115" s="54">
        <f t="shared" si="7"/>
        <v>0</v>
      </c>
      <c r="M115" s="192" t="str">
        <f t="shared" si="8"/>
        <v>3000/170Penalties and interest - SARS</v>
      </c>
      <c r="N115" s="76"/>
      <c r="O115" s="77"/>
      <c r="P115" s="57"/>
      <c r="Q115" s="31"/>
    </row>
    <row r="116" spans="1:17" x14ac:dyDescent="0.2">
      <c r="A116" s="315"/>
      <c r="B116" s="60" t="s">
        <v>281</v>
      </c>
      <c r="C116" s="352"/>
      <c r="D116" s="356"/>
      <c r="E116" s="356"/>
      <c r="F116" s="86"/>
      <c r="G116" s="53">
        <f>SUMIF(JournalsB!D$14:D$920,TrialBalanceB!M116,JournalsB!J$14:J$920)+SUMIF(JournalsB!E$14:E$920,TrialBalanceB!M116,JournalsB!J$14:J$920)</f>
        <v>0</v>
      </c>
      <c r="H116" s="363"/>
      <c r="I116" s="365">
        <f t="shared" si="9"/>
        <v>0</v>
      </c>
      <c r="J116" s="81"/>
      <c r="K116" s="54">
        <f t="shared" si="7"/>
        <v>0</v>
      </c>
      <c r="M116" s="192" t="str">
        <f t="shared" si="8"/>
        <v>3000/180</v>
      </c>
      <c r="N116" s="76"/>
      <c r="O116" s="77"/>
      <c r="P116" s="57"/>
      <c r="Q116" s="31"/>
    </row>
    <row r="117" spans="1:17" x14ac:dyDescent="0.2">
      <c r="A117" s="315"/>
      <c r="B117" s="60" t="s">
        <v>282</v>
      </c>
      <c r="C117" s="352"/>
      <c r="D117" s="356"/>
      <c r="E117" s="356"/>
      <c r="F117" s="86"/>
      <c r="G117" s="53">
        <f>SUMIF(JournalsB!D$14:D$920,TrialBalanceB!M117,JournalsB!J$14:J$920)+SUMIF(JournalsB!E$14:E$920,TrialBalanceB!M117,JournalsB!J$14:J$920)</f>
        <v>0</v>
      </c>
      <c r="H117" s="363"/>
      <c r="I117" s="365">
        <f t="shared" si="9"/>
        <v>0</v>
      </c>
      <c r="J117" s="81"/>
      <c r="K117" s="54">
        <f t="shared" si="7"/>
        <v>0</v>
      </c>
      <c r="M117" s="192" t="str">
        <f t="shared" si="8"/>
        <v>3000/190</v>
      </c>
      <c r="N117" s="76"/>
      <c r="O117" s="77"/>
      <c r="P117" s="57"/>
      <c r="Q117" s="31"/>
    </row>
    <row r="118" spans="1:17" x14ac:dyDescent="0.2">
      <c r="A118" s="315"/>
      <c r="B118" s="60" t="s">
        <v>283</v>
      </c>
      <c r="C118" s="353"/>
      <c r="D118" s="356"/>
      <c r="E118" s="356"/>
      <c r="F118" s="86"/>
      <c r="G118" s="53">
        <f>SUMIF(JournalsB!D$14:D$920,TrialBalanceB!M118,JournalsB!J$14:J$920)+SUMIF(JournalsB!E$14:E$920,TrialBalanceB!M118,JournalsB!J$14:J$920)</f>
        <v>0</v>
      </c>
      <c r="H118" s="363"/>
      <c r="I118" s="365">
        <f t="shared" si="9"/>
        <v>0</v>
      </c>
      <c r="J118" s="81"/>
      <c r="K118" s="54">
        <f t="shared" si="7"/>
        <v>0</v>
      </c>
      <c r="M118" s="192" t="str">
        <f t="shared" si="8"/>
        <v>3000/200</v>
      </c>
      <c r="N118" s="76"/>
      <c r="O118" s="77"/>
      <c r="P118" s="57"/>
      <c r="Q118" s="31"/>
    </row>
    <row r="119" spans="1:17" x14ac:dyDescent="0.2">
      <c r="A119" s="315"/>
      <c r="B119" s="60" t="s">
        <v>284</v>
      </c>
      <c r="C119" s="353"/>
      <c r="D119" s="348"/>
      <c r="E119" s="356"/>
      <c r="F119" s="86"/>
      <c r="G119" s="53">
        <f>SUMIF(JournalsB!D$14:D$920,TrialBalanceB!M119,JournalsB!J$14:J$920)+SUMIF(JournalsB!E$14:E$920,TrialBalanceB!M119,JournalsB!J$14:J$920)</f>
        <v>0</v>
      </c>
      <c r="H119" s="363"/>
      <c r="I119" s="365">
        <f t="shared" si="9"/>
        <v>0</v>
      </c>
      <c r="J119" s="81"/>
      <c r="K119" s="54">
        <f t="shared" si="7"/>
        <v>0</v>
      </c>
      <c r="M119" s="192" t="str">
        <f t="shared" si="8"/>
        <v>3000/210</v>
      </c>
      <c r="N119" s="76"/>
      <c r="O119" s="77"/>
      <c r="P119" s="57"/>
      <c r="Q119" s="31"/>
    </row>
    <row r="120" spans="1:17" x14ac:dyDescent="0.2">
      <c r="A120" s="315"/>
      <c r="B120" s="60" t="s">
        <v>285</v>
      </c>
      <c r="C120" s="353"/>
      <c r="D120" s="356"/>
      <c r="E120" s="356"/>
      <c r="F120" s="86"/>
      <c r="G120" s="53">
        <f>SUMIF(JournalsB!D$14:D$920,TrialBalanceB!M120,JournalsB!J$14:J$920)+SUMIF(JournalsB!E$14:E$920,TrialBalanceB!M120,JournalsB!J$14:J$920)</f>
        <v>0</v>
      </c>
      <c r="H120" s="363"/>
      <c r="I120" s="365">
        <f t="shared" si="9"/>
        <v>0</v>
      </c>
      <c r="J120" s="81"/>
      <c r="K120" s="54">
        <f t="shared" si="7"/>
        <v>0</v>
      </c>
      <c r="M120" s="192" t="str">
        <f t="shared" si="8"/>
        <v>3000/220</v>
      </c>
      <c r="N120" s="76"/>
      <c r="O120" s="77"/>
      <c r="P120" s="57"/>
      <c r="Q120" s="31"/>
    </row>
    <row r="121" spans="1:17" x14ac:dyDescent="0.2">
      <c r="A121" s="315"/>
      <c r="B121" s="110" t="s">
        <v>506</v>
      </c>
      <c r="C121" s="353"/>
      <c r="D121" s="348"/>
      <c r="E121" s="356"/>
      <c r="F121" s="86"/>
      <c r="G121" s="53">
        <f>SUMIF(JournalsB!D$14:D$920,TrialBalanceB!M121,JournalsB!J$14:J$920)+SUMIF(JournalsB!E$14:E$920,TrialBalanceB!M121,JournalsB!J$14:J$920)</f>
        <v>0</v>
      </c>
      <c r="H121" s="363"/>
      <c r="I121" s="365">
        <f t="shared" si="9"/>
        <v>0</v>
      </c>
      <c r="J121" s="81"/>
      <c r="K121" s="54">
        <f t="shared" si="7"/>
        <v>0</v>
      </c>
      <c r="M121" s="192" t="str">
        <f t="shared" si="8"/>
        <v>3000/230</v>
      </c>
      <c r="N121" s="76"/>
      <c r="O121" s="77"/>
      <c r="P121" s="57"/>
      <c r="Q121" s="31"/>
    </row>
    <row r="122" spans="1:17" x14ac:dyDescent="0.2">
      <c r="A122" s="315"/>
      <c r="B122" s="110" t="s">
        <v>507</v>
      </c>
      <c r="C122" s="353"/>
      <c r="D122" s="348"/>
      <c r="E122" s="356"/>
      <c r="F122" s="86"/>
      <c r="G122" s="53">
        <f>SUMIF(JournalsB!D$14:D$920,TrialBalanceB!M122,JournalsB!J$14:J$920)+SUMIF(JournalsB!E$14:E$920,TrialBalanceB!M122,JournalsB!J$14:J$920)</f>
        <v>0</v>
      </c>
      <c r="H122" s="363"/>
      <c r="I122" s="365">
        <f t="shared" si="9"/>
        <v>0</v>
      </c>
      <c r="J122" s="81"/>
      <c r="K122" s="54">
        <f t="shared" si="7"/>
        <v>0</v>
      </c>
      <c r="M122" s="192" t="str">
        <f t="shared" si="8"/>
        <v>3000/240</v>
      </c>
      <c r="N122" s="76"/>
      <c r="O122" s="77"/>
      <c r="P122" s="57"/>
      <c r="Q122" s="31"/>
    </row>
    <row r="123" spans="1:17" x14ac:dyDescent="0.2">
      <c r="A123" s="315"/>
      <c r="B123" s="110" t="s">
        <v>508</v>
      </c>
      <c r="C123" s="353"/>
      <c r="D123" s="348"/>
      <c r="E123" s="356"/>
      <c r="F123" s="86"/>
      <c r="G123" s="53">
        <f>SUMIF(JournalsB!D$14:D$920,TrialBalanceB!M123,JournalsB!J$14:J$920)+SUMIF(JournalsB!E$14:E$920,TrialBalanceB!M123,JournalsB!J$14:J$920)</f>
        <v>0</v>
      </c>
      <c r="H123" s="363"/>
      <c r="I123" s="365">
        <f t="shared" si="9"/>
        <v>0</v>
      </c>
      <c r="J123" s="81"/>
      <c r="K123" s="54">
        <f t="shared" si="7"/>
        <v>0</v>
      </c>
      <c r="M123" s="192" t="str">
        <f t="shared" si="8"/>
        <v>3000/250</v>
      </c>
      <c r="N123" s="76"/>
      <c r="O123" s="77"/>
      <c r="P123" s="57"/>
      <c r="Q123" s="31"/>
    </row>
    <row r="124" spans="1:17" x14ac:dyDescent="0.2">
      <c r="A124" s="315"/>
      <c r="B124" s="110" t="s">
        <v>509</v>
      </c>
      <c r="C124" s="353"/>
      <c r="D124" s="348"/>
      <c r="E124" s="356"/>
      <c r="F124" s="86"/>
      <c r="G124" s="53">
        <f>SUMIF(JournalsB!D$14:D$920,TrialBalanceB!M124,JournalsB!J$14:J$920)+SUMIF(JournalsB!E$14:E$920,TrialBalanceB!M124,JournalsB!J$14:J$920)</f>
        <v>0</v>
      </c>
      <c r="H124" s="363"/>
      <c r="I124" s="365">
        <f t="shared" si="9"/>
        <v>0</v>
      </c>
      <c r="J124" s="81"/>
      <c r="K124" s="54">
        <f t="shared" ref="K124:K213" si="13">ROUND(SUM(A124),0)</f>
        <v>0</v>
      </c>
      <c r="M124" s="192" t="str">
        <f t="shared" ref="M124:M213" si="14">CONCATENATE(B124,C124)</f>
        <v>3000/260</v>
      </c>
      <c r="N124" s="76"/>
      <c r="O124" s="77"/>
      <c r="P124" s="57"/>
      <c r="Q124" s="31"/>
    </row>
    <row r="125" spans="1:17" x14ac:dyDescent="0.2">
      <c r="A125" s="315"/>
      <c r="B125" s="110" t="s">
        <v>510</v>
      </c>
      <c r="C125" s="318" t="s">
        <v>1056</v>
      </c>
      <c r="D125" s="356"/>
      <c r="E125" s="356"/>
      <c r="F125" s="86"/>
      <c r="G125" s="53">
        <f>SUMIF(JournalsB!D$14:D$920,TrialBalanceB!M125,JournalsB!J$14:J$920)+SUMIF(JournalsB!E$14:E$920,TrialBalanceB!M125,JournalsB!J$14:J$920)</f>
        <v>0</v>
      </c>
      <c r="H125" s="363"/>
      <c r="I125" s="365">
        <f t="shared" si="9"/>
        <v>0</v>
      </c>
      <c r="J125" s="81"/>
      <c r="K125" s="54">
        <f t="shared" si="13"/>
        <v>0</v>
      </c>
      <c r="M125" s="192" t="str">
        <f t="shared" si="14"/>
        <v>3000/270Amortisation of prepaid lease agreement</v>
      </c>
      <c r="N125" s="76"/>
      <c r="O125" s="77"/>
      <c r="P125" s="57"/>
      <c r="Q125" s="31"/>
    </row>
    <row r="126" spans="1:17" x14ac:dyDescent="0.2">
      <c r="A126" s="315"/>
      <c r="B126" s="110" t="s">
        <v>1082</v>
      </c>
      <c r="C126" s="319" t="s">
        <v>1083</v>
      </c>
      <c r="D126" s="356"/>
      <c r="E126" s="356"/>
      <c r="F126" s="86"/>
      <c r="G126" s="53">
        <f>SUMIF(JournalsB!D$14:D$920,TrialBalanceB!M126,JournalsB!J$14:J$920)+SUMIF(JournalsB!E$14:E$920,TrialBalanceB!M126,JournalsB!J$14:J$920)</f>
        <v>0</v>
      </c>
      <c r="H126" s="363"/>
      <c r="I126" s="365">
        <f t="shared" ref="I126" si="15">ROUND(D126-E126+G126+F126,0)</f>
        <v>0</v>
      </c>
      <c r="J126" s="81"/>
      <c r="K126" s="54">
        <f t="shared" ref="K126" si="16">ROUND(SUM(A126),0)</f>
        <v>0</v>
      </c>
      <c r="M126" s="192" t="str">
        <f t="shared" ref="M126" si="17">CONCATENATE(B126,C126)</f>
        <v>3000/280Amortisation of goodwill</v>
      </c>
      <c r="N126" s="76"/>
      <c r="O126" s="77"/>
      <c r="P126" s="57"/>
      <c r="Q126" s="31"/>
    </row>
    <row r="127" spans="1:17" x14ac:dyDescent="0.2">
      <c r="A127" s="315"/>
      <c r="B127" s="110" t="s">
        <v>967</v>
      </c>
      <c r="C127" s="316" t="s">
        <v>123</v>
      </c>
      <c r="D127" s="358"/>
      <c r="E127" s="356"/>
      <c r="F127" s="86"/>
      <c r="G127" s="53">
        <f>SUMIF(JournalsB!D$14:D$920,TrialBalanceB!M127,JournalsB!J$14:J$920)+SUMIF(JournalsB!E$14:E$920,TrialBalanceB!M127,JournalsB!J$14:J$920)</f>
        <v>0</v>
      </c>
      <c r="H127" s="363"/>
      <c r="I127" s="365">
        <f t="shared" si="9"/>
        <v>0</v>
      </c>
      <c r="J127" s="81"/>
      <c r="K127" s="54">
        <f t="shared" si="13"/>
        <v>0</v>
      </c>
      <c r="M127" s="192" t="str">
        <f t="shared" si="14"/>
        <v>3500/000FINANCE COSTS</v>
      </c>
      <c r="N127" s="76"/>
      <c r="O127" s="77"/>
      <c r="P127" s="57"/>
      <c r="Q127" s="31"/>
    </row>
    <row r="128" spans="1:17" x14ac:dyDescent="0.2">
      <c r="A128" s="315"/>
      <c r="B128" s="110" t="s">
        <v>968</v>
      </c>
      <c r="C128" s="316" t="s">
        <v>312</v>
      </c>
      <c r="D128" s="358"/>
      <c r="E128" s="356"/>
      <c r="F128" s="86"/>
      <c r="G128" s="53">
        <f>SUMIF(JournalsB!D$14:D$920,TrialBalanceB!M128,JournalsB!J$14:J$920)+SUMIF(JournalsB!E$14:E$920,TrialBalanceB!M128,JournalsB!J$14:J$920)</f>
        <v>0</v>
      </c>
      <c r="H128" s="363"/>
      <c r="I128" s="365">
        <f t="shared" si="9"/>
        <v>0</v>
      </c>
      <c r="J128" s="81"/>
      <c r="K128" s="54">
        <f t="shared" si="13"/>
        <v>0</v>
      </c>
      <c r="M128" s="192" t="str">
        <f t="shared" si="14"/>
        <v>3500/010Interest paid---------------------------</v>
      </c>
      <c r="N128" s="76"/>
      <c r="O128" s="77"/>
      <c r="P128" s="57"/>
      <c r="Q128" s="31"/>
    </row>
    <row r="129" spans="1:17" x14ac:dyDescent="0.2">
      <c r="A129" s="315"/>
      <c r="B129" s="110" t="s">
        <v>969</v>
      </c>
      <c r="C129" s="352"/>
      <c r="D129" s="356"/>
      <c r="E129" s="356"/>
      <c r="F129" s="86"/>
      <c r="G129" s="53">
        <f>SUMIF(JournalsB!D$14:D$920,TrialBalanceB!M129,JournalsB!J$14:J$920)+SUMIF(JournalsB!E$14:E$920,TrialBalanceB!M129,JournalsB!J$14:J$920)</f>
        <v>0</v>
      </c>
      <c r="H129" s="363"/>
      <c r="I129" s="365">
        <f t="shared" si="9"/>
        <v>0</v>
      </c>
      <c r="J129" s="81"/>
      <c r="K129" s="54">
        <f t="shared" si="13"/>
        <v>0</v>
      </c>
      <c r="M129" s="192" t="str">
        <f t="shared" si="14"/>
        <v>3500/011</v>
      </c>
      <c r="N129" s="76"/>
      <c r="O129" s="77"/>
      <c r="P129" s="57"/>
      <c r="Q129" s="31"/>
    </row>
    <row r="130" spans="1:17" x14ac:dyDescent="0.2">
      <c r="A130" s="315"/>
      <c r="B130" s="110" t="s">
        <v>970</v>
      </c>
      <c r="C130" s="353"/>
      <c r="D130" s="348"/>
      <c r="E130" s="356"/>
      <c r="F130" s="86"/>
      <c r="G130" s="53">
        <f>SUMIF(JournalsB!D$14:D$920,TrialBalanceB!M130,JournalsB!J$14:J$920)+SUMIF(JournalsB!E$14:E$920,TrialBalanceB!M130,JournalsB!J$14:J$920)</f>
        <v>0</v>
      </c>
      <c r="H130" s="363"/>
      <c r="I130" s="365">
        <f t="shared" si="9"/>
        <v>0</v>
      </c>
      <c r="J130" s="81"/>
      <c r="K130" s="54">
        <f t="shared" si="13"/>
        <v>0</v>
      </c>
      <c r="M130" s="192" t="str">
        <f t="shared" si="14"/>
        <v>3500/012</v>
      </c>
      <c r="N130" s="76"/>
      <c r="O130" s="77"/>
      <c r="P130" s="57"/>
      <c r="Q130" s="31"/>
    </row>
    <row r="131" spans="1:17" x14ac:dyDescent="0.2">
      <c r="A131" s="315"/>
      <c r="B131" s="110" t="s">
        <v>971</v>
      </c>
      <c r="C131" s="353"/>
      <c r="D131" s="348"/>
      <c r="E131" s="356"/>
      <c r="F131" s="86"/>
      <c r="G131" s="53">
        <f>SUMIF(JournalsB!D$14:D$920,TrialBalanceB!M131,JournalsB!J$14:J$920)+SUMIF(JournalsB!E$14:E$920,TrialBalanceB!M131,JournalsB!J$14:J$920)</f>
        <v>0</v>
      </c>
      <c r="H131" s="363"/>
      <c r="I131" s="365">
        <f t="shared" si="9"/>
        <v>0</v>
      </c>
      <c r="J131" s="81"/>
      <c r="K131" s="54">
        <f t="shared" si="13"/>
        <v>0</v>
      </c>
      <c r="M131" s="192" t="str">
        <f t="shared" si="14"/>
        <v>3500/013</v>
      </c>
      <c r="N131" s="76"/>
      <c r="O131" s="77"/>
      <c r="P131" s="57"/>
      <c r="Q131" s="31"/>
    </row>
    <row r="132" spans="1:17" x14ac:dyDescent="0.2">
      <c r="A132" s="315"/>
      <c r="B132" s="110" t="s">
        <v>972</v>
      </c>
      <c r="C132" s="353"/>
      <c r="D132" s="348"/>
      <c r="E132" s="356"/>
      <c r="F132" s="86"/>
      <c r="G132" s="53">
        <f>SUMIF(JournalsB!D$14:D$920,TrialBalanceB!M132,JournalsB!J$14:J$920)+SUMIF(JournalsB!E$14:E$920,TrialBalanceB!M132,JournalsB!J$14:J$920)</f>
        <v>0</v>
      </c>
      <c r="H132" s="363"/>
      <c r="I132" s="365">
        <f t="shared" si="9"/>
        <v>0</v>
      </c>
      <c r="J132" s="81"/>
      <c r="K132" s="54">
        <f t="shared" si="13"/>
        <v>0</v>
      </c>
      <c r="M132" s="192" t="str">
        <f t="shared" si="14"/>
        <v>3500/014</v>
      </c>
      <c r="N132" s="76"/>
      <c r="O132" s="77"/>
      <c r="P132" s="57"/>
      <c r="Q132" s="31"/>
    </row>
    <row r="133" spans="1:17" x14ac:dyDescent="0.2">
      <c r="A133" s="315"/>
      <c r="B133" s="110" t="s">
        <v>973</v>
      </c>
      <c r="C133" s="353"/>
      <c r="D133" s="348"/>
      <c r="E133" s="356"/>
      <c r="F133" s="86"/>
      <c r="G133" s="53">
        <f>SUMIF(JournalsB!D$14:D$920,TrialBalanceB!M133,JournalsB!J$14:J$920)+SUMIF(JournalsB!E$14:E$920,TrialBalanceB!M133,JournalsB!J$14:J$920)</f>
        <v>0</v>
      </c>
      <c r="H133" s="363"/>
      <c r="I133" s="365">
        <f t="shared" si="9"/>
        <v>0</v>
      </c>
      <c r="J133" s="81"/>
      <c r="K133" s="54">
        <f t="shared" si="13"/>
        <v>0</v>
      </c>
      <c r="M133" s="192" t="str">
        <f t="shared" si="14"/>
        <v>3500/015</v>
      </c>
      <c r="N133" s="76"/>
      <c r="O133" s="77"/>
      <c r="P133" s="57"/>
      <c r="Q133" s="31"/>
    </row>
    <row r="134" spans="1:17" x14ac:dyDescent="0.2">
      <c r="A134" s="315"/>
      <c r="B134" s="110" t="s">
        <v>974</v>
      </c>
      <c r="C134" s="353"/>
      <c r="D134" s="348"/>
      <c r="E134" s="356"/>
      <c r="F134" s="86"/>
      <c r="G134" s="53">
        <f>SUMIF(JournalsB!D$14:D$920,TrialBalanceB!M134,JournalsB!J$14:J$920)+SUMIF(JournalsB!E$14:E$920,TrialBalanceB!M134,JournalsB!J$14:J$920)</f>
        <v>0</v>
      </c>
      <c r="H134" s="363"/>
      <c r="I134" s="365">
        <f t="shared" si="9"/>
        <v>0</v>
      </c>
      <c r="J134" s="81"/>
      <c r="K134" s="54">
        <f t="shared" si="13"/>
        <v>0</v>
      </c>
      <c r="M134" s="192" t="str">
        <f t="shared" si="14"/>
        <v>3500/016</v>
      </c>
      <c r="N134" s="76"/>
      <c r="O134" s="77"/>
      <c r="P134" s="57"/>
      <c r="Q134" s="31"/>
    </row>
    <row r="135" spans="1:17" x14ac:dyDescent="0.2">
      <c r="A135" s="315"/>
      <c r="B135" s="110" t="s">
        <v>975</v>
      </c>
      <c r="C135" s="353"/>
      <c r="D135" s="348"/>
      <c r="E135" s="356"/>
      <c r="F135" s="86"/>
      <c r="G135" s="53">
        <f>SUMIF(JournalsB!D$14:D$920,TrialBalanceB!M135,JournalsB!J$14:J$920)+SUMIF(JournalsB!E$14:E$920,TrialBalanceB!M135,JournalsB!J$14:J$920)</f>
        <v>0</v>
      </c>
      <c r="H135" s="363"/>
      <c r="I135" s="365">
        <f t="shared" ref="I135:I137" si="18">ROUND(D135-E135+G135+F135,0)</f>
        <v>0</v>
      </c>
      <c r="J135" s="81"/>
      <c r="K135" s="54">
        <f t="shared" ref="K135:K137" si="19">ROUND(SUM(A135),0)</f>
        <v>0</v>
      </c>
      <c r="M135" s="192" t="str">
        <f t="shared" ref="M135:M137" si="20">CONCATENATE(B135,C135)</f>
        <v>3500/017</v>
      </c>
      <c r="N135" s="76"/>
      <c r="O135" s="77"/>
      <c r="P135" s="57"/>
      <c r="Q135" s="31"/>
    </row>
    <row r="136" spans="1:17" x14ac:dyDescent="0.2">
      <c r="A136" s="315"/>
      <c r="B136" s="110" t="s">
        <v>976</v>
      </c>
      <c r="C136" s="353"/>
      <c r="D136" s="348"/>
      <c r="E136" s="356"/>
      <c r="F136" s="86"/>
      <c r="G136" s="53">
        <f>SUMIF(JournalsB!D$14:D$920,TrialBalanceB!M136,JournalsB!J$14:J$920)+SUMIF(JournalsB!E$14:E$920,TrialBalanceB!M136,JournalsB!J$14:J$920)</f>
        <v>0</v>
      </c>
      <c r="H136" s="363"/>
      <c r="I136" s="365">
        <f t="shared" si="18"/>
        <v>0</v>
      </c>
      <c r="J136" s="81"/>
      <c r="K136" s="54">
        <f t="shared" si="19"/>
        <v>0</v>
      </c>
      <c r="M136" s="192" t="str">
        <f t="shared" si="20"/>
        <v>3500/018</v>
      </c>
      <c r="N136" s="76"/>
      <c r="O136" s="77"/>
      <c r="P136" s="57"/>
      <c r="Q136" s="31"/>
    </row>
    <row r="137" spans="1:17" x14ac:dyDescent="0.2">
      <c r="A137" s="315"/>
      <c r="B137" s="110" t="s">
        <v>977</v>
      </c>
      <c r="C137" s="353"/>
      <c r="D137" s="348"/>
      <c r="E137" s="356"/>
      <c r="F137" s="86"/>
      <c r="G137" s="53">
        <f>SUMIF(JournalsB!D$14:D$920,TrialBalanceB!M137,JournalsB!J$14:J$920)+SUMIF(JournalsB!E$14:E$920,TrialBalanceB!M137,JournalsB!J$14:J$920)</f>
        <v>0</v>
      </c>
      <c r="H137" s="363"/>
      <c r="I137" s="365">
        <f t="shared" si="18"/>
        <v>0</v>
      </c>
      <c r="J137" s="81"/>
      <c r="K137" s="54">
        <f t="shared" si="19"/>
        <v>0</v>
      </c>
      <c r="M137" s="192" t="str">
        <f t="shared" si="20"/>
        <v>3500/019</v>
      </c>
      <c r="N137" s="76"/>
      <c r="O137" s="77"/>
      <c r="P137" s="57"/>
      <c r="Q137" s="31"/>
    </row>
    <row r="138" spans="1:17" x14ac:dyDescent="0.2">
      <c r="A138" s="315"/>
      <c r="B138" s="110" t="s">
        <v>978</v>
      </c>
      <c r="C138" s="353"/>
      <c r="D138" s="348"/>
      <c r="E138" s="356"/>
      <c r="F138" s="86"/>
      <c r="G138" s="53">
        <f>SUMIF(JournalsB!D$14:D$920,TrialBalanceB!M138,JournalsB!J$14:J$920)+SUMIF(JournalsB!E$14:E$920,TrialBalanceB!M138,JournalsB!J$14:J$920)</f>
        <v>0</v>
      </c>
      <c r="H138" s="363"/>
      <c r="I138" s="365">
        <f t="shared" si="9"/>
        <v>0</v>
      </c>
      <c r="J138" s="81"/>
      <c r="K138" s="54">
        <f t="shared" si="13"/>
        <v>0</v>
      </c>
      <c r="M138" s="192" t="str">
        <f t="shared" si="14"/>
        <v>3500/020</v>
      </c>
      <c r="N138" s="76"/>
      <c r="O138" s="77"/>
      <c r="P138" s="57"/>
      <c r="Q138" s="31"/>
    </row>
    <row r="139" spans="1:17" x14ac:dyDescent="0.2">
      <c r="A139" s="315"/>
      <c r="B139" s="110" t="s">
        <v>979</v>
      </c>
      <c r="C139" s="317" t="str">
        <f>CONCATENATE("Interest on finance leases - ",Criteria!H15)</f>
        <v>Interest on finance leases - Surf Shop</v>
      </c>
      <c r="D139" s="357"/>
      <c r="E139" s="356"/>
      <c r="F139" s="86"/>
      <c r="G139" s="53">
        <f>SUMIF(JournalsB!D$14:D$920,TrialBalanceB!M139,JournalsB!J$14:J$920)+SUMIF(JournalsB!E$14:E$920,TrialBalanceB!M139,JournalsB!J$14:J$920)</f>
        <v>0</v>
      </c>
      <c r="H139" s="363"/>
      <c r="I139" s="365">
        <f t="shared" si="9"/>
        <v>0</v>
      </c>
      <c r="J139" s="81"/>
      <c r="K139" s="54">
        <f t="shared" si="13"/>
        <v>0</v>
      </c>
      <c r="M139" s="192" t="str">
        <f t="shared" si="14"/>
        <v>3500/021Interest on finance leases - Surf Shop</v>
      </c>
      <c r="N139" s="76"/>
      <c r="O139" s="77"/>
      <c r="P139" s="57"/>
      <c r="Q139" s="31"/>
    </row>
    <row r="140" spans="1:17" x14ac:dyDescent="0.2">
      <c r="A140" s="315"/>
      <c r="B140" s="110" t="s">
        <v>980</v>
      </c>
      <c r="C140" s="316" t="s">
        <v>348</v>
      </c>
      <c r="D140" s="358"/>
      <c r="E140" s="356"/>
      <c r="F140" s="86"/>
      <c r="G140" s="53">
        <f>SUMIF(JournalsB!D$14:D$920,TrialBalanceB!M140,JournalsB!J$14:J$920)+SUMIF(JournalsB!E$14:E$920,TrialBalanceB!M140,JournalsB!J$14:J$920)</f>
        <v>0</v>
      </c>
      <c r="H140" s="363"/>
      <c r="I140" s="365">
        <f t="shared" si="9"/>
        <v>0</v>
      </c>
      <c r="J140" s="81"/>
      <c r="K140" s="54">
        <f t="shared" si="13"/>
        <v>0</v>
      </c>
      <c r="M140" s="192" t="str">
        <f t="shared" si="14"/>
        <v>3550/000OTHER</v>
      </c>
      <c r="N140" s="76"/>
      <c r="O140" s="77"/>
      <c r="P140" s="57"/>
      <c r="Q140" s="31"/>
    </row>
    <row r="141" spans="1:17" x14ac:dyDescent="0.2">
      <c r="A141" s="315"/>
      <c r="B141" s="110" t="s">
        <v>981</v>
      </c>
      <c r="C141" s="318" t="s">
        <v>1081</v>
      </c>
      <c r="D141" s="348"/>
      <c r="E141" s="356"/>
      <c r="F141" s="86"/>
      <c r="G141" s="53">
        <f>SUMIF(JournalsB!D$14:D$920,TrialBalanceB!M141,JournalsB!J$14:J$920)+SUMIF(JournalsB!E$14:E$920,TrialBalanceB!M141,JournalsB!J$14:J$920)</f>
        <v>0</v>
      </c>
      <c r="H141" s="363"/>
      <c r="I141" s="365">
        <f>ROUND(D141-E141+G141+F141,0)</f>
        <v>0</v>
      </c>
      <c r="J141" s="81"/>
      <c r="K141" s="54">
        <f>ROUND(SUM(A141),0)</f>
        <v>0</v>
      </c>
      <c r="M141" s="192" t="str">
        <f>CONCATENATE(B141,C141)</f>
        <v>3550/010Impairment losses</v>
      </c>
      <c r="N141" s="76"/>
      <c r="O141" s="77"/>
      <c r="P141" s="57"/>
      <c r="Q141" s="31"/>
    </row>
    <row r="142" spans="1:17" x14ac:dyDescent="0.2">
      <c r="A142" s="315"/>
      <c r="B142" s="110" t="s">
        <v>950</v>
      </c>
      <c r="C142" s="321" t="s">
        <v>951</v>
      </c>
      <c r="D142" s="348"/>
      <c r="E142" s="356"/>
      <c r="F142" s="86"/>
      <c r="G142" s="53">
        <f>SUMIF(JournalsB!D$14:D$920,TrialBalanceB!M142,JournalsB!J$14:J$920)+SUMIF(JournalsB!E$14:E$920,TrialBalanceB!M142,JournalsB!J$14:J$920)</f>
        <v>0</v>
      </c>
      <c r="H142" s="363"/>
      <c r="I142" s="365">
        <f t="shared" ref="I142:I171" si="21">ROUND(D142-E142+G142+F142,0)</f>
        <v>0</v>
      </c>
      <c r="J142" s="81"/>
      <c r="K142" s="54">
        <f t="shared" ref="K142:K171" si="22">ROUND(SUM(A142),0)</f>
        <v>0</v>
      </c>
      <c r="M142" s="192" t="str">
        <f t="shared" ref="M142:M171" si="23">CONCATENATE(B142,C142)</f>
        <v>4000/000INCOME (OTHER THAN TRADING)</v>
      </c>
      <c r="N142" s="76"/>
      <c r="O142" s="77"/>
      <c r="P142" s="57"/>
      <c r="Q142" s="31"/>
    </row>
    <row r="143" spans="1:17" x14ac:dyDescent="0.2">
      <c r="A143" s="315"/>
      <c r="B143" s="110" t="s">
        <v>952</v>
      </c>
      <c r="C143" s="316" t="s">
        <v>771</v>
      </c>
      <c r="D143" s="358"/>
      <c r="E143" s="356"/>
      <c r="F143" s="86"/>
      <c r="G143" s="53">
        <f>SUMIF(JournalsB!D$14:D$920,TrialBalanceB!M143,JournalsB!J$14:J$920)+SUMIF(JournalsB!E$14:E$920,TrialBalanceB!M143,JournalsB!J$14:J$920)</f>
        <v>0</v>
      </c>
      <c r="H143" s="363"/>
      <c r="I143" s="365">
        <f t="shared" si="21"/>
        <v>0</v>
      </c>
      <c r="J143" s="81"/>
      <c r="K143" s="54">
        <f t="shared" si="22"/>
        <v>0</v>
      </c>
      <c r="M143" s="192" t="str">
        <f t="shared" si="23"/>
        <v>4100/000Interest received-----------------------</v>
      </c>
      <c r="N143" s="76"/>
      <c r="O143" s="77"/>
      <c r="P143" s="57"/>
      <c r="Q143" s="31"/>
    </row>
    <row r="144" spans="1:17" x14ac:dyDescent="0.2">
      <c r="A144" s="315"/>
      <c r="B144" s="110" t="s">
        <v>953</v>
      </c>
      <c r="C144" s="352"/>
      <c r="D144" s="356"/>
      <c r="E144" s="356"/>
      <c r="F144" s="86"/>
      <c r="G144" s="53">
        <f>SUMIF(JournalsB!D$14:D$920,TrialBalanceB!M144,JournalsB!J$14:J$920)+SUMIF(JournalsB!E$14:E$920,TrialBalanceB!M144,JournalsB!J$14:J$920)</f>
        <v>0</v>
      </c>
      <c r="H144" s="363"/>
      <c r="I144" s="365">
        <f t="shared" si="21"/>
        <v>0</v>
      </c>
      <c r="J144" s="81"/>
      <c r="K144" s="54">
        <f t="shared" si="22"/>
        <v>0</v>
      </c>
      <c r="M144" s="192" t="str">
        <f t="shared" si="23"/>
        <v>4100/001</v>
      </c>
      <c r="N144" s="76"/>
      <c r="O144" s="77"/>
      <c r="P144" s="57"/>
      <c r="Q144" s="31"/>
    </row>
    <row r="145" spans="1:17" x14ac:dyDescent="0.2">
      <c r="A145" s="315"/>
      <c r="B145" s="110" t="s">
        <v>954</v>
      </c>
      <c r="C145" s="354"/>
      <c r="D145" s="350"/>
      <c r="E145" s="356"/>
      <c r="F145" s="86"/>
      <c r="G145" s="53">
        <f>SUMIF(JournalsB!D$14:D$920,TrialBalanceB!M145,JournalsB!J$14:J$920)+SUMIF(JournalsB!E$14:E$920,TrialBalanceB!M145,JournalsB!J$14:J$920)</f>
        <v>0</v>
      </c>
      <c r="H145" s="363"/>
      <c r="I145" s="365">
        <f t="shared" si="21"/>
        <v>0</v>
      </c>
      <c r="J145" s="81"/>
      <c r="K145" s="54">
        <f t="shared" si="22"/>
        <v>0</v>
      </c>
      <c r="M145" s="192" t="str">
        <f t="shared" si="23"/>
        <v>4100/002</v>
      </c>
      <c r="N145" s="76"/>
      <c r="O145" s="77"/>
      <c r="P145" s="57"/>
      <c r="Q145" s="31"/>
    </row>
    <row r="146" spans="1:17" x14ac:dyDescent="0.2">
      <c r="A146" s="315"/>
      <c r="B146" s="110" t="s">
        <v>955</v>
      </c>
      <c r="C146" s="355"/>
      <c r="D146" s="357"/>
      <c r="E146" s="356"/>
      <c r="F146" s="86"/>
      <c r="G146" s="53">
        <f>SUMIF(JournalsB!D$14:D$920,TrialBalanceB!M146,JournalsB!J$14:J$920)+SUMIF(JournalsB!E$14:E$920,TrialBalanceB!M146,JournalsB!J$14:J$920)</f>
        <v>0</v>
      </c>
      <c r="H146" s="363"/>
      <c r="I146" s="365">
        <f t="shared" si="21"/>
        <v>0</v>
      </c>
      <c r="J146" s="81"/>
      <c r="K146" s="54">
        <f t="shared" si="22"/>
        <v>0</v>
      </c>
      <c r="M146" s="192" t="str">
        <f t="shared" si="23"/>
        <v>4100/003</v>
      </c>
      <c r="N146" s="76"/>
      <c r="O146" s="77"/>
      <c r="P146" s="57"/>
      <c r="Q146" s="31"/>
    </row>
    <row r="147" spans="1:17" x14ac:dyDescent="0.2">
      <c r="A147" s="315"/>
      <c r="B147" s="110" t="s">
        <v>956</v>
      </c>
      <c r="C147" s="355"/>
      <c r="D147" s="357"/>
      <c r="E147" s="356"/>
      <c r="F147" s="86"/>
      <c r="G147" s="53">
        <f>SUMIF(JournalsB!D$14:D$920,TrialBalanceB!M147,JournalsB!J$14:J$920)+SUMIF(JournalsB!E$14:E$920,TrialBalanceB!M147,JournalsB!J$14:J$920)</f>
        <v>0</v>
      </c>
      <c r="H147" s="363"/>
      <c r="I147" s="365">
        <f t="shared" si="21"/>
        <v>0</v>
      </c>
      <c r="J147" s="81"/>
      <c r="K147" s="54">
        <f t="shared" si="22"/>
        <v>0</v>
      </c>
      <c r="M147" s="192" t="str">
        <f t="shared" si="23"/>
        <v>4100/004</v>
      </c>
      <c r="N147" s="76"/>
      <c r="O147" s="77"/>
      <c r="P147" s="57"/>
      <c r="Q147" s="31"/>
    </row>
    <row r="148" spans="1:17" x14ac:dyDescent="0.2">
      <c r="A148" s="315"/>
      <c r="B148" s="110" t="s">
        <v>997</v>
      </c>
      <c r="C148" s="355"/>
      <c r="D148" s="357"/>
      <c r="E148" s="356"/>
      <c r="F148" s="86"/>
      <c r="G148" s="53">
        <f>SUMIF(JournalsB!D$14:D$920,TrialBalanceB!M148,JournalsB!J$14:J$920)+SUMIF(JournalsB!E$14:E$920,TrialBalanceB!M148,JournalsB!J$14:J$920)</f>
        <v>0</v>
      </c>
      <c r="H148" s="363"/>
      <c r="I148" s="365">
        <f t="shared" ref="I148:I151" si="24">ROUND(D148-E148+G148+F148,0)</f>
        <v>0</v>
      </c>
      <c r="J148" s="81"/>
      <c r="K148" s="54">
        <f t="shared" ref="K148:K151" si="25">ROUND(SUM(A148),0)</f>
        <v>0</v>
      </c>
      <c r="M148" s="192" t="str">
        <f t="shared" ref="M148:M151" si="26">CONCATENATE(B148,C148)</f>
        <v>4100/005</v>
      </c>
      <c r="N148" s="76"/>
      <c r="O148" s="77"/>
      <c r="P148" s="57"/>
      <c r="Q148" s="31"/>
    </row>
    <row r="149" spans="1:17" x14ac:dyDescent="0.2">
      <c r="A149" s="315"/>
      <c r="B149" s="110" t="s">
        <v>998</v>
      </c>
      <c r="C149" s="355"/>
      <c r="D149" s="357"/>
      <c r="E149" s="356"/>
      <c r="F149" s="86"/>
      <c r="G149" s="53">
        <f>SUMIF(JournalsB!D$14:D$920,TrialBalanceB!M149,JournalsB!J$14:J$920)+SUMIF(JournalsB!E$14:E$920,TrialBalanceB!M149,JournalsB!J$14:J$920)</f>
        <v>0</v>
      </c>
      <c r="H149" s="363"/>
      <c r="I149" s="365">
        <f t="shared" si="24"/>
        <v>0</v>
      </c>
      <c r="J149" s="81"/>
      <c r="K149" s="54">
        <f t="shared" si="25"/>
        <v>0</v>
      </c>
      <c r="M149" s="192" t="str">
        <f t="shared" si="26"/>
        <v>4100/006</v>
      </c>
      <c r="N149" s="76"/>
      <c r="O149" s="77"/>
      <c r="P149" s="57"/>
      <c r="Q149" s="31"/>
    </row>
    <row r="150" spans="1:17" x14ac:dyDescent="0.2">
      <c r="A150" s="315"/>
      <c r="B150" s="110" t="s">
        <v>999</v>
      </c>
      <c r="C150" s="355"/>
      <c r="D150" s="357"/>
      <c r="E150" s="356"/>
      <c r="F150" s="86"/>
      <c r="G150" s="53">
        <f>SUMIF(JournalsB!D$14:D$920,TrialBalanceB!M150,JournalsB!J$14:J$920)+SUMIF(JournalsB!E$14:E$920,TrialBalanceB!M150,JournalsB!J$14:J$920)</f>
        <v>0</v>
      </c>
      <c r="H150" s="363"/>
      <c r="I150" s="365">
        <f t="shared" si="24"/>
        <v>0</v>
      </c>
      <c r="J150" s="81"/>
      <c r="K150" s="54">
        <f t="shared" si="25"/>
        <v>0</v>
      </c>
      <c r="M150" s="192" t="str">
        <f t="shared" si="26"/>
        <v>4100/007</v>
      </c>
      <c r="N150" s="76"/>
      <c r="O150" s="77"/>
      <c r="P150" s="57"/>
      <c r="Q150" s="31"/>
    </row>
    <row r="151" spans="1:17" x14ac:dyDescent="0.2">
      <c r="A151" s="315"/>
      <c r="B151" s="110" t="s">
        <v>1000</v>
      </c>
      <c r="C151" s="355"/>
      <c r="D151" s="357"/>
      <c r="E151" s="356"/>
      <c r="F151" s="86"/>
      <c r="G151" s="53">
        <f>SUMIF(JournalsB!D$14:D$920,TrialBalanceB!M151,JournalsB!J$14:J$920)+SUMIF(JournalsB!E$14:E$920,TrialBalanceB!M151,JournalsB!J$14:J$920)</f>
        <v>0</v>
      </c>
      <c r="H151" s="363"/>
      <c r="I151" s="365">
        <f t="shared" si="24"/>
        <v>0</v>
      </c>
      <c r="J151" s="81"/>
      <c r="K151" s="54">
        <f t="shared" si="25"/>
        <v>0</v>
      </c>
      <c r="M151" s="192" t="str">
        <f t="shared" si="26"/>
        <v>4100/008</v>
      </c>
      <c r="N151" s="76"/>
      <c r="O151" s="77"/>
      <c r="P151" s="57"/>
      <c r="Q151" s="31"/>
    </row>
    <row r="152" spans="1:17" x14ac:dyDescent="0.2">
      <c r="A152" s="315"/>
      <c r="B152" s="110" t="s">
        <v>957</v>
      </c>
      <c r="C152" s="317" t="s">
        <v>303</v>
      </c>
      <c r="D152" s="358"/>
      <c r="E152" s="356"/>
      <c r="F152" s="86"/>
      <c r="G152" s="53">
        <f>SUMIF(JournalsB!D$14:D$920,TrialBalanceB!M152,JournalsB!J$14:J$920)+SUMIF(JournalsB!E$14:E$920,TrialBalanceB!M152,JournalsB!J$14:J$920)</f>
        <v>0</v>
      </c>
      <c r="H152" s="363"/>
      <c r="I152" s="365">
        <f t="shared" si="21"/>
        <v>0</v>
      </c>
      <c r="J152" s="81"/>
      <c r="K152" s="54">
        <f t="shared" si="22"/>
        <v>0</v>
      </c>
      <c r="M152" s="192" t="str">
        <f t="shared" si="23"/>
        <v>4200/000Dividends received----------------------</v>
      </c>
      <c r="N152" s="76"/>
      <c r="O152" s="77"/>
      <c r="P152" s="57"/>
      <c r="Q152" s="31"/>
    </row>
    <row r="153" spans="1:17" x14ac:dyDescent="0.2">
      <c r="A153" s="315"/>
      <c r="B153" s="110" t="s">
        <v>958</v>
      </c>
      <c r="C153" s="319" t="s">
        <v>722</v>
      </c>
      <c r="D153" s="357"/>
      <c r="E153" s="356"/>
      <c r="F153" s="86"/>
      <c r="G153" s="53">
        <f>SUMIF(JournalsB!D$14:D$920,TrialBalanceB!M153,JournalsB!J$14:J$920)+SUMIF(JournalsB!E$14:E$920,TrialBalanceB!M153,JournalsB!J$14:J$920)</f>
        <v>0</v>
      </c>
      <c r="H153" s="363"/>
      <c r="I153" s="365">
        <f t="shared" si="21"/>
        <v>0</v>
      </c>
      <c r="J153" s="81"/>
      <c r="K153" s="54">
        <f t="shared" si="22"/>
        <v>0</v>
      </c>
      <c r="M153" s="192" t="str">
        <f t="shared" si="23"/>
        <v>4200/001Div.'s received - SA sources</v>
      </c>
      <c r="N153" s="76"/>
      <c r="O153" s="77"/>
      <c r="P153" s="57"/>
      <c r="Q153" s="31"/>
    </row>
    <row r="154" spans="1:17" x14ac:dyDescent="0.2">
      <c r="A154" s="315"/>
      <c r="B154" s="110" t="s">
        <v>959</v>
      </c>
      <c r="C154" s="319" t="s">
        <v>723</v>
      </c>
      <c r="D154" s="357"/>
      <c r="E154" s="356"/>
      <c r="F154" s="86"/>
      <c r="G154" s="53">
        <f>SUMIF(JournalsB!D$14:D$920,TrialBalanceB!M154,JournalsB!J$14:J$920)+SUMIF(JournalsB!E$14:E$920,TrialBalanceB!M154,JournalsB!J$14:J$920)</f>
        <v>0</v>
      </c>
      <c r="H154" s="363"/>
      <c r="I154" s="365">
        <f t="shared" si="21"/>
        <v>0</v>
      </c>
      <c r="J154" s="81"/>
      <c r="K154" s="54">
        <f t="shared" si="22"/>
        <v>0</v>
      </c>
      <c r="M154" s="192" t="str">
        <f t="shared" si="23"/>
        <v>4200/002Div.'s received - Foreign div.'s</v>
      </c>
      <c r="N154" s="76"/>
      <c r="O154" s="77"/>
      <c r="P154" s="57"/>
      <c r="Q154" s="31"/>
    </row>
    <row r="155" spans="1:17" x14ac:dyDescent="0.2">
      <c r="A155" s="315"/>
      <c r="B155" s="110" t="s">
        <v>961</v>
      </c>
      <c r="C155" s="321" t="s">
        <v>960</v>
      </c>
      <c r="D155" s="348"/>
      <c r="E155" s="356"/>
      <c r="F155" s="86"/>
      <c r="G155" s="53">
        <f>SUMIF(JournalsB!D$14:D$920,TrialBalanceB!M155,JournalsB!J$14:J$920)+SUMIF(JournalsB!E$14:E$920,TrialBalanceB!M155,JournalsB!J$14:J$920)</f>
        <v>0</v>
      </c>
      <c r="H155" s="363"/>
      <c r="I155" s="365">
        <f t="shared" si="21"/>
        <v>0</v>
      </c>
      <c r="J155" s="81"/>
      <c r="K155" s="54">
        <f t="shared" si="22"/>
        <v>0</v>
      </c>
      <c r="M155" s="192" t="str">
        <f t="shared" si="23"/>
        <v>4300/000Other income----------------------------------</v>
      </c>
      <c r="N155" s="76"/>
      <c r="O155" s="77"/>
      <c r="P155" s="57"/>
      <c r="Q155" s="31"/>
    </row>
    <row r="156" spans="1:17" x14ac:dyDescent="0.2">
      <c r="A156" s="315"/>
      <c r="B156" s="110" t="s">
        <v>962</v>
      </c>
      <c r="C156" s="352"/>
      <c r="D156" s="348"/>
      <c r="E156" s="356"/>
      <c r="F156" s="86"/>
      <c r="G156" s="53">
        <f>SUMIF(JournalsB!D$14:D$920,TrialBalanceB!M156,JournalsB!J$14:J$920)+SUMIF(JournalsB!E$14:E$920,TrialBalanceB!M156,JournalsB!J$14:J$920)</f>
        <v>0</v>
      </c>
      <c r="H156" s="363"/>
      <c r="I156" s="365">
        <f t="shared" si="21"/>
        <v>0</v>
      </c>
      <c r="J156" s="81"/>
      <c r="K156" s="54">
        <f t="shared" si="22"/>
        <v>0</v>
      </c>
      <c r="M156" s="192" t="str">
        <f t="shared" si="23"/>
        <v>4300/001</v>
      </c>
      <c r="N156" s="76"/>
      <c r="O156" s="77"/>
      <c r="P156" s="57"/>
      <c r="Q156" s="31"/>
    </row>
    <row r="157" spans="1:17" x14ac:dyDescent="0.2">
      <c r="A157" s="315"/>
      <c r="B157" s="110" t="s">
        <v>963</v>
      </c>
      <c r="C157" s="352"/>
      <c r="D157" s="348"/>
      <c r="E157" s="356"/>
      <c r="F157" s="86"/>
      <c r="G157" s="53">
        <f>SUMIF(JournalsB!D$14:D$920,TrialBalanceB!M157,JournalsB!J$14:J$920)+SUMIF(JournalsB!E$14:E$920,TrialBalanceB!M157,JournalsB!J$14:J$920)</f>
        <v>0</v>
      </c>
      <c r="H157" s="363"/>
      <c r="I157" s="365">
        <f t="shared" si="21"/>
        <v>0</v>
      </c>
      <c r="J157" s="81"/>
      <c r="K157" s="54">
        <f t="shared" si="22"/>
        <v>0</v>
      </c>
      <c r="M157" s="192" t="str">
        <f t="shared" si="23"/>
        <v>4300/002</v>
      </c>
      <c r="N157" s="76"/>
      <c r="O157" s="77"/>
      <c r="P157" s="57"/>
      <c r="Q157" s="31"/>
    </row>
    <row r="158" spans="1:17" x14ac:dyDescent="0.2">
      <c r="A158" s="315"/>
      <c r="B158" s="110" t="s">
        <v>964</v>
      </c>
      <c r="C158" s="352"/>
      <c r="D158" s="348"/>
      <c r="E158" s="356"/>
      <c r="F158" s="86"/>
      <c r="G158" s="53">
        <f>SUMIF(JournalsB!D$14:D$920,TrialBalanceB!M158,JournalsB!J$14:J$920)+SUMIF(JournalsB!E$14:E$920,TrialBalanceB!M158,JournalsB!J$14:J$920)</f>
        <v>0</v>
      </c>
      <c r="H158" s="363"/>
      <c r="I158" s="365">
        <f t="shared" si="21"/>
        <v>0</v>
      </c>
      <c r="J158" s="81"/>
      <c r="K158" s="54">
        <f t="shared" si="22"/>
        <v>0</v>
      </c>
      <c r="M158" s="192" t="str">
        <f t="shared" si="23"/>
        <v>4300/003</v>
      </c>
      <c r="N158" s="76"/>
      <c r="O158" s="77"/>
      <c r="P158" s="57"/>
      <c r="Q158" s="31"/>
    </row>
    <row r="159" spans="1:17" x14ac:dyDescent="0.2">
      <c r="A159" s="315"/>
      <c r="B159" s="110" t="s">
        <v>965</v>
      </c>
      <c r="C159" s="352"/>
      <c r="D159" s="348"/>
      <c r="E159" s="356"/>
      <c r="F159" s="86"/>
      <c r="G159" s="53">
        <f>SUMIF(JournalsB!D$14:D$920,TrialBalanceB!M159,JournalsB!J$14:J$920)+SUMIF(JournalsB!E$14:E$920,TrialBalanceB!M159,JournalsB!J$14:J$920)</f>
        <v>0</v>
      </c>
      <c r="H159" s="363"/>
      <c r="I159" s="365">
        <f t="shared" si="21"/>
        <v>0</v>
      </c>
      <c r="J159" s="81"/>
      <c r="K159" s="54">
        <f t="shared" si="22"/>
        <v>0</v>
      </c>
      <c r="M159" s="192" t="str">
        <f t="shared" si="23"/>
        <v>4300/004</v>
      </c>
      <c r="N159" s="76"/>
      <c r="O159" s="77"/>
      <c r="P159" s="57"/>
      <c r="Q159" s="31"/>
    </row>
    <row r="160" spans="1:17" x14ac:dyDescent="0.2">
      <c r="A160" s="315"/>
      <c r="B160" s="110" t="s">
        <v>966</v>
      </c>
      <c r="C160" s="352"/>
      <c r="D160" s="348"/>
      <c r="E160" s="356"/>
      <c r="F160" s="86"/>
      <c r="G160" s="53">
        <f>SUMIF(JournalsB!D$14:D$920,TrialBalanceB!M160,JournalsB!J$14:J$920)+SUMIF(JournalsB!E$14:E$920,TrialBalanceB!M160,JournalsB!J$14:J$920)</f>
        <v>0</v>
      </c>
      <c r="H160" s="363"/>
      <c r="I160" s="365">
        <f t="shared" si="21"/>
        <v>0</v>
      </c>
      <c r="J160" s="81"/>
      <c r="K160" s="54">
        <f t="shared" si="22"/>
        <v>0</v>
      </c>
      <c r="M160" s="192" t="str">
        <f t="shared" si="23"/>
        <v>4300/005</v>
      </c>
      <c r="N160" s="76"/>
      <c r="O160" s="77"/>
      <c r="P160" s="57"/>
      <c r="Q160" s="31"/>
    </row>
    <row r="161" spans="1:17" x14ac:dyDescent="0.2">
      <c r="A161" s="315"/>
      <c r="B161" s="110" t="s">
        <v>982</v>
      </c>
      <c r="C161" s="352"/>
      <c r="D161" s="348"/>
      <c r="E161" s="356"/>
      <c r="F161" s="86"/>
      <c r="G161" s="53">
        <f>SUMIF(JournalsB!D$14:D$920,TrialBalanceB!M161,JournalsB!J$14:J$920)+SUMIF(JournalsB!E$14:E$920,TrialBalanceB!M161,JournalsB!J$14:J$920)</f>
        <v>0</v>
      </c>
      <c r="H161" s="363"/>
      <c r="I161" s="365">
        <f t="shared" si="21"/>
        <v>0</v>
      </c>
      <c r="J161" s="81"/>
      <c r="K161" s="54">
        <f t="shared" si="22"/>
        <v>0</v>
      </c>
      <c r="M161" s="192" t="str">
        <f t="shared" si="23"/>
        <v>4300/006</v>
      </c>
      <c r="N161" s="76"/>
      <c r="O161" s="77"/>
      <c r="P161" s="57"/>
      <c r="Q161" s="31"/>
    </row>
    <row r="162" spans="1:17" x14ac:dyDescent="0.2">
      <c r="A162" s="315"/>
      <c r="B162" s="110" t="s">
        <v>983</v>
      </c>
      <c r="C162" s="352"/>
      <c r="D162" s="348"/>
      <c r="E162" s="356"/>
      <c r="F162" s="86"/>
      <c r="G162" s="53">
        <f>SUMIF(JournalsB!D$14:D$920,TrialBalanceB!M162,JournalsB!J$14:J$920)+SUMIF(JournalsB!E$14:E$920,TrialBalanceB!M162,JournalsB!J$14:J$920)</f>
        <v>0</v>
      </c>
      <c r="H162" s="363"/>
      <c r="I162" s="365">
        <f t="shared" si="21"/>
        <v>0</v>
      </c>
      <c r="J162" s="81"/>
      <c r="K162" s="54">
        <f t="shared" si="22"/>
        <v>0</v>
      </c>
      <c r="M162" s="192" t="str">
        <f t="shared" si="23"/>
        <v>4300/007</v>
      </c>
      <c r="N162" s="76"/>
      <c r="O162" s="77"/>
      <c r="P162" s="57"/>
      <c r="Q162" s="31"/>
    </row>
    <row r="163" spans="1:17" x14ac:dyDescent="0.2">
      <c r="A163" s="315"/>
      <c r="B163" s="110" t="s">
        <v>984</v>
      </c>
      <c r="C163" s="352"/>
      <c r="D163" s="348"/>
      <c r="E163" s="356"/>
      <c r="F163" s="86"/>
      <c r="G163" s="53">
        <f>SUMIF(JournalsB!D$14:D$920,TrialBalanceB!M163,JournalsB!J$14:J$920)+SUMIF(JournalsB!E$14:E$920,TrialBalanceB!M163,JournalsB!J$14:J$920)</f>
        <v>0</v>
      </c>
      <c r="H163" s="363"/>
      <c r="I163" s="365">
        <f t="shared" si="21"/>
        <v>0</v>
      </c>
      <c r="J163" s="81"/>
      <c r="K163" s="54">
        <f t="shared" si="22"/>
        <v>0</v>
      </c>
      <c r="M163" s="192" t="str">
        <f t="shared" si="23"/>
        <v>4300/008</v>
      </c>
      <c r="N163" s="76"/>
      <c r="O163" s="77"/>
      <c r="P163" s="57"/>
      <c r="Q163" s="31"/>
    </row>
    <row r="164" spans="1:17" x14ac:dyDescent="0.2">
      <c r="A164" s="315"/>
      <c r="B164" s="110" t="s">
        <v>985</v>
      </c>
      <c r="C164" s="352"/>
      <c r="D164" s="348"/>
      <c r="E164" s="356"/>
      <c r="F164" s="86"/>
      <c r="G164" s="53">
        <f>SUMIF(JournalsB!D$14:D$920,TrialBalanceB!M164,JournalsB!J$14:J$920)+SUMIF(JournalsB!E$14:E$920,TrialBalanceB!M164,JournalsB!J$14:J$920)</f>
        <v>0</v>
      </c>
      <c r="H164" s="363"/>
      <c r="I164" s="365">
        <f t="shared" si="21"/>
        <v>0</v>
      </c>
      <c r="J164" s="81"/>
      <c r="K164" s="54">
        <f t="shared" si="22"/>
        <v>0</v>
      </c>
      <c r="M164" s="192" t="str">
        <f t="shared" si="23"/>
        <v>4300/009</v>
      </c>
      <c r="N164" s="76"/>
      <c r="O164" s="77"/>
      <c r="P164" s="57"/>
      <c r="Q164" s="31"/>
    </row>
    <row r="165" spans="1:17" x14ac:dyDescent="0.2">
      <c r="A165" s="315"/>
      <c r="B165" s="110" t="s">
        <v>986</v>
      </c>
      <c r="C165" s="352"/>
      <c r="D165" s="348"/>
      <c r="E165" s="356"/>
      <c r="F165" s="86"/>
      <c r="G165" s="53">
        <f>SUMIF(JournalsB!D$14:D$920,TrialBalanceB!M165,JournalsB!J$14:J$920)+SUMIF(JournalsB!E$14:E$920,TrialBalanceB!M165,JournalsB!J$14:J$920)</f>
        <v>0</v>
      </c>
      <c r="H165" s="363"/>
      <c r="I165" s="365">
        <f t="shared" si="21"/>
        <v>0</v>
      </c>
      <c r="J165" s="81"/>
      <c r="K165" s="54">
        <f t="shared" si="22"/>
        <v>0</v>
      </c>
      <c r="M165" s="192" t="str">
        <f t="shared" si="23"/>
        <v>4300/010</v>
      </c>
      <c r="N165" s="76"/>
      <c r="O165" s="77"/>
      <c r="P165" s="57"/>
      <c r="Q165" s="31"/>
    </row>
    <row r="166" spans="1:17" x14ac:dyDescent="0.2">
      <c r="A166" s="315"/>
      <c r="B166" s="49" t="s">
        <v>987</v>
      </c>
      <c r="C166" s="321" t="s">
        <v>988</v>
      </c>
      <c r="D166" s="348"/>
      <c r="E166" s="356"/>
      <c r="F166" s="86"/>
      <c r="G166" s="53">
        <f>SUMIF(JournalsB!D$14:D$920,TrialBalanceB!M166,JournalsB!J$14:J$920)+SUMIF(JournalsB!E$14:E$920,TrialBalanceB!M166,JournalsB!J$14:J$920)</f>
        <v>0</v>
      </c>
      <c r="H166" s="363"/>
      <c r="I166" s="365">
        <f t="shared" si="21"/>
        <v>0</v>
      </c>
      <c r="J166" s="81"/>
      <c r="K166" s="54">
        <f t="shared" si="22"/>
        <v>0</v>
      </c>
      <c r="M166" s="192" t="str">
        <f t="shared" si="23"/>
        <v>4500/000Expenses applicable to other income</v>
      </c>
      <c r="N166" s="76"/>
      <c r="O166" s="77"/>
      <c r="P166" s="57"/>
      <c r="Q166" s="31"/>
    </row>
    <row r="167" spans="1:17" x14ac:dyDescent="0.2">
      <c r="A167" s="315"/>
      <c r="B167" s="49" t="s">
        <v>989</v>
      </c>
      <c r="C167" s="352"/>
      <c r="D167" s="348"/>
      <c r="E167" s="356"/>
      <c r="F167" s="86"/>
      <c r="G167" s="53">
        <f>SUMIF(JournalsB!D$14:D$920,TrialBalanceB!M167,JournalsB!J$14:J$920)+SUMIF(JournalsB!E$14:E$920,TrialBalanceB!M167,JournalsB!J$14:J$920)</f>
        <v>0</v>
      </c>
      <c r="H167" s="363"/>
      <c r="I167" s="365">
        <f t="shared" si="21"/>
        <v>0</v>
      </c>
      <c r="J167" s="81"/>
      <c r="K167" s="54">
        <f t="shared" si="22"/>
        <v>0</v>
      </c>
      <c r="M167" s="192" t="str">
        <f t="shared" si="23"/>
        <v>4500/001</v>
      </c>
      <c r="N167" s="76"/>
      <c r="O167" s="77"/>
      <c r="P167" s="57"/>
      <c r="Q167" s="31"/>
    </row>
    <row r="168" spans="1:17" x14ac:dyDescent="0.2">
      <c r="A168" s="315"/>
      <c r="B168" s="49" t="s">
        <v>990</v>
      </c>
      <c r="C168" s="352"/>
      <c r="D168" s="348"/>
      <c r="E168" s="356"/>
      <c r="F168" s="86"/>
      <c r="G168" s="53">
        <f>SUMIF(JournalsB!D$14:D$920,TrialBalanceB!M168,JournalsB!J$14:J$920)+SUMIF(JournalsB!E$14:E$920,TrialBalanceB!M168,JournalsB!J$14:J$920)</f>
        <v>0</v>
      </c>
      <c r="H168" s="363"/>
      <c r="I168" s="365">
        <f t="shared" si="21"/>
        <v>0</v>
      </c>
      <c r="J168" s="81"/>
      <c r="K168" s="54">
        <f t="shared" si="22"/>
        <v>0</v>
      </c>
      <c r="M168" s="192" t="str">
        <f t="shared" si="23"/>
        <v>4500/002</v>
      </c>
      <c r="N168" s="76"/>
      <c r="O168" s="77"/>
      <c r="P168" s="57"/>
      <c r="Q168" s="31"/>
    </row>
    <row r="169" spans="1:17" x14ac:dyDescent="0.2">
      <c r="A169" s="315"/>
      <c r="B169" s="49" t="s">
        <v>991</v>
      </c>
      <c r="C169" s="352"/>
      <c r="D169" s="348"/>
      <c r="E169" s="356"/>
      <c r="F169" s="86"/>
      <c r="G169" s="53">
        <f>SUMIF(JournalsB!D$14:D$920,TrialBalanceB!M169,JournalsB!J$14:J$920)+SUMIF(JournalsB!E$14:E$920,TrialBalanceB!M169,JournalsB!J$14:J$920)</f>
        <v>0</v>
      </c>
      <c r="H169" s="363"/>
      <c r="I169" s="365">
        <f t="shared" si="21"/>
        <v>0</v>
      </c>
      <c r="J169" s="81"/>
      <c r="K169" s="54">
        <f t="shared" si="22"/>
        <v>0</v>
      </c>
      <c r="M169" s="192" t="str">
        <f t="shared" si="23"/>
        <v>4500/003</v>
      </c>
      <c r="N169" s="76"/>
      <c r="O169" s="77"/>
      <c r="P169" s="57"/>
      <c r="Q169" s="31"/>
    </row>
    <row r="170" spans="1:17" x14ac:dyDescent="0.2">
      <c r="A170" s="315"/>
      <c r="B170" s="49" t="s">
        <v>992</v>
      </c>
      <c r="C170" s="352"/>
      <c r="D170" s="348"/>
      <c r="E170" s="356"/>
      <c r="F170" s="86"/>
      <c r="G170" s="53">
        <f>SUMIF(JournalsB!D$14:D$920,TrialBalanceB!M170,JournalsB!J$14:J$920)+SUMIF(JournalsB!E$14:E$920,TrialBalanceB!M170,JournalsB!J$14:J$920)</f>
        <v>0</v>
      </c>
      <c r="H170" s="363"/>
      <c r="I170" s="365">
        <f t="shared" si="21"/>
        <v>0</v>
      </c>
      <c r="J170" s="81"/>
      <c r="K170" s="54">
        <f t="shared" si="22"/>
        <v>0</v>
      </c>
      <c r="M170" s="192" t="str">
        <f t="shared" si="23"/>
        <v>4500/004</v>
      </c>
      <c r="N170" s="76"/>
      <c r="O170" s="77"/>
      <c r="P170" s="57"/>
      <c r="Q170" s="31"/>
    </row>
    <row r="171" spans="1:17" x14ac:dyDescent="0.2">
      <c r="A171" s="315"/>
      <c r="B171" s="49" t="s">
        <v>993</v>
      </c>
      <c r="C171" s="352"/>
      <c r="D171" s="348"/>
      <c r="E171" s="356"/>
      <c r="F171" s="86"/>
      <c r="G171" s="53">
        <f>SUMIF(JournalsB!D$14:D$920,TrialBalanceB!M171,JournalsB!J$14:J$920)+SUMIF(JournalsB!E$14:E$920,TrialBalanceB!M171,JournalsB!J$14:J$920)</f>
        <v>0</v>
      </c>
      <c r="H171" s="363"/>
      <c r="I171" s="365">
        <f t="shared" si="21"/>
        <v>0</v>
      </c>
      <c r="J171" s="81"/>
      <c r="K171" s="54">
        <f t="shared" si="22"/>
        <v>0</v>
      </c>
      <c r="M171" s="192" t="str">
        <f t="shared" si="23"/>
        <v>4500/005</v>
      </c>
      <c r="N171" s="76"/>
      <c r="O171" s="77"/>
      <c r="P171" s="57"/>
      <c r="Q171" s="31"/>
    </row>
    <row r="172" spans="1:17" x14ac:dyDescent="0.2">
      <c r="A172" s="315"/>
      <c r="B172" s="60"/>
      <c r="C172" s="316"/>
      <c r="D172" s="358"/>
      <c r="E172" s="356"/>
      <c r="F172" s="86"/>
      <c r="G172" s="53"/>
      <c r="H172" s="363"/>
      <c r="I172" s="365">
        <f t="shared" si="9"/>
        <v>0</v>
      </c>
      <c r="J172" s="81"/>
      <c r="K172" s="54">
        <f t="shared" si="13"/>
        <v>0</v>
      </c>
      <c r="M172" s="192" t="str">
        <f t="shared" si="14"/>
        <v/>
      </c>
      <c r="N172" s="76"/>
      <c r="O172" s="77"/>
      <c r="P172" s="57"/>
      <c r="Q172" s="31"/>
    </row>
    <row r="173" spans="1:17" x14ac:dyDescent="0.2">
      <c r="A173" s="315"/>
      <c r="B173" s="60"/>
      <c r="C173" s="317"/>
      <c r="D173" s="357"/>
      <c r="E173" s="356"/>
      <c r="F173" s="86"/>
      <c r="G173" s="53"/>
      <c r="H173" s="363"/>
      <c r="I173" s="365">
        <f t="shared" si="9"/>
        <v>0</v>
      </c>
      <c r="J173" s="81"/>
      <c r="K173" s="54">
        <f t="shared" si="13"/>
        <v>0</v>
      </c>
      <c r="M173" s="192" t="str">
        <f t="shared" si="14"/>
        <v/>
      </c>
      <c r="N173" s="76"/>
      <c r="O173" s="77"/>
      <c r="P173" s="57"/>
      <c r="Q173" s="31"/>
    </row>
    <row r="174" spans="1:17" x14ac:dyDescent="0.2">
      <c r="A174" s="315"/>
      <c r="B174" s="60"/>
      <c r="C174" s="317"/>
      <c r="D174" s="357"/>
      <c r="E174" s="356"/>
      <c r="F174" s="86"/>
      <c r="G174" s="53"/>
      <c r="H174" s="363"/>
      <c r="I174" s="365">
        <f t="shared" si="9"/>
        <v>0</v>
      </c>
      <c r="J174" s="81"/>
      <c r="K174" s="54">
        <f t="shared" si="13"/>
        <v>0</v>
      </c>
      <c r="M174" s="192" t="str">
        <f t="shared" si="14"/>
        <v/>
      </c>
      <c r="N174" s="76"/>
      <c r="O174" s="77"/>
      <c r="P174" s="57"/>
      <c r="Q174" s="31"/>
    </row>
    <row r="175" spans="1:17" x14ac:dyDescent="0.2">
      <c r="A175" s="315"/>
      <c r="B175" s="60"/>
      <c r="C175" s="319"/>
      <c r="D175" s="357"/>
      <c r="E175" s="356"/>
      <c r="F175" s="86"/>
      <c r="G175" s="53"/>
      <c r="H175" s="363"/>
      <c r="I175" s="365">
        <f t="shared" si="9"/>
        <v>0</v>
      </c>
      <c r="J175" s="81"/>
      <c r="K175" s="54">
        <f t="shared" si="13"/>
        <v>0</v>
      </c>
      <c r="M175" s="192" t="str">
        <f t="shared" si="14"/>
        <v/>
      </c>
      <c r="N175" s="76"/>
      <c r="O175" s="77"/>
      <c r="P175" s="57"/>
      <c r="Q175" s="31"/>
    </row>
    <row r="176" spans="1:17" x14ac:dyDescent="0.2">
      <c r="A176" s="315"/>
      <c r="B176" s="60" t="s">
        <v>233</v>
      </c>
      <c r="C176" s="317"/>
      <c r="D176" s="357"/>
      <c r="E176" s="348"/>
      <c r="F176" s="86"/>
      <c r="G176" s="53"/>
      <c r="H176" s="363"/>
      <c r="I176" s="365">
        <f t="shared" si="9"/>
        <v>0</v>
      </c>
      <c r="J176" s="81"/>
      <c r="K176" s="54">
        <f t="shared" si="13"/>
        <v>0</v>
      </c>
      <c r="M176" s="192" t="str">
        <f t="shared" si="14"/>
        <v/>
      </c>
      <c r="N176" s="76"/>
      <c r="O176" s="77"/>
      <c r="P176" s="57"/>
      <c r="Q176" s="31"/>
    </row>
    <row r="177" spans="1:17" x14ac:dyDescent="0.2">
      <c r="A177" s="315"/>
      <c r="B177" s="60" t="s">
        <v>233</v>
      </c>
      <c r="C177" s="317" t="s">
        <v>233</v>
      </c>
      <c r="D177" s="357"/>
      <c r="E177" s="348"/>
      <c r="F177" s="86"/>
      <c r="G177" s="53"/>
      <c r="H177" s="363"/>
      <c r="I177" s="365">
        <f t="shared" si="9"/>
        <v>0</v>
      </c>
      <c r="J177" s="81"/>
      <c r="K177" s="54">
        <f t="shared" si="13"/>
        <v>0</v>
      </c>
      <c r="M177" s="192" t="str">
        <f t="shared" si="14"/>
        <v/>
      </c>
      <c r="N177" s="76"/>
      <c r="O177" s="77"/>
      <c r="P177" s="57"/>
      <c r="Q177" s="31"/>
    </row>
    <row r="178" spans="1:17" x14ac:dyDescent="0.2">
      <c r="A178" s="315"/>
      <c r="B178" s="60" t="s">
        <v>233</v>
      </c>
      <c r="C178" s="317"/>
      <c r="D178" s="357"/>
      <c r="E178" s="348"/>
      <c r="F178" s="86"/>
      <c r="G178" s="53"/>
      <c r="H178" s="363"/>
      <c r="I178" s="365">
        <f t="shared" si="9"/>
        <v>0</v>
      </c>
      <c r="J178" s="81"/>
      <c r="K178" s="54">
        <f t="shared" si="13"/>
        <v>0</v>
      </c>
      <c r="M178" s="192" t="str">
        <f t="shared" si="14"/>
        <v/>
      </c>
      <c r="N178" s="76"/>
      <c r="O178" s="77"/>
      <c r="P178" s="57"/>
      <c r="Q178" s="31"/>
    </row>
    <row r="179" spans="1:17" x14ac:dyDescent="0.2">
      <c r="A179" s="315"/>
      <c r="B179" s="60" t="s">
        <v>480</v>
      </c>
      <c r="C179" s="316" t="s">
        <v>897</v>
      </c>
      <c r="D179" s="358"/>
      <c r="E179" s="348"/>
      <c r="F179" s="86"/>
      <c r="G179" s="53">
        <f>SUMIF(JournalsB!D$14:D$920,TrialBalanceB!M179,JournalsB!J$14:J$920)+SUMIF(JournalsB!E$14:E$920,TrialBalanceB!M179,JournalsB!J$14:J$920)</f>
        <v>0</v>
      </c>
      <c r="H179" s="363"/>
      <c r="I179" s="365">
        <f t="shared" ref="I179:I185" si="27">ROUND(D179-E179+G179+F179,0)</f>
        <v>0</v>
      </c>
      <c r="J179" s="81"/>
      <c r="K179" s="54">
        <f t="shared" si="13"/>
        <v>0</v>
      </c>
      <c r="M179" s="192" t="str">
        <f t="shared" si="14"/>
        <v>5100/000TRUSTEES' CONTRIBUTIONS</v>
      </c>
      <c r="N179" s="76"/>
      <c r="O179" s="77"/>
      <c r="P179" s="57"/>
      <c r="Q179" s="31"/>
    </row>
    <row r="180" spans="1:17" x14ac:dyDescent="0.2">
      <c r="A180" s="315"/>
      <c r="B180" s="60" t="s">
        <v>481</v>
      </c>
      <c r="C180" s="352"/>
      <c r="D180" s="357"/>
      <c r="E180" s="348"/>
      <c r="F180" s="86">
        <f t="shared" ref="F180" si="28">K180</f>
        <v>0</v>
      </c>
      <c r="G180" s="53">
        <f>SUMIF(JournalsB!D$14:D$920,TrialBalanceB!M180,JournalsB!J$14:J$920)+SUMIF(JournalsB!E$14:E$920,TrialBalanceB!M180,JournalsB!J$14:J$920)</f>
        <v>0</v>
      </c>
      <c r="H180" s="363"/>
      <c r="I180" s="365">
        <f t="shared" si="27"/>
        <v>0</v>
      </c>
      <c r="J180" s="81"/>
      <c r="K180" s="54">
        <f t="shared" si="13"/>
        <v>0</v>
      </c>
      <c r="M180" s="192" t="str">
        <f t="shared" si="14"/>
        <v>5100/001</v>
      </c>
      <c r="N180" s="76"/>
      <c r="O180" s="77"/>
      <c r="P180" s="57"/>
      <c r="Q180" s="31"/>
    </row>
    <row r="181" spans="1:17" x14ac:dyDescent="0.2">
      <c r="A181" s="315"/>
      <c r="B181" s="60" t="s">
        <v>482</v>
      </c>
      <c r="C181" s="352"/>
      <c r="D181" s="357"/>
      <c r="E181" s="348"/>
      <c r="F181" s="86">
        <f>K181</f>
        <v>0</v>
      </c>
      <c r="G181" s="53">
        <f>SUMIF(JournalsB!D$14:D$920,TrialBalanceB!M181,JournalsB!J$14:J$920)+SUMIF(JournalsB!E$14:E$920,TrialBalanceB!M181,JournalsB!J$14:J$920)</f>
        <v>0</v>
      </c>
      <c r="H181" s="363"/>
      <c r="I181" s="365">
        <f t="shared" si="27"/>
        <v>0</v>
      </c>
      <c r="J181" s="81"/>
      <c r="K181" s="54">
        <f t="shared" si="13"/>
        <v>0</v>
      </c>
      <c r="M181" s="192" t="str">
        <f t="shared" si="14"/>
        <v>5100/002</v>
      </c>
      <c r="N181" s="76"/>
      <c r="O181" s="77"/>
      <c r="P181" s="57"/>
      <c r="Q181" s="31"/>
    </row>
    <row r="182" spans="1:17" x14ac:dyDescent="0.2">
      <c r="A182" s="315"/>
      <c r="B182" s="110" t="s">
        <v>898</v>
      </c>
      <c r="C182" s="352"/>
      <c r="D182" s="364"/>
      <c r="E182" s="348"/>
      <c r="F182" s="86">
        <f>K182</f>
        <v>0</v>
      </c>
      <c r="G182" s="53">
        <f>SUMIF(JournalsB!D$14:D$920,TrialBalanceB!M182,JournalsB!J$14:J$920)+SUMIF(JournalsB!E$14:E$920,TrialBalanceB!M182,JournalsB!J$14:J$920)</f>
        <v>0</v>
      </c>
      <c r="H182" s="363"/>
      <c r="I182" s="365">
        <f t="shared" si="27"/>
        <v>0</v>
      </c>
      <c r="J182" s="81"/>
      <c r="K182" s="54">
        <f t="shared" si="13"/>
        <v>0</v>
      </c>
      <c r="M182" s="192" t="str">
        <f t="shared" si="14"/>
        <v>5100/003</v>
      </c>
      <c r="N182" s="76"/>
      <c r="O182" s="77"/>
      <c r="P182" s="57"/>
      <c r="Q182" s="31"/>
    </row>
    <row r="183" spans="1:17" x14ac:dyDescent="0.2">
      <c r="A183" s="315"/>
      <c r="B183" s="110" t="s">
        <v>899</v>
      </c>
      <c r="C183" s="352"/>
      <c r="D183" s="361"/>
      <c r="E183" s="348"/>
      <c r="F183" s="86">
        <f>K183</f>
        <v>0</v>
      </c>
      <c r="G183" s="53">
        <f>SUMIF(JournalsB!D$14:D$920,TrialBalanceB!M183,JournalsB!J$14:J$920)+SUMIF(JournalsB!E$14:E$920,TrialBalanceB!M183,JournalsB!J$14:J$920)</f>
        <v>0</v>
      </c>
      <c r="H183" s="363"/>
      <c r="I183" s="365">
        <f t="shared" si="27"/>
        <v>0</v>
      </c>
      <c r="J183" s="81"/>
      <c r="K183" s="54">
        <f t="shared" si="13"/>
        <v>0</v>
      </c>
      <c r="M183" s="192" t="str">
        <f t="shared" si="14"/>
        <v>5100/004</v>
      </c>
      <c r="N183" s="76"/>
      <c r="O183" s="77"/>
      <c r="P183" s="57"/>
      <c r="Q183" s="31"/>
    </row>
    <row r="184" spans="1:17" x14ac:dyDescent="0.2">
      <c r="A184" s="315"/>
      <c r="B184" s="110" t="s">
        <v>900</v>
      </c>
      <c r="C184" s="352"/>
      <c r="D184" s="361"/>
      <c r="E184" s="348"/>
      <c r="F184" s="86">
        <f>K184</f>
        <v>0</v>
      </c>
      <c r="G184" s="53">
        <f>SUMIF(JournalsB!D$14:D$920,TrialBalanceB!M184,JournalsB!J$14:J$920)+SUMIF(JournalsB!E$14:E$920,TrialBalanceB!M184,JournalsB!J$14:J$920)</f>
        <v>0</v>
      </c>
      <c r="H184" s="363"/>
      <c r="I184" s="365">
        <f t="shared" si="27"/>
        <v>0</v>
      </c>
      <c r="J184" s="81"/>
      <c r="K184" s="54">
        <f>ROUND(SUM(A184),0)</f>
        <v>0</v>
      </c>
      <c r="M184" s="192" t="str">
        <f t="shared" si="14"/>
        <v>5100/005</v>
      </c>
      <c r="N184" s="76"/>
      <c r="O184" s="77"/>
      <c r="P184" s="57"/>
      <c r="Q184" s="31"/>
    </row>
    <row r="185" spans="1:17" x14ac:dyDescent="0.2">
      <c r="A185" s="315"/>
      <c r="B185" s="110" t="s">
        <v>1059</v>
      </c>
      <c r="C185" s="318" t="s">
        <v>902</v>
      </c>
      <c r="D185" s="361"/>
      <c r="E185" s="348"/>
      <c r="F185" s="86">
        <f>K185</f>
        <v>0</v>
      </c>
      <c r="G185" s="53">
        <f>SUMIF(JournalsB!D$14:D$920,TrialBalanceB!M185,JournalsB!J$14:J$920)+SUMIF(JournalsB!E$14:E$920,TrialBalanceB!M185,JournalsB!J$14:J$920)</f>
        <v>0</v>
      </c>
      <c r="H185" s="363"/>
      <c r="I185" s="365">
        <f t="shared" si="27"/>
        <v>0</v>
      </c>
      <c r="J185" s="81"/>
      <c r="K185" s="54">
        <f>ROUND(SUM(A185),0)</f>
        <v>0</v>
      </c>
      <c r="M185" s="192" t="str">
        <f t="shared" ref="M185" si="29">CONCATENATE(B185,C185)</f>
        <v>5110/001Donations received</v>
      </c>
      <c r="N185" s="76"/>
      <c r="O185" s="77"/>
      <c r="P185" s="57"/>
      <c r="Q185" s="31"/>
    </row>
    <row r="186" spans="1:17" x14ac:dyDescent="0.2">
      <c r="A186" s="315"/>
      <c r="B186" s="110" t="s">
        <v>1060</v>
      </c>
      <c r="C186" s="316" t="s">
        <v>1061</v>
      </c>
      <c r="D186" s="361"/>
      <c r="E186" s="348"/>
      <c r="F186" s="86"/>
      <c r="G186" s="53">
        <f>SUMIF(JournalsB!D$14:D$920,TrialBalanceB!M186,JournalsB!J$14:J$920)+SUMIF(JournalsB!E$14:E$920,TrialBalanceB!M186,JournalsB!J$14:J$920)</f>
        <v>0</v>
      </c>
      <c r="H186" s="363"/>
      <c r="I186" s="365">
        <f t="shared" ref="I186:I189" si="30">ROUND(D186-E186+G186+F186,0)</f>
        <v>0</v>
      </c>
      <c r="J186" s="81"/>
      <c r="K186" s="54">
        <f t="shared" ref="K186:K189" si="31">ROUND(SUM(A186),0)</f>
        <v>0</v>
      </c>
      <c r="M186" s="192" t="str">
        <f t="shared" ref="M186:M189" si="32">CONCATENATE(B186,C186)</f>
        <v>5120/000REVALUATION RESERVE</v>
      </c>
      <c r="N186" s="76"/>
      <c r="O186" s="77"/>
      <c r="P186" s="57"/>
      <c r="Q186" s="31"/>
    </row>
    <row r="187" spans="1:17" x14ac:dyDescent="0.2">
      <c r="A187" s="315"/>
      <c r="B187" s="110" t="s">
        <v>1062</v>
      </c>
      <c r="C187" s="319" t="s">
        <v>1063</v>
      </c>
      <c r="D187" s="361"/>
      <c r="E187" s="348"/>
      <c r="F187" s="86">
        <f>SUM(K187:K189)</f>
        <v>0</v>
      </c>
      <c r="G187" s="53">
        <f>SUMIF(JournalsB!D$14:D$920,TrialBalanceB!M187,JournalsB!J$14:J$920)+SUMIF(JournalsB!E$14:E$920,TrialBalanceB!M187,JournalsB!J$14:J$920)</f>
        <v>0</v>
      </c>
      <c r="H187" s="363"/>
      <c r="I187" s="365">
        <f t="shared" si="30"/>
        <v>0</v>
      </c>
      <c r="J187" s="81"/>
      <c r="K187" s="54">
        <f t="shared" si="31"/>
        <v>0</v>
      </c>
      <c r="M187" s="192" t="str">
        <f t="shared" si="32"/>
        <v>5120/001Revaluation reserve - balance b/fwd</v>
      </c>
      <c r="N187" s="76"/>
      <c r="O187" s="77"/>
      <c r="P187" s="57"/>
      <c r="Q187" s="31"/>
    </row>
    <row r="188" spans="1:17" x14ac:dyDescent="0.2">
      <c r="A188" s="315"/>
      <c r="B188" s="110" t="s">
        <v>1064</v>
      </c>
      <c r="C188" s="319" t="s">
        <v>1065</v>
      </c>
      <c r="D188" s="361"/>
      <c r="E188" s="348"/>
      <c r="F188" s="86"/>
      <c r="G188" s="53">
        <f>SUMIF(JournalsB!D$14:D$920,TrialBalanceB!M188,JournalsB!J$14:J$920)+SUMIF(JournalsB!E$14:E$920,TrialBalanceB!M188,JournalsB!J$14:J$920)</f>
        <v>0</v>
      </c>
      <c r="H188" s="363"/>
      <c r="I188" s="365">
        <f t="shared" si="30"/>
        <v>0</v>
      </c>
      <c r="J188" s="81"/>
      <c r="K188" s="54">
        <f t="shared" si="31"/>
        <v>0</v>
      </c>
      <c r="M188" s="192" t="str">
        <f t="shared" si="32"/>
        <v>5120/002Revaluation reserve - additions</v>
      </c>
      <c r="N188" s="76"/>
      <c r="O188" s="77"/>
      <c r="P188" s="57"/>
      <c r="Q188" s="31"/>
    </row>
    <row r="189" spans="1:17" x14ac:dyDescent="0.2">
      <c r="A189" s="315"/>
      <c r="B189" s="110" t="s">
        <v>1066</v>
      </c>
      <c r="C189" s="319" t="s">
        <v>1067</v>
      </c>
      <c r="D189" s="361"/>
      <c r="E189" s="348"/>
      <c r="F189" s="86"/>
      <c r="G189" s="53">
        <f>SUMIF(JournalsB!D$14:D$920,TrialBalanceB!M189,JournalsB!J$14:J$920)+SUMIF(JournalsB!E$14:E$920,TrialBalanceB!M189,JournalsB!J$14:J$920)</f>
        <v>0</v>
      </c>
      <c r="H189" s="363"/>
      <c r="I189" s="365">
        <f t="shared" si="30"/>
        <v>0</v>
      </c>
      <c r="J189" s="81"/>
      <c r="K189" s="54">
        <f t="shared" si="31"/>
        <v>0</v>
      </c>
      <c r="M189" s="192" t="str">
        <f t="shared" si="32"/>
        <v>5120/003Revaluation reserve - transfer</v>
      </c>
      <c r="N189" s="76"/>
      <c r="O189" s="77"/>
      <c r="P189" s="57"/>
      <c r="Q189" s="31"/>
    </row>
    <row r="190" spans="1:17" x14ac:dyDescent="0.2">
      <c r="A190" s="315"/>
      <c r="B190" s="60" t="s">
        <v>391</v>
      </c>
      <c r="C190" s="316" t="s">
        <v>772</v>
      </c>
      <c r="D190" s="358"/>
      <c r="E190" s="348"/>
      <c r="F190" s="86">
        <f>K190+SUM(K6:K175)</f>
        <v>0</v>
      </c>
      <c r="G190" s="53">
        <f>SUMIF(JournalsB!D$14:D$920,TrialBalanceB!M190,JournalsB!J$14:J$920)+SUMIF(JournalsB!E$14:E$920,TrialBalanceB!M190,JournalsB!J$14:J$920)</f>
        <v>0</v>
      </c>
      <c r="H190" s="363"/>
      <c r="I190" s="365">
        <f t="shared" ref="I190:I241" si="33">ROUND(D190-E190+G190+F190,0)</f>
        <v>0</v>
      </c>
      <c r="J190" s="81"/>
      <c r="K190" s="54">
        <f t="shared" si="13"/>
        <v>0</v>
      </c>
      <c r="M190" s="192" t="str">
        <f t="shared" si="14"/>
        <v>5200/000(Retained income) / Accumulated loss</v>
      </c>
      <c r="N190" s="76"/>
      <c r="O190" s="77"/>
      <c r="P190" s="57"/>
      <c r="Q190" s="31"/>
    </row>
    <row r="191" spans="1:17" x14ac:dyDescent="0.2">
      <c r="A191" s="315"/>
      <c r="B191" s="60" t="s">
        <v>136</v>
      </c>
      <c r="C191" s="316" t="s">
        <v>137</v>
      </c>
      <c r="D191" s="358"/>
      <c r="E191" s="348"/>
      <c r="F191" s="86"/>
      <c r="G191" s="53">
        <f>SUMIF(JournalsB!D$14:D$920,TrialBalanceB!M191,JournalsB!J$14:J$920)+SUMIF(JournalsB!E$14:E$920,TrialBalanceB!M191,JournalsB!J$14:J$920)</f>
        <v>0</v>
      </c>
      <c r="H191" s="363"/>
      <c r="I191" s="365">
        <f t="shared" si="33"/>
        <v>0</v>
      </c>
      <c r="J191" s="81"/>
      <c r="K191" s="54">
        <f t="shared" si="13"/>
        <v>0</v>
      </c>
      <c r="M191" s="192" t="str">
        <f t="shared" si="14"/>
        <v>5500/000LONG TERM  INTEREST LIABILITIES</v>
      </c>
      <c r="N191" s="76"/>
      <c r="O191" s="77"/>
      <c r="P191" s="57"/>
      <c r="Q191" s="31"/>
    </row>
    <row r="192" spans="1:17" x14ac:dyDescent="0.2">
      <c r="A192" s="315"/>
      <c r="B192" s="60" t="s">
        <v>138</v>
      </c>
      <c r="C192" s="352">
        <f>TrialBalance!C192</f>
        <v>0</v>
      </c>
      <c r="D192" s="356"/>
      <c r="E192" s="348"/>
      <c r="F192" s="86">
        <f>K192</f>
        <v>0</v>
      </c>
      <c r="G192" s="53">
        <f>SUMIF(JournalsB!D$14:D$920,TrialBalanceB!M192,JournalsB!J$14:J$920)+SUMIF(JournalsB!E$14:E$920,TrialBalanceB!M192,JournalsB!J$14:J$920)</f>
        <v>0</v>
      </c>
      <c r="H192" s="363"/>
      <c r="I192" s="365">
        <f t="shared" si="33"/>
        <v>0</v>
      </c>
      <c r="J192" s="81"/>
      <c r="K192" s="54">
        <f t="shared" si="13"/>
        <v>0</v>
      </c>
      <c r="M192" s="192" t="str">
        <f t="shared" si="14"/>
        <v>5500/0010</v>
      </c>
      <c r="N192" s="76"/>
      <c r="O192" s="77"/>
      <c r="P192" s="57"/>
      <c r="Q192" s="31"/>
    </row>
    <row r="193" spans="1:17" x14ac:dyDescent="0.2">
      <c r="A193" s="315"/>
      <c r="B193" s="60" t="s">
        <v>139</v>
      </c>
      <c r="C193" s="352">
        <f>TrialBalance!C193</f>
        <v>0</v>
      </c>
      <c r="D193" s="356"/>
      <c r="E193" s="348"/>
      <c r="F193" s="86">
        <f>K193</f>
        <v>0</v>
      </c>
      <c r="G193" s="53">
        <f>SUMIF(JournalsB!D$14:D$920,TrialBalanceB!M193,JournalsB!J$14:J$920)+SUMIF(JournalsB!E$14:E$920,TrialBalanceB!M193,JournalsB!J$14:J$920)</f>
        <v>0</v>
      </c>
      <c r="H193" s="363"/>
      <c r="I193" s="365">
        <f t="shared" si="33"/>
        <v>0</v>
      </c>
      <c r="J193" s="81"/>
      <c r="K193" s="54">
        <f t="shared" si="13"/>
        <v>0</v>
      </c>
      <c r="M193" s="192" t="str">
        <f t="shared" si="14"/>
        <v>5500/0020</v>
      </c>
      <c r="N193" s="76"/>
      <c r="O193" s="77"/>
      <c r="P193" s="57"/>
      <c r="Q193" s="31"/>
    </row>
    <row r="194" spans="1:17" x14ac:dyDescent="0.2">
      <c r="A194" s="315"/>
      <c r="B194" s="60" t="s">
        <v>140</v>
      </c>
      <c r="C194" s="352">
        <f>TrialBalance!C194</f>
        <v>0</v>
      </c>
      <c r="D194" s="359"/>
      <c r="E194" s="348"/>
      <c r="F194" s="86">
        <f>K194</f>
        <v>0</v>
      </c>
      <c r="G194" s="53">
        <f>SUMIF(JournalsB!D$14:D$920,TrialBalanceB!M194,JournalsB!J$14:J$920)+SUMIF(JournalsB!E$14:E$920,TrialBalanceB!M194,JournalsB!J$14:J$920)</f>
        <v>0</v>
      </c>
      <c r="H194" s="363"/>
      <c r="I194" s="365">
        <f t="shared" si="33"/>
        <v>0</v>
      </c>
      <c r="J194" s="81"/>
      <c r="K194" s="54">
        <f t="shared" si="13"/>
        <v>0</v>
      </c>
      <c r="M194" s="192" t="str">
        <f t="shared" si="14"/>
        <v>5500/0030</v>
      </c>
      <c r="N194" s="76"/>
      <c r="O194" s="77"/>
      <c r="P194" s="57"/>
      <c r="Q194" s="31"/>
    </row>
    <row r="195" spans="1:17" x14ac:dyDescent="0.2">
      <c r="A195" s="315"/>
      <c r="B195" s="60" t="s">
        <v>141</v>
      </c>
      <c r="C195" s="352">
        <f>TrialBalance!C195</f>
        <v>0</v>
      </c>
      <c r="D195" s="357"/>
      <c r="E195" s="348"/>
      <c r="F195" s="86">
        <f>K195</f>
        <v>0</v>
      </c>
      <c r="G195" s="53">
        <f>SUMIF(JournalsB!D$14:D$920,TrialBalanceB!M195,JournalsB!J$14:J$920)+SUMIF(JournalsB!E$14:E$920,TrialBalanceB!M195,JournalsB!J$14:J$920)</f>
        <v>0</v>
      </c>
      <c r="H195" s="363"/>
      <c r="I195" s="365">
        <f t="shared" si="33"/>
        <v>0</v>
      </c>
      <c r="J195" s="81"/>
      <c r="K195" s="54">
        <f t="shared" si="13"/>
        <v>0</v>
      </c>
      <c r="M195" s="192" t="str">
        <f t="shared" si="14"/>
        <v>5500/0040</v>
      </c>
      <c r="N195" s="76"/>
      <c r="O195" s="77"/>
      <c r="P195" s="57"/>
      <c r="Q195" s="31"/>
    </row>
    <row r="196" spans="1:17" x14ac:dyDescent="0.2">
      <c r="A196" s="315"/>
      <c r="B196" s="60" t="s">
        <v>142</v>
      </c>
      <c r="C196" s="352">
        <f>TrialBalance!C196</f>
        <v>0</v>
      </c>
      <c r="D196" s="357"/>
      <c r="E196" s="348"/>
      <c r="F196" s="86">
        <f>K196</f>
        <v>0</v>
      </c>
      <c r="G196" s="53">
        <f>SUMIF(JournalsB!D$14:D$920,TrialBalanceB!M196,JournalsB!J$14:J$920)+SUMIF(JournalsB!E$14:E$920,TrialBalanceB!M196,JournalsB!J$14:J$920)</f>
        <v>0</v>
      </c>
      <c r="H196" s="363"/>
      <c r="I196" s="365">
        <f t="shared" si="33"/>
        <v>0</v>
      </c>
      <c r="J196" s="81"/>
      <c r="K196" s="54">
        <f t="shared" si="13"/>
        <v>0</v>
      </c>
      <c r="M196" s="192" t="str">
        <f t="shared" si="14"/>
        <v>5500/0050</v>
      </c>
      <c r="N196" s="76"/>
      <c r="O196" s="77"/>
      <c r="P196" s="57"/>
      <c r="Q196" s="31"/>
    </row>
    <row r="197" spans="1:17" x14ac:dyDescent="0.2">
      <c r="A197" s="315"/>
      <c r="B197" s="110" t="s">
        <v>580</v>
      </c>
      <c r="C197" s="352">
        <f>TrialBalance!C197</f>
        <v>0</v>
      </c>
      <c r="D197" s="357"/>
      <c r="E197" s="348"/>
      <c r="F197" s="86">
        <f t="shared" ref="F197:F222" si="34">K197</f>
        <v>0</v>
      </c>
      <c r="G197" s="53">
        <f>SUMIF(JournalsB!D$14:D$920,TrialBalanceB!M197,JournalsB!J$14:J$920)+SUMIF(JournalsB!E$14:E$920,TrialBalanceB!M197,JournalsB!J$14:J$920)</f>
        <v>0</v>
      </c>
      <c r="H197" s="363"/>
      <c r="I197" s="365">
        <f t="shared" si="33"/>
        <v>0</v>
      </c>
      <c r="J197" s="81"/>
      <c r="K197" s="54">
        <f t="shared" si="13"/>
        <v>0</v>
      </c>
      <c r="M197" s="192" t="str">
        <f t="shared" si="14"/>
        <v>5500/0060</v>
      </c>
      <c r="N197" s="76"/>
      <c r="O197" s="77"/>
      <c r="P197" s="57"/>
      <c r="Q197" s="31"/>
    </row>
    <row r="198" spans="1:17" x14ac:dyDescent="0.2">
      <c r="A198" s="315"/>
      <c r="B198" s="110" t="s">
        <v>581</v>
      </c>
      <c r="C198" s="352">
        <f>TrialBalance!C198</f>
        <v>0</v>
      </c>
      <c r="D198" s="357"/>
      <c r="E198" s="348"/>
      <c r="F198" s="86">
        <f t="shared" si="34"/>
        <v>0</v>
      </c>
      <c r="G198" s="53">
        <f>SUMIF(JournalsB!D$14:D$920,TrialBalanceB!M198,JournalsB!J$14:J$920)+SUMIF(JournalsB!E$14:E$920,TrialBalanceB!M198,JournalsB!J$14:J$920)</f>
        <v>0</v>
      </c>
      <c r="H198" s="363"/>
      <c r="I198" s="365">
        <f t="shared" si="33"/>
        <v>0</v>
      </c>
      <c r="J198" s="81"/>
      <c r="K198" s="54">
        <f t="shared" si="13"/>
        <v>0</v>
      </c>
      <c r="M198" s="192" t="str">
        <f t="shared" si="14"/>
        <v>5500/0070</v>
      </c>
      <c r="N198" s="76"/>
      <c r="O198" s="77"/>
      <c r="P198" s="57"/>
      <c r="Q198" s="31"/>
    </row>
    <row r="199" spans="1:17" x14ac:dyDescent="0.2">
      <c r="A199" s="315"/>
      <c r="B199" s="110" t="s">
        <v>582</v>
      </c>
      <c r="C199" s="352">
        <f>TrialBalance!C199</f>
        <v>0</v>
      </c>
      <c r="D199" s="357"/>
      <c r="E199" s="348"/>
      <c r="F199" s="86">
        <f t="shared" si="34"/>
        <v>0</v>
      </c>
      <c r="G199" s="53">
        <f>SUMIF(JournalsB!D$14:D$920,TrialBalanceB!M199,JournalsB!J$14:J$920)+SUMIF(JournalsB!E$14:E$920,TrialBalanceB!M199,JournalsB!J$14:J$920)</f>
        <v>0</v>
      </c>
      <c r="H199" s="363"/>
      <c r="I199" s="365">
        <f t="shared" si="33"/>
        <v>0</v>
      </c>
      <c r="J199" s="81"/>
      <c r="K199" s="54">
        <f t="shared" si="13"/>
        <v>0</v>
      </c>
      <c r="M199" s="192" t="str">
        <f t="shared" si="14"/>
        <v>5500/0080</v>
      </c>
      <c r="N199" s="76"/>
      <c r="O199" s="77"/>
      <c r="P199" s="57"/>
      <c r="Q199" s="31"/>
    </row>
    <row r="200" spans="1:17" x14ac:dyDescent="0.2">
      <c r="A200" s="315"/>
      <c r="B200" s="110" t="s">
        <v>583</v>
      </c>
      <c r="C200" s="352">
        <f>TrialBalance!C200</f>
        <v>0</v>
      </c>
      <c r="D200" s="357"/>
      <c r="E200" s="348"/>
      <c r="F200" s="86">
        <f t="shared" si="34"/>
        <v>0</v>
      </c>
      <c r="G200" s="53">
        <f>SUMIF(JournalsB!D$14:D$920,TrialBalanceB!M200,JournalsB!J$14:J$920)+SUMIF(JournalsB!E$14:E$920,TrialBalanceB!M200,JournalsB!J$14:J$920)</f>
        <v>0</v>
      </c>
      <c r="H200" s="363"/>
      <c r="I200" s="365">
        <f t="shared" si="33"/>
        <v>0</v>
      </c>
      <c r="J200" s="81"/>
      <c r="K200" s="54">
        <f t="shared" si="13"/>
        <v>0</v>
      </c>
      <c r="M200" s="192" t="str">
        <f t="shared" si="14"/>
        <v>5500/0090</v>
      </c>
      <c r="N200" s="76"/>
      <c r="O200" s="77"/>
      <c r="P200" s="57"/>
      <c r="Q200" s="31"/>
    </row>
    <row r="201" spans="1:17" x14ac:dyDescent="0.2">
      <c r="A201" s="315"/>
      <c r="B201" s="110" t="s">
        <v>584</v>
      </c>
      <c r="C201" s="352">
        <f>TrialBalance!C201</f>
        <v>0</v>
      </c>
      <c r="D201" s="357"/>
      <c r="E201" s="348"/>
      <c r="F201" s="86">
        <f t="shared" si="34"/>
        <v>0</v>
      </c>
      <c r="G201" s="53">
        <f>SUMIF(JournalsB!D$14:D$920,TrialBalanceB!M201,JournalsB!J$14:J$920)+SUMIF(JournalsB!E$14:E$920,TrialBalanceB!M201,JournalsB!J$14:J$920)</f>
        <v>0</v>
      </c>
      <c r="H201" s="363"/>
      <c r="I201" s="365">
        <f t="shared" si="33"/>
        <v>0</v>
      </c>
      <c r="J201" s="81"/>
      <c r="K201" s="54">
        <f t="shared" si="13"/>
        <v>0</v>
      </c>
      <c r="M201" s="192" t="str">
        <f t="shared" si="14"/>
        <v>5500/0100</v>
      </c>
      <c r="N201" s="76"/>
      <c r="O201" s="77"/>
      <c r="P201" s="57"/>
      <c r="Q201" s="31"/>
    </row>
    <row r="202" spans="1:17" x14ac:dyDescent="0.2">
      <c r="A202" s="315"/>
      <c r="B202" s="110" t="s">
        <v>585</v>
      </c>
      <c r="C202" s="352">
        <f>TrialBalance!C202</f>
        <v>0</v>
      </c>
      <c r="D202" s="357"/>
      <c r="E202" s="348"/>
      <c r="F202" s="86">
        <f t="shared" si="34"/>
        <v>0</v>
      </c>
      <c r="G202" s="53">
        <f>SUMIF(JournalsB!D$14:D$920,TrialBalanceB!M202,JournalsB!J$14:J$920)+SUMIF(JournalsB!E$14:E$920,TrialBalanceB!M202,JournalsB!J$14:J$920)</f>
        <v>0</v>
      </c>
      <c r="H202" s="363"/>
      <c r="I202" s="365">
        <f t="shared" si="33"/>
        <v>0</v>
      </c>
      <c r="J202" s="81"/>
      <c r="K202" s="54">
        <f t="shared" si="13"/>
        <v>0</v>
      </c>
      <c r="M202" s="192" t="str">
        <f t="shared" si="14"/>
        <v>5500/0110</v>
      </c>
      <c r="N202" s="76"/>
      <c r="O202" s="77"/>
      <c r="P202" s="57"/>
      <c r="Q202" s="31"/>
    </row>
    <row r="203" spans="1:17" x14ac:dyDescent="0.2">
      <c r="A203" s="315"/>
      <c r="B203" s="110" t="s">
        <v>586</v>
      </c>
      <c r="C203" s="352">
        <f>TrialBalance!C203</f>
        <v>0</v>
      </c>
      <c r="D203" s="357"/>
      <c r="E203" s="348"/>
      <c r="F203" s="86">
        <f t="shared" si="34"/>
        <v>0</v>
      </c>
      <c r="G203" s="53">
        <f>SUMIF(JournalsB!D$14:D$920,TrialBalanceB!M203,JournalsB!J$14:J$920)+SUMIF(JournalsB!E$14:E$920,TrialBalanceB!M203,JournalsB!J$14:J$920)</f>
        <v>0</v>
      </c>
      <c r="H203" s="363"/>
      <c r="I203" s="365">
        <f t="shared" si="33"/>
        <v>0</v>
      </c>
      <c r="J203" s="81"/>
      <c r="K203" s="54">
        <f t="shared" si="13"/>
        <v>0</v>
      </c>
      <c r="M203" s="192" t="str">
        <f t="shared" si="14"/>
        <v>5500/0120</v>
      </c>
      <c r="N203" s="76"/>
      <c r="O203" s="77"/>
      <c r="P203" s="57"/>
      <c r="Q203" s="31"/>
    </row>
    <row r="204" spans="1:17" x14ac:dyDescent="0.2">
      <c r="A204" s="315"/>
      <c r="B204" s="110" t="s">
        <v>587</v>
      </c>
      <c r="C204" s="352">
        <f>TrialBalance!C204</f>
        <v>0</v>
      </c>
      <c r="D204" s="357"/>
      <c r="E204" s="348"/>
      <c r="F204" s="86">
        <f t="shared" ref="F204:F205" si="35">K204</f>
        <v>0</v>
      </c>
      <c r="G204" s="53">
        <f>SUMIF(JournalsB!D$14:D$920,TrialBalanceB!M204,JournalsB!J$14:J$920)+SUMIF(JournalsB!E$14:E$920,TrialBalanceB!M204,JournalsB!J$14:J$920)</f>
        <v>0</v>
      </c>
      <c r="H204" s="363"/>
      <c r="I204" s="365">
        <f t="shared" ref="I204:I205" si="36">ROUND(D204-E204+G204+F204,0)</f>
        <v>0</v>
      </c>
      <c r="J204" s="81"/>
      <c r="K204" s="54">
        <f t="shared" ref="K204:K205" si="37">ROUND(SUM(A204),0)</f>
        <v>0</v>
      </c>
      <c r="M204" s="192" t="str">
        <f t="shared" ref="M204:M205" si="38">CONCATENATE(B204,C204)</f>
        <v>5500/0130</v>
      </c>
      <c r="N204" s="76"/>
      <c r="O204" s="77"/>
      <c r="P204" s="57"/>
      <c r="Q204" s="31"/>
    </row>
    <row r="205" spans="1:17" x14ac:dyDescent="0.2">
      <c r="A205" s="315"/>
      <c r="B205" s="110" t="s">
        <v>626</v>
      </c>
      <c r="C205" s="352">
        <f>TrialBalance!C205</f>
        <v>0</v>
      </c>
      <c r="D205" s="357"/>
      <c r="E205" s="348"/>
      <c r="F205" s="86">
        <f t="shared" si="35"/>
        <v>0</v>
      </c>
      <c r="G205" s="53">
        <f>SUMIF(JournalsB!D$14:D$920,TrialBalanceB!M205,JournalsB!J$14:J$920)+SUMIF(JournalsB!E$14:E$920,TrialBalanceB!M205,JournalsB!J$14:J$920)</f>
        <v>0</v>
      </c>
      <c r="H205" s="363"/>
      <c r="I205" s="365">
        <f t="shared" si="36"/>
        <v>0</v>
      </c>
      <c r="J205" s="81"/>
      <c r="K205" s="54">
        <f t="shared" si="37"/>
        <v>0</v>
      </c>
      <c r="M205" s="192" t="str">
        <f t="shared" si="38"/>
        <v>5500/0140</v>
      </c>
      <c r="N205" s="76"/>
      <c r="O205" s="77"/>
      <c r="P205" s="57"/>
      <c r="Q205" s="31"/>
    </row>
    <row r="206" spans="1:17" x14ac:dyDescent="0.2">
      <c r="A206" s="315"/>
      <c r="B206" s="110" t="s">
        <v>627</v>
      </c>
      <c r="C206" s="352">
        <f>TrialBalance!C206</f>
        <v>0</v>
      </c>
      <c r="D206" s="357"/>
      <c r="E206" s="348"/>
      <c r="F206" s="86">
        <f t="shared" si="34"/>
        <v>0</v>
      </c>
      <c r="G206" s="53">
        <f>SUMIF(JournalsB!D$14:D$920,TrialBalanceB!M206,JournalsB!J$14:J$920)+SUMIF(JournalsB!E$14:E$920,TrialBalanceB!M206,JournalsB!J$14:J$920)</f>
        <v>0</v>
      </c>
      <c r="H206" s="363"/>
      <c r="I206" s="365">
        <f t="shared" si="33"/>
        <v>0</v>
      </c>
      <c r="J206" s="81"/>
      <c r="K206" s="54">
        <f t="shared" si="13"/>
        <v>0</v>
      </c>
      <c r="M206" s="192" t="str">
        <f t="shared" si="14"/>
        <v>5500/0150</v>
      </c>
      <c r="N206" s="76"/>
      <c r="O206" s="77"/>
      <c r="P206" s="57"/>
      <c r="Q206" s="31"/>
    </row>
    <row r="207" spans="1:17" x14ac:dyDescent="0.2">
      <c r="A207" s="315"/>
      <c r="B207" s="60" t="s">
        <v>143</v>
      </c>
      <c r="C207" s="317" t="s">
        <v>256</v>
      </c>
      <c r="D207" s="357"/>
      <c r="E207" s="348"/>
      <c r="F207" s="86">
        <f t="shared" si="34"/>
        <v>0</v>
      </c>
      <c r="G207" s="53">
        <f>SUMIF(JournalsB!D$14:D$920,TrialBalanceB!M207,JournalsB!J$14:J$920)+SUMIF(JournalsB!E$14:E$920,TrialBalanceB!M207,JournalsB!J$14:J$920)</f>
        <v>0</v>
      </c>
      <c r="H207" s="363"/>
      <c r="I207" s="365">
        <f t="shared" si="33"/>
        <v>0</v>
      </c>
      <c r="J207" s="81"/>
      <c r="K207" s="54">
        <f t="shared" si="13"/>
        <v>0</v>
      </c>
      <c r="M207" s="192" t="str">
        <f t="shared" si="14"/>
        <v>5520/000Short term portion of long term loans</v>
      </c>
      <c r="N207" s="76"/>
      <c r="O207" s="77"/>
      <c r="P207" s="57"/>
      <c r="Q207" s="31"/>
    </row>
    <row r="208" spans="1:17" x14ac:dyDescent="0.2">
      <c r="A208" s="315"/>
      <c r="B208" s="60" t="s">
        <v>145</v>
      </c>
      <c r="C208" s="316" t="s">
        <v>146</v>
      </c>
      <c r="D208" s="358"/>
      <c r="E208" s="348"/>
      <c r="F208" s="86">
        <f t="shared" si="34"/>
        <v>0</v>
      </c>
      <c r="G208" s="53">
        <f>SUMIF(JournalsB!D$14:D$920,TrialBalanceB!M208,JournalsB!J$14:J$920)+SUMIF(JournalsB!E$14:E$920,TrialBalanceB!M208,JournalsB!J$14:J$920)</f>
        <v>0</v>
      </c>
      <c r="H208" s="363"/>
      <c r="I208" s="365">
        <f t="shared" si="33"/>
        <v>0</v>
      </c>
      <c r="J208" s="81"/>
      <c r="K208" s="54">
        <f t="shared" si="13"/>
        <v>0</v>
      </c>
      <c r="M208" s="192" t="str">
        <f t="shared" si="14"/>
        <v>5550/000LONG TERM INTEREST FREE LOANS</v>
      </c>
      <c r="N208" s="76"/>
      <c r="O208" s="77"/>
      <c r="P208" s="57"/>
      <c r="Q208" s="31"/>
    </row>
    <row r="209" spans="1:17" x14ac:dyDescent="0.2">
      <c r="A209" s="315"/>
      <c r="B209" s="60" t="s">
        <v>147</v>
      </c>
      <c r="C209" s="352" t="str">
        <f>TrialBalance!C209</f>
        <v>Beneficiaries</v>
      </c>
      <c r="D209" s="348"/>
      <c r="E209" s="348"/>
      <c r="F209" s="86">
        <f t="shared" si="34"/>
        <v>0</v>
      </c>
      <c r="G209" s="53">
        <f>SUMIF(JournalsB!D$14:D$920,TrialBalanceB!M209,JournalsB!J$14:J$920)+SUMIF(JournalsB!E$14:E$920,TrialBalanceB!M209,JournalsB!J$14:J$920)</f>
        <v>0</v>
      </c>
      <c r="H209" s="363"/>
      <c r="I209" s="365">
        <f t="shared" si="33"/>
        <v>0</v>
      </c>
      <c r="J209" s="111"/>
      <c r="K209" s="54">
        <f t="shared" si="13"/>
        <v>0</v>
      </c>
      <c r="M209" s="192" t="str">
        <f t="shared" si="14"/>
        <v>5550/001Beneficiaries</v>
      </c>
      <c r="N209" s="76"/>
      <c r="O209" s="77"/>
      <c r="P209" s="57"/>
      <c r="Q209" s="31"/>
    </row>
    <row r="210" spans="1:17" x14ac:dyDescent="0.2">
      <c r="A210" s="315"/>
      <c r="B210" s="60" t="s">
        <v>148</v>
      </c>
      <c r="C210" s="352">
        <f>TrialBalance!C210</f>
        <v>0</v>
      </c>
      <c r="D210" s="359"/>
      <c r="E210" s="348"/>
      <c r="F210" s="86">
        <f t="shared" si="34"/>
        <v>0</v>
      </c>
      <c r="G210" s="53">
        <f>SUMIF(JournalsB!D$14:D$920,TrialBalanceB!M210,JournalsB!J$14:J$920)+SUMIF(JournalsB!E$14:E$920,TrialBalanceB!M210,JournalsB!J$14:J$920)</f>
        <v>0</v>
      </c>
      <c r="H210" s="363"/>
      <c r="I210" s="365">
        <f t="shared" si="33"/>
        <v>0</v>
      </c>
      <c r="J210" s="81"/>
      <c r="K210" s="54">
        <f t="shared" si="13"/>
        <v>0</v>
      </c>
      <c r="M210" s="192" t="str">
        <f t="shared" si="14"/>
        <v>5550/0020</v>
      </c>
      <c r="N210" s="76"/>
      <c r="O210" s="77"/>
      <c r="P210" s="57"/>
      <c r="Q210" s="31"/>
    </row>
    <row r="211" spans="1:17" x14ac:dyDescent="0.2">
      <c r="A211" s="315"/>
      <c r="B211" s="60" t="s">
        <v>149</v>
      </c>
      <c r="C211" s="352">
        <f>TrialBalance!C211</f>
        <v>0</v>
      </c>
      <c r="D211" s="359"/>
      <c r="E211" s="348"/>
      <c r="F211" s="86">
        <f t="shared" si="34"/>
        <v>0</v>
      </c>
      <c r="G211" s="53">
        <f>SUMIF(JournalsB!D$14:D$920,TrialBalanceB!M211,JournalsB!J$14:J$920)+SUMIF(JournalsB!E$14:E$920,TrialBalanceB!M211,JournalsB!J$14:J$920)</f>
        <v>0</v>
      </c>
      <c r="H211" s="363"/>
      <c r="I211" s="365">
        <f t="shared" si="33"/>
        <v>0</v>
      </c>
      <c r="J211" s="111"/>
      <c r="K211" s="54">
        <f t="shared" si="13"/>
        <v>0</v>
      </c>
      <c r="M211" s="192" t="str">
        <f t="shared" si="14"/>
        <v>5550/0030</v>
      </c>
      <c r="N211" s="76"/>
      <c r="O211" s="77"/>
      <c r="P211" s="57"/>
      <c r="Q211" s="31"/>
    </row>
    <row r="212" spans="1:17" x14ac:dyDescent="0.2">
      <c r="A212" s="315"/>
      <c r="B212" s="60" t="s">
        <v>150</v>
      </c>
      <c r="C212" s="352">
        <f>TrialBalance!C212</f>
        <v>0</v>
      </c>
      <c r="D212" s="359"/>
      <c r="E212" s="348"/>
      <c r="F212" s="86">
        <f t="shared" si="34"/>
        <v>0</v>
      </c>
      <c r="G212" s="53">
        <f>SUMIF(JournalsB!D$14:D$920,TrialBalanceB!M212,JournalsB!J$14:J$920)+SUMIF(JournalsB!E$14:E$920,TrialBalanceB!M212,JournalsB!J$14:J$920)</f>
        <v>0</v>
      </c>
      <c r="H212" s="363"/>
      <c r="I212" s="365">
        <f t="shared" si="33"/>
        <v>0</v>
      </c>
      <c r="J212" s="111"/>
      <c r="K212" s="54">
        <f t="shared" si="13"/>
        <v>0</v>
      </c>
      <c r="M212" s="192" t="str">
        <f t="shared" si="14"/>
        <v>5550/0040</v>
      </c>
      <c r="N212" s="76"/>
      <c r="O212" s="77"/>
      <c r="P212" s="57"/>
      <c r="Q212" s="31"/>
    </row>
    <row r="213" spans="1:17" x14ac:dyDescent="0.2">
      <c r="A213" s="315"/>
      <c r="B213" s="60" t="s">
        <v>151</v>
      </c>
      <c r="C213" s="352">
        <f>TrialBalance!C213</f>
        <v>0</v>
      </c>
      <c r="D213" s="356"/>
      <c r="E213" s="348"/>
      <c r="F213" s="86">
        <f t="shared" si="34"/>
        <v>0</v>
      </c>
      <c r="G213" s="53">
        <f>SUMIF(JournalsB!D$14:D$920,TrialBalanceB!M213,JournalsB!J$14:J$920)+SUMIF(JournalsB!E$14:E$920,TrialBalanceB!M213,JournalsB!J$14:J$920)</f>
        <v>0</v>
      </c>
      <c r="H213" s="363"/>
      <c r="I213" s="365">
        <f t="shared" si="33"/>
        <v>0</v>
      </c>
      <c r="J213" s="81"/>
      <c r="K213" s="54">
        <f t="shared" si="13"/>
        <v>0</v>
      </c>
      <c r="M213" s="192" t="str">
        <f t="shared" si="14"/>
        <v>5550/0050</v>
      </c>
      <c r="N213" s="76"/>
      <c r="O213" s="77"/>
      <c r="P213" s="57"/>
      <c r="Q213" s="31"/>
    </row>
    <row r="214" spans="1:17" x14ac:dyDescent="0.2">
      <c r="A214" s="315"/>
      <c r="B214" s="110" t="s">
        <v>607</v>
      </c>
      <c r="C214" s="352">
        <f>TrialBalance!C214</f>
        <v>0</v>
      </c>
      <c r="D214" s="359"/>
      <c r="E214" s="348"/>
      <c r="F214" s="86">
        <f t="shared" si="34"/>
        <v>0</v>
      </c>
      <c r="G214" s="53">
        <f>SUMIF(JournalsB!D$14:D$920,TrialBalanceB!M214,JournalsB!J$14:J$920)+SUMIF(JournalsB!E$14:E$920,TrialBalanceB!M214,JournalsB!J$14:J$920)</f>
        <v>0</v>
      </c>
      <c r="H214" s="363"/>
      <c r="I214" s="365">
        <f t="shared" si="33"/>
        <v>0</v>
      </c>
      <c r="J214" s="111"/>
      <c r="K214" s="54">
        <f t="shared" ref="K214:K271" si="39">ROUND(SUM(A214),0)</f>
        <v>0</v>
      </c>
      <c r="M214" s="192" t="str">
        <f t="shared" ref="M214:M271" si="40">CONCATENATE(B214,C214)</f>
        <v>5550/0060</v>
      </c>
      <c r="N214" s="76"/>
      <c r="O214" s="77"/>
      <c r="P214" s="57"/>
      <c r="Q214" s="31"/>
    </row>
    <row r="215" spans="1:17" x14ac:dyDescent="0.2">
      <c r="A215" s="315"/>
      <c r="B215" s="110" t="s">
        <v>608</v>
      </c>
      <c r="C215" s="352">
        <f>TrialBalance!C215</f>
        <v>0</v>
      </c>
      <c r="D215" s="356"/>
      <c r="E215" s="348"/>
      <c r="F215" s="86">
        <f t="shared" si="34"/>
        <v>0</v>
      </c>
      <c r="G215" s="53">
        <f>SUMIF(JournalsB!D$14:D$920,TrialBalanceB!M215,JournalsB!J$14:J$920)+SUMIF(JournalsB!E$14:E$920,TrialBalanceB!M215,JournalsB!J$14:J$920)</f>
        <v>0</v>
      </c>
      <c r="H215" s="363"/>
      <c r="I215" s="365">
        <f t="shared" si="33"/>
        <v>0</v>
      </c>
      <c r="J215" s="111"/>
      <c r="K215" s="54">
        <f t="shared" si="39"/>
        <v>0</v>
      </c>
      <c r="M215" s="192" t="str">
        <f t="shared" si="40"/>
        <v>5550/0070</v>
      </c>
      <c r="N215" s="76"/>
      <c r="O215" s="77"/>
      <c r="P215" s="57"/>
      <c r="Q215" s="31"/>
    </row>
    <row r="216" spans="1:17" x14ac:dyDescent="0.2">
      <c r="A216" s="315"/>
      <c r="B216" s="110" t="s">
        <v>609</v>
      </c>
      <c r="C216" s="352">
        <f>TrialBalance!C216</f>
        <v>0</v>
      </c>
      <c r="D216" s="356"/>
      <c r="E216" s="348"/>
      <c r="F216" s="86">
        <f t="shared" si="34"/>
        <v>0</v>
      </c>
      <c r="G216" s="53">
        <f>SUMIF(JournalsB!D$14:D$920,TrialBalanceB!M216,JournalsB!J$14:J$920)+SUMIF(JournalsB!E$14:E$920,TrialBalanceB!M216,JournalsB!J$14:J$920)</f>
        <v>0</v>
      </c>
      <c r="H216" s="363"/>
      <c r="I216" s="365">
        <f>ROUND(D216-E216+G216+F216,0)</f>
        <v>0</v>
      </c>
      <c r="J216" s="81"/>
      <c r="K216" s="54">
        <f t="shared" si="39"/>
        <v>0</v>
      </c>
      <c r="M216" s="192" t="str">
        <f t="shared" si="40"/>
        <v>5550/0080</v>
      </c>
      <c r="N216" s="76"/>
      <c r="O216" s="77"/>
      <c r="P216" s="57"/>
      <c r="Q216" s="31"/>
    </row>
    <row r="217" spans="1:17" x14ac:dyDescent="0.2">
      <c r="A217" s="315"/>
      <c r="B217" s="110" t="s">
        <v>610</v>
      </c>
      <c r="C217" s="352">
        <f>TrialBalance!C217</f>
        <v>0</v>
      </c>
      <c r="D217" s="350"/>
      <c r="E217" s="348"/>
      <c r="F217" s="86">
        <f t="shared" si="34"/>
        <v>0</v>
      </c>
      <c r="G217" s="53">
        <f>SUMIF(JournalsB!D$14:D$920,TrialBalanceB!M217,JournalsB!J$14:J$920)+SUMIF(JournalsB!E$14:E$920,TrialBalanceB!M217,JournalsB!J$14:J$920)</f>
        <v>0</v>
      </c>
      <c r="H217" s="363"/>
      <c r="I217" s="365">
        <f t="shared" si="33"/>
        <v>0</v>
      </c>
      <c r="J217" s="111"/>
      <c r="K217" s="54">
        <f t="shared" si="39"/>
        <v>0</v>
      </c>
      <c r="M217" s="192" t="str">
        <f t="shared" si="40"/>
        <v>5550/0090</v>
      </c>
      <c r="N217" s="76"/>
      <c r="O217" s="77"/>
      <c r="P217" s="57"/>
      <c r="Q217" s="31"/>
    </row>
    <row r="218" spans="1:17" x14ac:dyDescent="0.2">
      <c r="A218" s="315"/>
      <c r="B218" s="110" t="s">
        <v>623</v>
      </c>
      <c r="C218" s="352">
        <f>TrialBalance!C218</f>
        <v>0</v>
      </c>
      <c r="D218" s="362"/>
      <c r="E218" s="348"/>
      <c r="F218" s="86">
        <f t="shared" si="34"/>
        <v>0</v>
      </c>
      <c r="G218" s="53">
        <f>SUMIF(JournalsB!D$14:D$920,TrialBalanceB!M218,JournalsB!J$14:J$920)+SUMIF(JournalsB!E$14:E$920,TrialBalanceB!M218,JournalsB!J$14:J$920)</f>
        <v>0</v>
      </c>
      <c r="H218" s="363"/>
      <c r="I218" s="365">
        <f t="shared" si="33"/>
        <v>0</v>
      </c>
      <c r="J218" s="81"/>
      <c r="K218" s="54">
        <f t="shared" si="39"/>
        <v>0</v>
      </c>
      <c r="M218" s="192" t="str">
        <f t="shared" si="40"/>
        <v>5550/0100</v>
      </c>
      <c r="N218" s="76"/>
      <c r="O218" s="77"/>
      <c r="P218" s="57"/>
      <c r="Q218" s="31"/>
    </row>
    <row r="219" spans="1:17" x14ac:dyDescent="0.2">
      <c r="A219" s="315"/>
      <c r="B219" s="110" t="s">
        <v>633</v>
      </c>
      <c r="C219" s="352">
        <f>TrialBalance!C219</f>
        <v>0</v>
      </c>
      <c r="D219" s="362"/>
      <c r="E219" s="348"/>
      <c r="F219" s="86">
        <f t="shared" si="34"/>
        <v>0</v>
      </c>
      <c r="G219" s="53">
        <f>SUMIF(JournalsB!D$14:D$920,TrialBalanceB!M219,JournalsB!J$14:J$920)+SUMIF(JournalsB!E$14:E$920,TrialBalanceB!M219,JournalsB!J$14:J$920)</f>
        <v>0</v>
      </c>
      <c r="H219" s="363"/>
      <c r="I219" s="365">
        <f t="shared" si="33"/>
        <v>0</v>
      </c>
      <c r="J219" s="81"/>
      <c r="K219" s="54">
        <f t="shared" si="39"/>
        <v>0</v>
      </c>
      <c r="M219" s="192" t="str">
        <f t="shared" si="40"/>
        <v>5550/0110</v>
      </c>
      <c r="N219" s="76"/>
      <c r="O219" s="77"/>
      <c r="P219" s="57"/>
      <c r="Q219" s="31"/>
    </row>
    <row r="220" spans="1:17" x14ac:dyDescent="0.2">
      <c r="A220" s="315"/>
      <c r="B220" s="110" t="s">
        <v>634</v>
      </c>
      <c r="C220" s="352">
        <f>TrialBalance!C220</f>
        <v>0</v>
      </c>
      <c r="D220" s="362"/>
      <c r="E220" s="348"/>
      <c r="F220" s="86">
        <f t="shared" si="34"/>
        <v>0</v>
      </c>
      <c r="G220" s="53">
        <f>SUMIF(JournalsB!D$14:D$920,TrialBalanceB!M220,JournalsB!J$14:J$920)+SUMIF(JournalsB!E$14:E$920,TrialBalanceB!M220,JournalsB!J$14:J$920)</f>
        <v>0</v>
      </c>
      <c r="H220" s="363"/>
      <c r="I220" s="365">
        <f t="shared" si="33"/>
        <v>0</v>
      </c>
      <c r="J220" s="81"/>
      <c r="K220" s="54">
        <f t="shared" si="39"/>
        <v>0</v>
      </c>
      <c r="M220" s="192" t="str">
        <f t="shared" si="40"/>
        <v>5550/0120</v>
      </c>
      <c r="N220" s="76"/>
      <c r="O220" s="77"/>
      <c r="P220" s="57"/>
      <c r="Q220" s="31"/>
    </row>
    <row r="221" spans="1:17" x14ac:dyDescent="0.2">
      <c r="A221" s="315"/>
      <c r="B221" s="110" t="s">
        <v>635</v>
      </c>
      <c r="C221" s="352">
        <f>TrialBalance!C221</f>
        <v>0</v>
      </c>
      <c r="D221" s="362"/>
      <c r="E221" s="348"/>
      <c r="F221" s="86">
        <f t="shared" si="34"/>
        <v>0</v>
      </c>
      <c r="G221" s="53">
        <f>SUMIF(JournalsB!D$14:D$920,TrialBalanceB!M221,JournalsB!J$14:J$920)+SUMIF(JournalsB!E$14:E$920,TrialBalanceB!M221,JournalsB!J$14:J$920)</f>
        <v>0</v>
      </c>
      <c r="H221" s="363"/>
      <c r="I221" s="365">
        <f t="shared" si="33"/>
        <v>0</v>
      </c>
      <c r="J221" s="81"/>
      <c r="K221" s="54">
        <f t="shared" si="39"/>
        <v>0</v>
      </c>
      <c r="M221" s="192" t="str">
        <f t="shared" si="40"/>
        <v>5550/0130</v>
      </c>
      <c r="N221" s="76"/>
      <c r="O221" s="77"/>
      <c r="P221" s="57"/>
      <c r="Q221" s="31"/>
    </row>
    <row r="222" spans="1:17" x14ac:dyDescent="0.2">
      <c r="A222" s="315"/>
      <c r="B222" s="110" t="s">
        <v>636</v>
      </c>
      <c r="C222" s="352">
        <f>TrialBalance!C222</f>
        <v>0</v>
      </c>
      <c r="D222" s="358"/>
      <c r="E222" s="348"/>
      <c r="F222" s="86">
        <f t="shared" si="34"/>
        <v>0</v>
      </c>
      <c r="G222" s="53">
        <f>SUMIF(JournalsB!D$14:D$920,TrialBalanceB!M222,JournalsB!J$14:J$920)+SUMIF(JournalsB!E$14:E$920,TrialBalanceB!M222,JournalsB!J$14:J$920)</f>
        <v>0</v>
      </c>
      <c r="H222" s="363"/>
      <c r="I222" s="365">
        <f t="shared" si="33"/>
        <v>0</v>
      </c>
      <c r="J222" s="81"/>
      <c r="K222" s="54">
        <f t="shared" si="39"/>
        <v>0</v>
      </c>
      <c r="M222" s="192" t="str">
        <f t="shared" si="40"/>
        <v>5550/0140</v>
      </c>
      <c r="N222" s="76"/>
      <c r="O222" s="77"/>
      <c r="P222" s="57"/>
      <c r="Q222" s="31"/>
    </row>
    <row r="223" spans="1:17" x14ac:dyDescent="0.2">
      <c r="A223" s="315"/>
      <c r="B223" s="110" t="s">
        <v>637</v>
      </c>
      <c r="C223" s="352">
        <f>TrialBalance!C223</f>
        <v>0</v>
      </c>
      <c r="D223" s="357"/>
      <c r="E223" s="348"/>
      <c r="F223" s="86">
        <f>K223</f>
        <v>0</v>
      </c>
      <c r="G223" s="53">
        <f>SUMIF(JournalsB!D$14:D$920,TrialBalanceB!M223,JournalsB!J$14:J$920)+SUMIF(JournalsB!E$14:E$920,TrialBalanceB!M223,JournalsB!J$14:J$920)</f>
        <v>0</v>
      </c>
      <c r="H223" s="363"/>
      <c r="I223" s="365">
        <f t="shared" si="33"/>
        <v>0</v>
      </c>
      <c r="J223" s="81"/>
      <c r="K223" s="54">
        <f t="shared" si="39"/>
        <v>0</v>
      </c>
      <c r="M223" s="192" t="str">
        <f t="shared" si="40"/>
        <v>5550/0150</v>
      </c>
      <c r="N223" s="76"/>
      <c r="O223" s="77"/>
      <c r="P223" s="57"/>
      <c r="Q223" s="31"/>
    </row>
    <row r="224" spans="1:17" x14ac:dyDescent="0.2">
      <c r="A224" s="315"/>
      <c r="B224" s="110" t="s">
        <v>638</v>
      </c>
      <c r="C224" s="352">
        <f>TrialBalance!C224</f>
        <v>0</v>
      </c>
      <c r="D224" s="348"/>
      <c r="E224" s="348"/>
      <c r="F224" s="86">
        <f>K224</f>
        <v>0</v>
      </c>
      <c r="G224" s="53">
        <f>SUMIF(JournalsB!D$14:D$920,TrialBalanceB!M224,JournalsB!J$14:J$920)+SUMIF(JournalsB!E$14:E$920,TrialBalanceB!M224,JournalsB!J$14:J$920)</f>
        <v>0</v>
      </c>
      <c r="H224" s="363"/>
      <c r="I224" s="365">
        <f t="shared" si="33"/>
        <v>0</v>
      </c>
      <c r="J224" s="81"/>
      <c r="K224" s="54">
        <f t="shared" si="39"/>
        <v>0</v>
      </c>
      <c r="M224" s="192" t="str">
        <f t="shared" si="40"/>
        <v>5550/0160</v>
      </c>
      <c r="N224" s="76"/>
      <c r="O224" s="77"/>
      <c r="P224" s="57"/>
      <c r="Q224" s="31"/>
    </row>
    <row r="225" spans="1:17" x14ac:dyDescent="0.2">
      <c r="A225" s="315"/>
      <c r="B225" s="110" t="s">
        <v>639</v>
      </c>
      <c r="C225" s="352">
        <f>TrialBalance!C225</f>
        <v>0</v>
      </c>
      <c r="D225" s="350"/>
      <c r="E225" s="348"/>
      <c r="F225" s="86">
        <f>K225</f>
        <v>0</v>
      </c>
      <c r="G225" s="53">
        <f>SUMIF(JournalsB!D$14:D$920,TrialBalanceB!M225,JournalsB!J$14:J$920)+SUMIF(JournalsB!E$14:E$920,TrialBalanceB!M225,JournalsB!J$14:J$920)</f>
        <v>0</v>
      </c>
      <c r="H225" s="363"/>
      <c r="I225" s="365">
        <f t="shared" si="33"/>
        <v>0</v>
      </c>
      <c r="J225" s="81"/>
      <c r="K225" s="54">
        <f t="shared" si="39"/>
        <v>0</v>
      </c>
      <c r="M225" s="192" t="str">
        <f t="shared" si="40"/>
        <v>5550/0170</v>
      </c>
      <c r="N225" s="76"/>
      <c r="O225" s="77"/>
      <c r="P225" s="57"/>
      <c r="Q225" s="31"/>
    </row>
    <row r="226" spans="1:17" x14ac:dyDescent="0.2">
      <c r="A226" s="315"/>
      <c r="B226" s="60" t="s">
        <v>152</v>
      </c>
      <c r="C226" s="316" t="s">
        <v>1129</v>
      </c>
      <c r="D226" s="358"/>
      <c r="E226" s="348"/>
      <c r="F226" s="86"/>
      <c r="G226" s="53">
        <f>SUMIF(JournalsB!D$14:D$920,TrialBalanceB!M226,JournalsB!J$14:J$920)+SUMIF(JournalsB!E$14:E$920,TrialBalanceB!M226,JournalsB!J$14:J$920)</f>
        <v>0</v>
      </c>
      <c r="H226" s="363"/>
      <c r="I226" s="365">
        <f t="shared" si="33"/>
        <v>0</v>
      </c>
      <c r="J226" s="81"/>
      <c r="K226" s="54">
        <f t="shared" si="39"/>
        <v>0</v>
      </c>
      <c r="M226" s="192" t="str">
        <f t="shared" si="40"/>
        <v>6100/000PROPERTY - COST</v>
      </c>
      <c r="N226" s="76"/>
      <c r="O226" s="77"/>
      <c r="P226" s="57"/>
      <c r="Q226" s="31"/>
    </row>
    <row r="227" spans="1:17" x14ac:dyDescent="0.2">
      <c r="A227" s="315"/>
      <c r="B227" s="60" t="s">
        <v>153</v>
      </c>
      <c r="C227" s="319" t="s">
        <v>1130</v>
      </c>
      <c r="D227" s="357"/>
      <c r="E227" s="348"/>
      <c r="F227" s="86">
        <f>SUM(K227:K229)</f>
        <v>0</v>
      </c>
      <c r="G227" s="53">
        <f>SUMIF(JournalsB!D$14:D$920,TrialBalanceB!M227,JournalsB!J$14:J$920)+SUMIF(JournalsB!E$14:E$920,TrialBalanceB!M227,JournalsB!J$14:J$920)</f>
        <v>0</v>
      </c>
      <c r="H227" s="363"/>
      <c r="I227" s="365">
        <f t="shared" si="33"/>
        <v>0</v>
      </c>
      <c r="J227" s="81"/>
      <c r="K227" s="54">
        <f t="shared" si="39"/>
        <v>0</v>
      </c>
      <c r="M227" s="192" t="str">
        <f t="shared" si="40"/>
        <v>6100/001Property - cost b/fwd</v>
      </c>
      <c r="N227" s="76"/>
      <c r="O227" s="77"/>
      <c r="P227" s="57"/>
      <c r="Q227" s="31"/>
    </row>
    <row r="228" spans="1:17" x14ac:dyDescent="0.2">
      <c r="A228" s="315"/>
      <c r="B228" s="60" t="s">
        <v>154</v>
      </c>
      <c r="C228" s="319" t="s">
        <v>1131</v>
      </c>
      <c r="D228" s="357"/>
      <c r="E228" s="348"/>
      <c r="F228" s="86"/>
      <c r="G228" s="53">
        <f>SUMIF(JournalsB!D$14:D$920,TrialBalanceB!M228,JournalsB!J$14:J$920)+SUMIF(JournalsB!E$14:E$920,TrialBalanceB!M228,JournalsB!J$14:J$920)</f>
        <v>0</v>
      </c>
      <c r="H228" s="363"/>
      <c r="I228" s="365">
        <f t="shared" si="33"/>
        <v>0</v>
      </c>
      <c r="J228" s="81"/>
      <c r="K228" s="54">
        <f t="shared" si="39"/>
        <v>0</v>
      </c>
      <c r="M228" s="192" t="str">
        <f t="shared" si="40"/>
        <v>6100/002Property - additions</v>
      </c>
      <c r="N228" s="76"/>
      <c r="O228" s="77"/>
      <c r="P228" s="57"/>
      <c r="Q228" s="31"/>
    </row>
    <row r="229" spans="1:17" x14ac:dyDescent="0.2">
      <c r="A229" s="315"/>
      <c r="B229" s="60" t="s">
        <v>155</v>
      </c>
      <c r="C229" s="319" t="s">
        <v>1132</v>
      </c>
      <c r="D229" s="357"/>
      <c r="E229" s="348"/>
      <c r="F229" s="86"/>
      <c r="G229" s="53">
        <f>SUMIF(JournalsB!D$14:D$920,TrialBalanceB!M229,JournalsB!J$14:J$920)+SUMIF(JournalsB!E$14:E$920,TrialBalanceB!M229,JournalsB!J$14:J$920)</f>
        <v>0</v>
      </c>
      <c r="H229" s="363"/>
      <c r="I229" s="365">
        <f t="shared" si="33"/>
        <v>0</v>
      </c>
      <c r="J229" s="81"/>
      <c r="K229" s="54">
        <f t="shared" si="39"/>
        <v>0</v>
      </c>
      <c r="M229" s="192" t="str">
        <f t="shared" si="40"/>
        <v>6100/003Property - cost of sales</v>
      </c>
      <c r="N229" s="76"/>
      <c r="O229" s="77"/>
      <c r="P229" s="57"/>
      <c r="Q229" s="31"/>
    </row>
    <row r="230" spans="1:17" x14ac:dyDescent="0.2">
      <c r="A230" s="315"/>
      <c r="B230" s="60" t="s">
        <v>286</v>
      </c>
      <c r="C230" s="316" t="s">
        <v>1133</v>
      </c>
      <c r="D230" s="358"/>
      <c r="E230" s="348"/>
      <c r="F230" s="86"/>
      <c r="G230" s="53">
        <f>SUMIF(JournalsB!D$14:D$920,TrialBalanceB!M230,JournalsB!J$14:J$920)+SUMIF(JournalsB!E$14:E$920,TrialBalanceB!M230,JournalsB!J$14:J$920)</f>
        <v>0</v>
      </c>
      <c r="H230" s="363"/>
      <c r="I230" s="365">
        <f t="shared" si="33"/>
        <v>0</v>
      </c>
      <c r="J230" s="81"/>
      <c r="K230" s="54">
        <f t="shared" si="39"/>
        <v>0</v>
      </c>
      <c r="M230" s="192" t="str">
        <f t="shared" si="40"/>
        <v>6100/020PROPERTY - ACC DEPR</v>
      </c>
      <c r="N230" s="76"/>
      <c r="O230" s="77"/>
      <c r="P230" s="57"/>
      <c r="Q230" s="31"/>
    </row>
    <row r="231" spans="1:17" x14ac:dyDescent="0.2">
      <c r="A231" s="315"/>
      <c r="B231" s="60" t="s">
        <v>287</v>
      </c>
      <c r="C231" s="319" t="s">
        <v>1134</v>
      </c>
      <c r="D231" s="357"/>
      <c r="E231" s="348"/>
      <c r="F231" s="86">
        <f>SUM(K231:K234)</f>
        <v>0</v>
      </c>
      <c r="G231" s="53">
        <f>SUMIF(JournalsB!D$14:D$920,TrialBalanceB!M231,JournalsB!J$14:J$920)+SUMIF(JournalsB!E$14:E$920,TrialBalanceB!M231,JournalsB!J$14:J$920)</f>
        <v>0</v>
      </c>
      <c r="H231" s="363"/>
      <c r="I231" s="365">
        <f t="shared" si="33"/>
        <v>0</v>
      </c>
      <c r="J231" s="81"/>
      <c r="K231" s="54">
        <f t="shared" si="39"/>
        <v>0</v>
      </c>
      <c r="M231" s="192" t="str">
        <f t="shared" si="40"/>
        <v>6100/021Property - acc depr b/fwd</v>
      </c>
      <c r="N231" s="76"/>
      <c r="O231" s="77"/>
      <c r="P231" s="57"/>
      <c r="Q231" s="31"/>
    </row>
    <row r="232" spans="1:17" x14ac:dyDescent="0.2">
      <c r="A232" s="315"/>
      <c r="B232" s="60" t="s">
        <v>288</v>
      </c>
      <c r="C232" s="319" t="s">
        <v>1135</v>
      </c>
      <c r="D232" s="357"/>
      <c r="E232" s="348"/>
      <c r="F232" s="86"/>
      <c r="G232" s="53">
        <f>SUMIF(JournalsB!D$14:D$920,TrialBalanceB!M232,JournalsB!J$14:J$920)+SUMIF(JournalsB!E$14:E$920,TrialBalanceB!M232,JournalsB!J$14:J$920)</f>
        <v>0</v>
      </c>
      <c r="H232" s="363"/>
      <c r="I232" s="365">
        <f t="shared" si="33"/>
        <v>0</v>
      </c>
      <c r="J232" s="81"/>
      <c r="K232" s="54">
        <f t="shared" si="39"/>
        <v>0</v>
      </c>
      <c r="M232" s="192" t="str">
        <f t="shared" si="40"/>
        <v>6100/022Property - depr this year</v>
      </c>
      <c r="N232" s="76"/>
      <c r="O232" s="77"/>
      <c r="P232" s="57"/>
      <c r="Q232" s="31"/>
    </row>
    <row r="233" spans="1:17" x14ac:dyDescent="0.2">
      <c r="A233" s="315"/>
      <c r="B233" s="60" t="s">
        <v>291</v>
      </c>
      <c r="C233" s="319" t="s">
        <v>1136</v>
      </c>
      <c r="D233" s="357"/>
      <c r="E233" s="348"/>
      <c r="F233" s="86"/>
      <c r="G233" s="53">
        <f>SUMIF(JournalsB!D$14:D$920,TrialBalanceB!M233,JournalsB!J$14:J$920)+SUMIF(JournalsB!E$14:E$920,TrialBalanceB!M233,JournalsB!J$14:J$920)</f>
        <v>0</v>
      </c>
      <c r="H233" s="363"/>
      <c r="I233" s="365">
        <f t="shared" si="33"/>
        <v>0</v>
      </c>
      <c r="J233" s="81"/>
      <c r="K233" s="54">
        <f t="shared" si="39"/>
        <v>0</v>
      </c>
      <c r="M233" s="192" t="str">
        <f t="shared" si="40"/>
        <v>6100/023Property - acc depr on sales</v>
      </c>
      <c r="N233" s="76"/>
      <c r="O233" s="77"/>
      <c r="P233" s="57"/>
      <c r="Q233" s="31"/>
    </row>
    <row r="234" spans="1:17" x14ac:dyDescent="0.2">
      <c r="A234" s="315"/>
      <c r="B234" s="110" t="s">
        <v>1154</v>
      </c>
      <c r="C234" s="319" t="s">
        <v>1155</v>
      </c>
      <c r="D234" s="357"/>
      <c r="E234" s="348"/>
      <c r="F234" s="86"/>
      <c r="G234" s="53">
        <f>SUMIF(JournalsB!D$14:D$920,TrialBalanceB!M234,JournalsB!J$14:J$920)+SUMIF(JournalsB!E$14:E$920,TrialBalanceB!M234,JournalsB!J$14:J$920)</f>
        <v>0</v>
      </c>
      <c r="H234" s="363"/>
      <c r="I234" s="365">
        <f t="shared" ref="I234" si="41">ROUND(D234-E234+G234+F234,0)</f>
        <v>0</v>
      </c>
      <c r="J234" s="81"/>
      <c r="K234" s="54">
        <f t="shared" ref="K234" si="42">ROUND(SUM(A234),0)</f>
        <v>0</v>
      </c>
      <c r="M234" s="192" t="str">
        <f t="shared" ref="M234" si="43">CONCATENATE(B234,C234)</f>
        <v>6100/024Property - recoupment of depr</v>
      </c>
      <c r="N234" s="76"/>
      <c r="O234" s="77"/>
      <c r="P234" s="57"/>
      <c r="Q234" s="31"/>
    </row>
    <row r="235" spans="1:17" x14ac:dyDescent="0.2">
      <c r="A235" s="315"/>
      <c r="B235" s="110" t="s">
        <v>676</v>
      </c>
      <c r="C235" s="316" t="s">
        <v>1137</v>
      </c>
      <c r="D235" s="357"/>
      <c r="E235" s="348"/>
      <c r="F235" s="86"/>
      <c r="G235" s="53">
        <f>SUMIF(JournalsB!D$14:D$920,TrialBalanceB!M235,JournalsB!J$14:J$920)+SUMIF(JournalsB!E$14:E$920,TrialBalanceB!M235,JournalsB!J$14:J$920)</f>
        <v>0</v>
      </c>
      <c r="H235" s="363"/>
      <c r="I235" s="365">
        <f t="shared" ref="I235:I238" si="44">ROUND(D235-E235+G235+F235,0)</f>
        <v>0</v>
      </c>
      <c r="J235" s="81"/>
      <c r="K235" s="54">
        <f t="shared" ref="K235:K238" si="45">ROUND(SUM(A235),0)</f>
        <v>0</v>
      </c>
      <c r="M235" s="192" t="str">
        <f t="shared" ref="M235:M238" si="46">CONCATENATE(B235,C235)</f>
        <v>6100/030PROPERTY - REVALUATION</v>
      </c>
      <c r="N235" s="76"/>
      <c r="O235" s="77"/>
      <c r="P235" s="57"/>
      <c r="Q235" s="31"/>
    </row>
    <row r="236" spans="1:17" x14ac:dyDescent="0.2">
      <c r="A236" s="315"/>
      <c r="B236" s="110" t="s">
        <v>677</v>
      </c>
      <c r="C236" s="319" t="s">
        <v>1138</v>
      </c>
      <c r="D236" s="357"/>
      <c r="E236" s="348"/>
      <c r="F236" s="86">
        <f>SUM(K236:K238)</f>
        <v>0</v>
      </c>
      <c r="G236" s="53">
        <f>SUMIF(JournalsB!D$14:D$920,TrialBalanceB!M236,JournalsB!J$14:J$920)+SUMIF(JournalsB!E$14:E$920,TrialBalanceB!M236,JournalsB!J$14:J$920)</f>
        <v>0</v>
      </c>
      <c r="H236" s="363"/>
      <c r="I236" s="365">
        <f t="shared" si="44"/>
        <v>0</v>
      </c>
      <c r="J236" s="81"/>
      <c r="K236" s="54">
        <f t="shared" si="45"/>
        <v>0</v>
      </c>
      <c r="M236" s="192" t="str">
        <f t="shared" si="46"/>
        <v>6100/031Property - revaluation b/fwd</v>
      </c>
      <c r="N236" s="76"/>
      <c r="O236" s="77"/>
      <c r="P236" s="57"/>
      <c r="Q236" s="31"/>
    </row>
    <row r="237" spans="1:17" x14ac:dyDescent="0.2">
      <c r="A237" s="315"/>
      <c r="B237" s="110" t="s">
        <v>678</v>
      </c>
      <c r="C237" s="319" t="s">
        <v>1139</v>
      </c>
      <c r="D237" s="357"/>
      <c r="E237" s="348"/>
      <c r="F237" s="86"/>
      <c r="G237" s="53">
        <f>SUMIF(JournalsB!D$14:D$920,TrialBalanceB!M237,JournalsB!J$14:J$920)+SUMIF(JournalsB!E$14:E$920,TrialBalanceB!M237,JournalsB!J$14:J$920)</f>
        <v>0</v>
      </c>
      <c r="H237" s="363"/>
      <c r="I237" s="365">
        <f t="shared" si="44"/>
        <v>0</v>
      </c>
      <c r="J237" s="81"/>
      <c r="K237" s="54">
        <f t="shared" si="45"/>
        <v>0</v>
      </c>
      <c r="M237" s="192" t="str">
        <f t="shared" si="46"/>
        <v>6100/032Property - revaluation additions</v>
      </c>
      <c r="N237" s="76"/>
      <c r="O237" s="77"/>
      <c r="P237" s="57"/>
      <c r="Q237" s="31"/>
    </row>
    <row r="238" spans="1:17" x14ac:dyDescent="0.2">
      <c r="A238" s="315"/>
      <c r="B238" s="110" t="s">
        <v>679</v>
      </c>
      <c r="C238" s="319" t="s">
        <v>1140</v>
      </c>
      <c r="D238" s="357"/>
      <c r="E238" s="348"/>
      <c r="F238" s="86"/>
      <c r="G238" s="53">
        <f>SUMIF(JournalsB!D$14:D$920,TrialBalanceB!M238,JournalsB!J$14:J$920)+SUMIF(JournalsB!E$14:E$920,TrialBalanceB!M238,JournalsB!J$14:J$920)</f>
        <v>0</v>
      </c>
      <c r="H238" s="363"/>
      <c r="I238" s="365">
        <f t="shared" si="44"/>
        <v>0</v>
      </c>
      <c r="J238" s="81"/>
      <c r="K238" s="54">
        <f t="shared" si="45"/>
        <v>0</v>
      </c>
      <c r="M238" s="192" t="str">
        <f t="shared" si="46"/>
        <v>6100/033Property - revaluation reduction</v>
      </c>
      <c r="N238" s="76"/>
      <c r="O238" s="77"/>
      <c r="P238" s="57"/>
      <c r="Q238" s="31"/>
    </row>
    <row r="239" spans="1:17" x14ac:dyDescent="0.2">
      <c r="A239" s="315"/>
      <c r="B239" s="60" t="s">
        <v>292</v>
      </c>
      <c r="C239" s="316" t="s">
        <v>773</v>
      </c>
      <c r="D239" s="358"/>
      <c r="E239" s="348"/>
      <c r="F239" s="86"/>
      <c r="G239" s="53">
        <f>SUMIF(JournalsB!D$14:D$920,TrialBalanceB!M239,JournalsB!J$14:J$920)+SUMIF(JournalsB!E$14:E$920,TrialBalanceB!M239,JournalsB!J$14:J$920)</f>
        <v>0</v>
      </c>
      <c r="H239" s="363"/>
      <c r="I239" s="365">
        <f t="shared" si="33"/>
        <v>0</v>
      </c>
      <c r="J239" s="81"/>
      <c r="K239" s="54">
        <f t="shared" si="39"/>
        <v>0</v>
      </c>
      <c r="M239" s="192" t="str">
        <f t="shared" si="40"/>
        <v>6150/000PLANT AND MACHINERY - COST</v>
      </c>
      <c r="N239" s="76"/>
      <c r="O239" s="77"/>
      <c r="P239" s="57"/>
      <c r="Q239" s="31"/>
    </row>
    <row r="240" spans="1:17" x14ac:dyDescent="0.2">
      <c r="A240" s="315"/>
      <c r="B240" s="60" t="s">
        <v>42</v>
      </c>
      <c r="C240" s="319" t="s">
        <v>774</v>
      </c>
      <c r="D240" s="357"/>
      <c r="E240" s="348"/>
      <c r="F240" s="86">
        <f>SUM(K240:K242)</f>
        <v>0</v>
      </c>
      <c r="G240" s="53">
        <f>SUMIF(JournalsB!D$14:D$920,TrialBalanceB!M240,JournalsB!J$14:J$920)+SUMIF(JournalsB!E$14:E$920,TrialBalanceB!M240,JournalsB!J$14:J$920)</f>
        <v>0</v>
      </c>
      <c r="H240" s="363"/>
      <c r="I240" s="365">
        <f t="shared" si="33"/>
        <v>0</v>
      </c>
      <c r="J240" s="81"/>
      <c r="K240" s="54">
        <f t="shared" si="39"/>
        <v>0</v>
      </c>
      <c r="M240" s="192" t="str">
        <f t="shared" si="40"/>
        <v>6150/001Plant and machinery - cost b/fwd</v>
      </c>
      <c r="N240" s="76"/>
      <c r="O240" s="77"/>
      <c r="P240" s="57"/>
      <c r="Q240" s="31"/>
    </row>
    <row r="241" spans="1:17" x14ac:dyDescent="0.2">
      <c r="A241" s="315"/>
      <c r="B241" s="60" t="s">
        <v>43</v>
      </c>
      <c r="C241" s="319" t="s">
        <v>775</v>
      </c>
      <c r="D241" s="357"/>
      <c r="E241" s="348"/>
      <c r="F241" s="86"/>
      <c r="G241" s="53">
        <f>SUMIF(JournalsB!D$14:D$920,TrialBalanceB!M241,JournalsB!J$14:J$920)+SUMIF(JournalsB!E$14:E$920,TrialBalanceB!M241,JournalsB!J$14:J$920)</f>
        <v>0</v>
      </c>
      <c r="H241" s="363"/>
      <c r="I241" s="365">
        <f t="shared" si="33"/>
        <v>0</v>
      </c>
      <c r="J241" s="81"/>
      <c r="K241" s="54">
        <f t="shared" si="39"/>
        <v>0</v>
      </c>
      <c r="M241" s="192" t="str">
        <f t="shared" si="40"/>
        <v>6150/002Plant and machinery - additions</v>
      </c>
      <c r="N241" s="76"/>
      <c r="O241" s="77"/>
      <c r="P241" s="57"/>
      <c r="Q241" s="31"/>
    </row>
    <row r="242" spans="1:17" x14ac:dyDescent="0.2">
      <c r="A242" s="315"/>
      <c r="B242" s="60" t="s">
        <v>44</v>
      </c>
      <c r="C242" s="319" t="s">
        <v>776</v>
      </c>
      <c r="D242" s="357"/>
      <c r="E242" s="348"/>
      <c r="F242" s="86"/>
      <c r="G242" s="53">
        <f>SUMIF(JournalsB!D$14:D$920,TrialBalanceB!M242,JournalsB!J$14:J$920)+SUMIF(JournalsB!E$14:E$920,TrialBalanceB!M242,JournalsB!J$14:J$920)</f>
        <v>0</v>
      </c>
      <c r="H242" s="363"/>
      <c r="I242" s="365">
        <f t="shared" ref="I242:I353" si="47">ROUND(D242-E242+G242+F242,0)</f>
        <v>0</v>
      </c>
      <c r="J242" s="81"/>
      <c r="K242" s="54">
        <f t="shared" si="39"/>
        <v>0</v>
      </c>
      <c r="M242" s="192" t="str">
        <f t="shared" si="40"/>
        <v>6150/003Plant and machinery - cost of sales</v>
      </c>
      <c r="N242" s="76"/>
      <c r="O242" s="77"/>
      <c r="P242" s="57"/>
      <c r="Q242" s="31"/>
    </row>
    <row r="243" spans="1:17" x14ac:dyDescent="0.2">
      <c r="A243" s="315"/>
      <c r="B243" s="60" t="s">
        <v>19</v>
      </c>
      <c r="C243" s="316" t="s">
        <v>777</v>
      </c>
      <c r="D243" s="358"/>
      <c r="E243" s="348"/>
      <c r="F243" s="86"/>
      <c r="G243" s="53">
        <f>SUMIF(JournalsB!D$14:D$920,TrialBalanceB!M243,JournalsB!J$14:J$920)+SUMIF(JournalsB!E$14:E$920,TrialBalanceB!M243,JournalsB!J$14:J$920)</f>
        <v>0</v>
      </c>
      <c r="H243" s="363"/>
      <c r="I243" s="365">
        <f t="shared" si="47"/>
        <v>0</v>
      </c>
      <c r="J243" s="81"/>
      <c r="K243" s="54">
        <f t="shared" si="39"/>
        <v>0</v>
      </c>
      <c r="M243" s="192" t="str">
        <f t="shared" si="40"/>
        <v>6150/020PLANT AND MACHINERY - ACC DEPR</v>
      </c>
      <c r="N243" s="76"/>
      <c r="O243" s="77"/>
      <c r="P243" s="57"/>
      <c r="Q243" s="31"/>
    </row>
    <row r="244" spans="1:17" x14ac:dyDescent="0.2">
      <c r="A244" s="315"/>
      <c r="B244" s="60" t="s">
        <v>20</v>
      </c>
      <c r="C244" s="319" t="s">
        <v>778</v>
      </c>
      <c r="D244" s="357"/>
      <c r="E244" s="348"/>
      <c r="F244" s="86">
        <f>SUM(K244:K246)</f>
        <v>0</v>
      </c>
      <c r="G244" s="53">
        <f>SUMIF(JournalsB!D$14:D$920,TrialBalanceB!M244,JournalsB!J$14:J$920)+SUMIF(JournalsB!E$14:E$920,TrialBalanceB!M244,JournalsB!J$14:J$920)</f>
        <v>0</v>
      </c>
      <c r="H244" s="363"/>
      <c r="I244" s="365">
        <f t="shared" si="47"/>
        <v>0</v>
      </c>
      <c r="J244" s="81"/>
      <c r="K244" s="54">
        <f t="shared" si="39"/>
        <v>0</v>
      </c>
      <c r="M244" s="192" t="str">
        <f t="shared" si="40"/>
        <v>6150/021Plant and machinery - acc depr b/fwd</v>
      </c>
      <c r="N244" s="76"/>
      <c r="O244" s="77"/>
      <c r="P244" s="57"/>
      <c r="Q244" s="31"/>
    </row>
    <row r="245" spans="1:17" x14ac:dyDescent="0.2">
      <c r="A245" s="315"/>
      <c r="B245" s="60" t="s">
        <v>36</v>
      </c>
      <c r="C245" s="319" t="s">
        <v>779</v>
      </c>
      <c r="D245" s="357"/>
      <c r="E245" s="348"/>
      <c r="F245" s="86"/>
      <c r="G245" s="53">
        <f>SUMIF(JournalsB!D$14:D$920,TrialBalanceB!M245,JournalsB!J$14:J$920)+SUMIF(JournalsB!E$14:E$920,TrialBalanceB!M245,JournalsB!J$14:J$920)</f>
        <v>0</v>
      </c>
      <c r="H245" s="363"/>
      <c r="I245" s="365">
        <f t="shared" si="47"/>
        <v>0</v>
      </c>
      <c r="J245" s="81"/>
      <c r="K245" s="54">
        <f t="shared" si="39"/>
        <v>0</v>
      </c>
      <c r="M245" s="192" t="str">
        <f t="shared" si="40"/>
        <v>6150/022Plant and machinery - depr this year</v>
      </c>
      <c r="N245" s="76"/>
      <c r="O245" s="77"/>
      <c r="P245" s="57"/>
      <c r="Q245" s="31"/>
    </row>
    <row r="246" spans="1:17" x14ac:dyDescent="0.2">
      <c r="A246" s="315"/>
      <c r="B246" s="60" t="s">
        <v>37</v>
      </c>
      <c r="C246" s="319" t="s">
        <v>780</v>
      </c>
      <c r="D246" s="357"/>
      <c r="E246" s="348"/>
      <c r="F246" s="86"/>
      <c r="G246" s="53">
        <f>SUMIF(JournalsB!D$14:D$920,TrialBalanceB!M246,JournalsB!J$14:J$920)+SUMIF(JournalsB!E$14:E$920,TrialBalanceB!M246,JournalsB!J$14:J$920)</f>
        <v>0</v>
      </c>
      <c r="H246" s="363"/>
      <c r="I246" s="365">
        <f t="shared" si="47"/>
        <v>0</v>
      </c>
      <c r="J246" s="81"/>
      <c r="K246" s="54">
        <f t="shared" si="39"/>
        <v>0</v>
      </c>
      <c r="M246" s="192" t="str">
        <f t="shared" si="40"/>
        <v>6150/023Plant and machinery - acc depr on sales</v>
      </c>
      <c r="N246" s="76"/>
      <c r="O246" s="77"/>
      <c r="P246" s="57"/>
      <c r="Q246" s="31"/>
    </row>
    <row r="247" spans="1:17" x14ac:dyDescent="0.2">
      <c r="A247" s="315"/>
      <c r="B247" s="60" t="s">
        <v>38</v>
      </c>
      <c r="C247" s="316" t="s">
        <v>39</v>
      </c>
      <c r="D247" s="358"/>
      <c r="E247" s="348"/>
      <c r="F247" s="86"/>
      <c r="G247" s="53">
        <f>SUMIF(JournalsB!D$14:D$920,TrialBalanceB!M247,JournalsB!J$14:J$920)+SUMIF(JournalsB!E$14:E$920,TrialBalanceB!M247,JournalsB!J$14:J$920)</f>
        <v>0</v>
      </c>
      <c r="H247" s="363"/>
      <c r="I247" s="365">
        <f t="shared" si="47"/>
        <v>0</v>
      </c>
      <c r="J247" s="81"/>
      <c r="K247" s="54">
        <f t="shared" si="39"/>
        <v>0</v>
      </c>
      <c r="M247" s="192" t="str">
        <f t="shared" si="40"/>
        <v>6200/000MOTOR VEHICLES - COST</v>
      </c>
      <c r="N247" s="76"/>
      <c r="O247" s="77"/>
      <c r="P247" s="57"/>
      <c r="Q247" s="31"/>
    </row>
    <row r="248" spans="1:17" x14ac:dyDescent="0.2">
      <c r="A248" s="315"/>
      <c r="B248" s="60" t="s">
        <v>40</v>
      </c>
      <c r="C248" s="319" t="s">
        <v>781</v>
      </c>
      <c r="D248" s="357"/>
      <c r="E248" s="348"/>
      <c r="F248" s="86">
        <f>SUM(K248:K250)</f>
        <v>0</v>
      </c>
      <c r="G248" s="53">
        <f>SUMIF(JournalsB!D$14:D$920,TrialBalanceB!M248,JournalsB!J$14:J$920)+SUMIF(JournalsB!E$14:E$920,TrialBalanceB!M248,JournalsB!J$14:J$920)</f>
        <v>0</v>
      </c>
      <c r="H248" s="363"/>
      <c r="I248" s="365">
        <f t="shared" si="47"/>
        <v>0</v>
      </c>
      <c r="J248" s="81"/>
      <c r="K248" s="54">
        <f t="shared" si="39"/>
        <v>0</v>
      </c>
      <c r="M248" s="192" t="str">
        <f t="shared" si="40"/>
        <v>6200/001Motor vehicles - cost b/fwd</v>
      </c>
      <c r="N248" s="76"/>
      <c r="O248" s="77"/>
      <c r="P248" s="57"/>
      <c r="Q248" s="31"/>
    </row>
    <row r="249" spans="1:17" x14ac:dyDescent="0.2">
      <c r="A249" s="315"/>
      <c r="B249" s="60" t="s">
        <v>41</v>
      </c>
      <c r="C249" s="319" t="s">
        <v>782</v>
      </c>
      <c r="D249" s="357"/>
      <c r="E249" s="348"/>
      <c r="F249" s="86"/>
      <c r="G249" s="53">
        <f>SUMIF(JournalsB!D$14:D$920,TrialBalanceB!M249,JournalsB!J$14:J$920)+SUMIF(JournalsB!E$14:E$920,TrialBalanceB!M249,JournalsB!J$14:J$920)</f>
        <v>0</v>
      </c>
      <c r="H249" s="363"/>
      <c r="I249" s="365">
        <f t="shared" si="47"/>
        <v>0</v>
      </c>
      <c r="J249" s="81"/>
      <c r="K249" s="54">
        <f t="shared" si="39"/>
        <v>0</v>
      </c>
      <c r="M249" s="192" t="str">
        <f t="shared" si="40"/>
        <v>6200/002Motor vehicles - additions</v>
      </c>
      <c r="N249" s="76"/>
      <c r="O249" s="77"/>
      <c r="P249" s="57"/>
      <c r="Q249" s="31"/>
    </row>
    <row r="250" spans="1:17" x14ac:dyDescent="0.2">
      <c r="A250" s="315"/>
      <c r="B250" s="60" t="s">
        <v>478</v>
      </c>
      <c r="C250" s="319" t="s">
        <v>783</v>
      </c>
      <c r="D250" s="357"/>
      <c r="E250" s="348"/>
      <c r="F250" s="86"/>
      <c r="G250" s="53">
        <f>SUMIF(JournalsB!D$14:D$920,TrialBalanceB!M250,JournalsB!J$14:J$920)+SUMIF(JournalsB!E$14:E$920,TrialBalanceB!M250,JournalsB!J$14:J$920)</f>
        <v>0</v>
      </c>
      <c r="H250" s="363"/>
      <c r="I250" s="365">
        <f t="shared" si="47"/>
        <v>0</v>
      </c>
      <c r="J250" s="81"/>
      <c r="K250" s="54">
        <f t="shared" si="39"/>
        <v>0</v>
      </c>
      <c r="M250" s="192" t="str">
        <f t="shared" si="40"/>
        <v>6200/003Motor vehicles - cost of sales</v>
      </c>
      <c r="N250" s="76"/>
      <c r="O250" s="77"/>
      <c r="P250" s="57"/>
      <c r="Q250" s="31"/>
    </row>
    <row r="251" spans="1:17" x14ac:dyDescent="0.2">
      <c r="A251" s="315"/>
      <c r="B251" s="60" t="s">
        <v>0</v>
      </c>
      <c r="C251" s="316" t="s">
        <v>1</v>
      </c>
      <c r="D251" s="358"/>
      <c r="E251" s="348"/>
      <c r="F251" s="86"/>
      <c r="G251" s="53">
        <f>SUMIF(JournalsB!D$14:D$920,TrialBalanceB!M251,JournalsB!J$14:J$920)+SUMIF(JournalsB!E$14:E$920,TrialBalanceB!M251,JournalsB!J$14:J$920)</f>
        <v>0</v>
      </c>
      <c r="H251" s="363"/>
      <c r="I251" s="365">
        <f t="shared" si="47"/>
        <v>0</v>
      </c>
      <c r="J251" s="81"/>
      <c r="K251" s="54">
        <f t="shared" si="39"/>
        <v>0</v>
      </c>
      <c r="M251" s="192" t="str">
        <f t="shared" si="40"/>
        <v>6200/020MOTOR VEHICLES - ACC DEPR</v>
      </c>
      <c r="N251" s="76"/>
      <c r="O251" s="77"/>
      <c r="P251" s="57"/>
      <c r="Q251" s="31"/>
    </row>
    <row r="252" spans="1:17" x14ac:dyDescent="0.2">
      <c r="A252" s="315"/>
      <c r="B252" s="60" t="s">
        <v>2</v>
      </c>
      <c r="C252" s="319" t="s">
        <v>784</v>
      </c>
      <c r="D252" s="357"/>
      <c r="E252" s="348"/>
      <c r="F252" s="86">
        <f>SUM(K252:K254)</f>
        <v>0</v>
      </c>
      <c r="G252" s="53">
        <f>SUMIF(JournalsB!D$14:D$920,TrialBalanceB!M252,JournalsB!J$14:J$920)+SUMIF(JournalsB!E$14:E$920,TrialBalanceB!M252,JournalsB!J$14:J$920)</f>
        <v>0</v>
      </c>
      <c r="H252" s="363"/>
      <c r="I252" s="365">
        <f t="shared" si="47"/>
        <v>0</v>
      </c>
      <c r="J252" s="81"/>
      <c r="K252" s="54">
        <f t="shared" si="39"/>
        <v>0</v>
      </c>
      <c r="M252" s="192" t="str">
        <f t="shared" si="40"/>
        <v>6200/021Motor vehicles - acc depr b/fwd</v>
      </c>
      <c r="N252" s="76"/>
      <c r="O252" s="77"/>
      <c r="P252" s="57"/>
      <c r="Q252" s="31"/>
    </row>
    <row r="253" spans="1:17" x14ac:dyDescent="0.2">
      <c r="A253" s="315"/>
      <c r="B253" s="60" t="s">
        <v>3</v>
      </c>
      <c r="C253" s="319" t="s">
        <v>785</v>
      </c>
      <c r="D253" s="357"/>
      <c r="E253" s="348"/>
      <c r="F253" s="86"/>
      <c r="G253" s="53">
        <f>SUMIF(JournalsB!D$14:D$920,TrialBalanceB!M253,JournalsB!J$14:J$920)+SUMIF(JournalsB!E$14:E$920,TrialBalanceB!M253,JournalsB!J$14:J$920)</f>
        <v>0</v>
      </c>
      <c r="H253" s="363"/>
      <c r="I253" s="365">
        <f t="shared" si="47"/>
        <v>0</v>
      </c>
      <c r="J253" s="81"/>
      <c r="K253" s="54">
        <f t="shared" si="39"/>
        <v>0</v>
      </c>
      <c r="M253" s="192" t="str">
        <f t="shared" si="40"/>
        <v>6200/022Motor vehicles - depr this year</v>
      </c>
      <c r="N253" s="76"/>
      <c r="O253" s="77"/>
      <c r="P253" s="57"/>
      <c r="Q253" s="31"/>
    </row>
    <row r="254" spans="1:17" x14ac:dyDescent="0.2">
      <c r="A254" s="315"/>
      <c r="B254" s="60" t="s">
        <v>4</v>
      </c>
      <c r="C254" s="319" t="s">
        <v>786</v>
      </c>
      <c r="D254" s="357"/>
      <c r="E254" s="348"/>
      <c r="F254" s="86"/>
      <c r="G254" s="53">
        <f>SUMIF(JournalsB!D$14:D$920,TrialBalanceB!M254,JournalsB!J$14:J$920)+SUMIF(JournalsB!E$14:E$920,TrialBalanceB!M254,JournalsB!J$14:J$920)</f>
        <v>0</v>
      </c>
      <c r="H254" s="363"/>
      <c r="I254" s="365">
        <f t="shared" si="47"/>
        <v>0</v>
      </c>
      <c r="J254" s="81"/>
      <c r="K254" s="54">
        <f t="shared" si="39"/>
        <v>0</v>
      </c>
      <c r="M254" s="192" t="str">
        <f t="shared" si="40"/>
        <v>6200/023Motor vehicles - acc depr on sales</v>
      </c>
      <c r="N254" s="76"/>
      <c r="O254" s="77"/>
      <c r="P254" s="57"/>
      <c r="Q254" s="31"/>
    </row>
    <row r="255" spans="1:17" x14ac:dyDescent="0.2">
      <c r="A255" s="315"/>
      <c r="B255" s="60" t="s">
        <v>5</v>
      </c>
      <c r="C255" s="316" t="s">
        <v>128</v>
      </c>
      <c r="D255" s="358"/>
      <c r="E255" s="348"/>
      <c r="F255" s="86"/>
      <c r="G255" s="53">
        <f>SUMIF(JournalsB!D$14:D$920,TrialBalanceB!M255,JournalsB!J$14:J$920)+SUMIF(JournalsB!E$14:E$920,TrialBalanceB!M255,JournalsB!J$14:J$920)</f>
        <v>0</v>
      </c>
      <c r="H255" s="363"/>
      <c r="I255" s="365">
        <f t="shared" si="47"/>
        <v>0</v>
      </c>
      <c r="J255" s="81"/>
      <c r="K255" s="54">
        <f t="shared" si="39"/>
        <v>0</v>
      </c>
      <c r="M255" s="192" t="str">
        <f t="shared" si="40"/>
        <v>6250/000ELECTRONIC EQUIPMENT - COST</v>
      </c>
      <c r="N255" s="76"/>
      <c r="O255" s="77"/>
      <c r="P255" s="57"/>
      <c r="Q255" s="31"/>
    </row>
    <row r="256" spans="1:17" x14ac:dyDescent="0.2">
      <c r="A256" s="315"/>
      <c r="B256" s="60" t="s">
        <v>6</v>
      </c>
      <c r="C256" s="319" t="s">
        <v>787</v>
      </c>
      <c r="D256" s="357"/>
      <c r="E256" s="348"/>
      <c r="F256" s="86">
        <f>SUM(K256:K258)</f>
        <v>0</v>
      </c>
      <c r="G256" s="53">
        <f>SUMIF(JournalsB!D$14:D$920,TrialBalanceB!M256,JournalsB!J$14:J$920)+SUMIF(JournalsB!E$14:E$920,TrialBalanceB!M256,JournalsB!J$14:J$920)</f>
        <v>0</v>
      </c>
      <c r="H256" s="363"/>
      <c r="I256" s="365">
        <f t="shared" si="47"/>
        <v>0</v>
      </c>
      <c r="J256" s="81"/>
      <c r="K256" s="54">
        <f t="shared" si="39"/>
        <v>0</v>
      </c>
      <c r="M256" s="192" t="str">
        <f t="shared" si="40"/>
        <v>6250/001Electronic equipment - cost b/fwd</v>
      </c>
      <c r="N256" s="76"/>
      <c r="O256" s="77"/>
      <c r="P256" s="57"/>
      <c r="Q256" s="31"/>
    </row>
    <row r="257" spans="1:17" x14ac:dyDescent="0.2">
      <c r="A257" s="315"/>
      <c r="B257" s="60" t="s">
        <v>7</v>
      </c>
      <c r="C257" s="319" t="s">
        <v>788</v>
      </c>
      <c r="D257" s="357"/>
      <c r="E257" s="348"/>
      <c r="F257" s="86"/>
      <c r="G257" s="53">
        <f>SUMIF(JournalsB!D$14:D$920,TrialBalanceB!M257,JournalsB!J$14:J$920)+SUMIF(JournalsB!E$14:E$920,TrialBalanceB!M257,JournalsB!J$14:J$920)</f>
        <v>0</v>
      </c>
      <c r="H257" s="363"/>
      <c r="I257" s="365">
        <f t="shared" si="47"/>
        <v>0</v>
      </c>
      <c r="J257" s="81"/>
      <c r="K257" s="54">
        <f t="shared" si="39"/>
        <v>0</v>
      </c>
      <c r="M257" s="192" t="str">
        <f t="shared" si="40"/>
        <v>6250/002Electronic equipment - additions</v>
      </c>
      <c r="N257" s="76"/>
      <c r="O257" s="77"/>
      <c r="P257" s="57"/>
      <c r="Q257" s="31"/>
    </row>
    <row r="258" spans="1:17" x14ac:dyDescent="0.2">
      <c r="A258" s="315"/>
      <c r="B258" s="60" t="s">
        <v>8</v>
      </c>
      <c r="C258" s="319" t="s">
        <v>789</v>
      </c>
      <c r="D258" s="357"/>
      <c r="E258" s="348"/>
      <c r="F258" s="86"/>
      <c r="G258" s="53">
        <f>SUMIF(JournalsB!D$14:D$920,TrialBalanceB!M258,JournalsB!J$14:J$920)+SUMIF(JournalsB!E$14:E$920,TrialBalanceB!M258,JournalsB!J$14:J$920)</f>
        <v>0</v>
      </c>
      <c r="H258" s="363"/>
      <c r="I258" s="365">
        <f t="shared" si="47"/>
        <v>0</v>
      </c>
      <c r="J258" s="81"/>
      <c r="K258" s="54">
        <f t="shared" si="39"/>
        <v>0</v>
      </c>
      <c r="M258" s="192" t="str">
        <f t="shared" si="40"/>
        <v>6250/003Electronic equipment - cost of sales</v>
      </c>
      <c r="N258" s="76"/>
      <c r="O258" s="77"/>
      <c r="P258" s="57"/>
      <c r="Q258" s="31"/>
    </row>
    <row r="259" spans="1:17" x14ac:dyDescent="0.2">
      <c r="A259" s="315"/>
      <c r="B259" s="60" t="s">
        <v>9</v>
      </c>
      <c r="C259" s="316" t="s">
        <v>129</v>
      </c>
      <c r="D259" s="358"/>
      <c r="E259" s="348"/>
      <c r="F259" s="86"/>
      <c r="G259" s="53">
        <f>SUMIF(JournalsB!D$14:D$920,TrialBalanceB!M259,JournalsB!J$14:J$920)+SUMIF(JournalsB!E$14:E$920,TrialBalanceB!M259,JournalsB!J$14:J$920)</f>
        <v>0</v>
      </c>
      <c r="H259" s="363"/>
      <c r="I259" s="365">
        <f t="shared" si="47"/>
        <v>0</v>
      </c>
      <c r="J259" s="81"/>
      <c r="K259" s="54">
        <f t="shared" si="39"/>
        <v>0</v>
      </c>
      <c r="M259" s="192" t="str">
        <f t="shared" si="40"/>
        <v>6250/020ELECTRONIC EQUIPMENT - ACC DEPR</v>
      </c>
      <c r="N259" s="76"/>
      <c r="O259" s="77"/>
      <c r="P259" s="57"/>
      <c r="Q259" s="31"/>
    </row>
    <row r="260" spans="1:17" x14ac:dyDescent="0.2">
      <c r="A260" s="315"/>
      <c r="B260" s="60" t="s">
        <v>10</v>
      </c>
      <c r="C260" s="319" t="s">
        <v>790</v>
      </c>
      <c r="D260" s="357"/>
      <c r="E260" s="348"/>
      <c r="F260" s="86">
        <f>SUM(K260:K262)</f>
        <v>0</v>
      </c>
      <c r="G260" s="53">
        <f>SUMIF(JournalsB!D$14:D$920,TrialBalanceB!M260,JournalsB!J$14:J$920)+SUMIF(JournalsB!E$14:E$920,TrialBalanceB!M260,JournalsB!J$14:J$920)</f>
        <v>0</v>
      </c>
      <c r="H260" s="363"/>
      <c r="I260" s="365">
        <f t="shared" si="47"/>
        <v>0</v>
      </c>
      <c r="J260" s="81"/>
      <c r="K260" s="54">
        <f t="shared" si="39"/>
        <v>0</v>
      </c>
      <c r="M260" s="192" t="str">
        <f t="shared" si="40"/>
        <v>6250/021Electronic equipment - acc depr b/fwd</v>
      </c>
      <c r="N260" s="76"/>
      <c r="O260" s="77"/>
      <c r="P260" s="57"/>
      <c r="Q260" s="31"/>
    </row>
    <row r="261" spans="1:17" x14ac:dyDescent="0.2">
      <c r="A261" s="315"/>
      <c r="B261" s="60" t="s">
        <v>11</v>
      </c>
      <c r="C261" s="319" t="s">
        <v>791</v>
      </c>
      <c r="D261" s="357"/>
      <c r="E261" s="348"/>
      <c r="F261" s="86"/>
      <c r="G261" s="53">
        <f>SUMIF(JournalsB!D$14:D$920,TrialBalanceB!M261,JournalsB!J$14:J$920)+SUMIF(JournalsB!E$14:E$920,TrialBalanceB!M261,JournalsB!J$14:J$920)</f>
        <v>0</v>
      </c>
      <c r="H261" s="363"/>
      <c r="I261" s="365">
        <f t="shared" si="47"/>
        <v>0</v>
      </c>
      <c r="J261" s="81"/>
      <c r="K261" s="54">
        <f t="shared" si="39"/>
        <v>0</v>
      </c>
      <c r="M261" s="192" t="str">
        <f t="shared" si="40"/>
        <v>6250/022Electronic equipment - depr this year</v>
      </c>
      <c r="N261" s="76"/>
      <c r="O261" s="77"/>
      <c r="P261" s="57"/>
      <c r="Q261" s="31"/>
    </row>
    <row r="262" spans="1:17" x14ac:dyDescent="0.2">
      <c r="A262" s="315"/>
      <c r="B262" s="60" t="s">
        <v>12</v>
      </c>
      <c r="C262" s="319" t="s">
        <v>792</v>
      </c>
      <c r="D262" s="357"/>
      <c r="E262" s="348"/>
      <c r="F262" s="86"/>
      <c r="G262" s="53">
        <f>SUMIF(JournalsB!D$14:D$920,TrialBalanceB!M262,JournalsB!J$14:J$920)+SUMIF(JournalsB!E$14:E$920,TrialBalanceB!M262,JournalsB!J$14:J$920)</f>
        <v>0</v>
      </c>
      <c r="H262" s="363"/>
      <c r="I262" s="365">
        <f t="shared" si="47"/>
        <v>0</v>
      </c>
      <c r="J262" s="81"/>
      <c r="K262" s="54">
        <f t="shared" si="39"/>
        <v>0</v>
      </c>
      <c r="M262" s="192" t="str">
        <f t="shared" si="40"/>
        <v>6250/023Electronic equipment - acc depr on sales</v>
      </c>
      <c r="N262" s="76"/>
      <c r="O262" s="77"/>
      <c r="P262" s="57"/>
      <c r="Q262" s="31"/>
    </row>
    <row r="263" spans="1:17" x14ac:dyDescent="0.2">
      <c r="A263" s="315"/>
      <c r="B263" s="60" t="s">
        <v>15</v>
      </c>
      <c r="C263" s="316" t="s">
        <v>793</v>
      </c>
      <c r="D263" s="358"/>
      <c r="E263" s="348"/>
      <c r="F263" s="86"/>
      <c r="G263" s="53">
        <f>SUMIF(JournalsB!D$14:D$920,TrialBalanceB!M263,JournalsB!J$14:J$920)+SUMIF(JournalsB!E$14:E$920,TrialBalanceB!M263,JournalsB!J$14:J$920)</f>
        <v>0</v>
      </c>
      <c r="H263" s="363"/>
      <c r="I263" s="365">
        <f t="shared" si="47"/>
        <v>0</v>
      </c>
      <c r="J263" s="81"/>
      <c r="K263" s="54">
        <f t="shared" si="39"/>
        <v>0</v>
      </c>
      <c r="M263" s="192" t="str">
        <f t="shared" si="40"/>
        <v>6350/000FURNITURE AND FITTINGS - COST</v>
      </c>
      <c r="N263" s="76"/>
      <c r="O263" s="77"/>
      <c r="P263" s="57"/>
      <c r="Q263" s="31"/>
    </row>
    <row r="264" spans="1:17" x14ac:dyDescent="0.2">
      <c r="A264" s="315"/>
      <c r="B264" s="60" t="s">
        <v>16</v>
      </c>
      <c r="C264" s="319" t="s">
        <v>794</v>
      </c>
      <c r="D264" s="357"/>
      <c r="E264" s="348"/>
      <c r="F264" s="86">
        <f>SUM(K264:K266)</f>
        <v>0</v>
      </c>
      <c r="G264" s="53">
        <f>SUMIF(JournalsB!D$14:D$920,TrialBalanceB!M264,JournalsB!J$14:J$920)+SUMIF(JournalsB!E$14:E$920,TrialBalanceB!M264,JournalsB!J$14:J$920)</f>
        <v>0</v>
      </c>
      <c r="H264" s="363"/>
      <c r="I264" s="365">
        <f t="shared" si="47"/>
        <v>0</v>
      </c>
      <c r="J264" s="81"/>
      <c r="K264" s="54">
        <f t="shared" si="39"/>
        <v>0</v>
      </c>
      <c r="M264" s="192" t="str">
        <f t="shared" si="40"/>
        <v>6350/001Furniture and fittings - cost b/fwd</v>
      </c>
      <c r="N264" s="76"/>
      <c r="O264" s="77"/>
      <c r="P264" s="57"/>
      <c r="Q264" s="31"/>
    </row>
    <row r="265" spans="1:17" x14ac:dyDescent="0.2">
      <c r="A265" s="315"/>
      <c r="B265" s="60" t="s">
        <v>429</v>
      </c>
      <c r="C265" s="319" t="s">
        <v>795</v>
      </c>
      <c r="D265" s="357"/>
      <c r="E265" s="348"/>
      <c r="F265" s="86"/>
      <c r="G265" s="53">
        <f>SUMIF(JournalsB!D$14:D$920,TrialBalanceB!M265,JournalsB!J$14:J$920)+SUMIF(JournalsB!E$14:E$920,TrialBalanceB!M265,JournalsB!J$14:J$920)</f>
        <v>0</v>
      </c>
      <c r="H265" s="363"/>
      <c r="I265" s="365">
        <f t="shared" si="47"/>
        <v>0</v>
      </c>
      <c r="J265" s="81"/>
      <c r="K265" s="54">
        <f t="shared" si="39"/>
        <v>0</v>
      </c>
      <c r="M265" s="192" t="str">
        <f t="shared" si="40"/>
        <v>6350/002Furniture and fittings - additions</v>
      </c>
      <c r="N265" s="76"/>
      <c r="O265" s="77"/>
      <c r="P265" s="57"/>
      <c r="Q265" s="31"/>
    </row>
    <row r="266" spans="1:17" x14ac:dyDescent="0.2">
      <c r="A266" s="315"/>
      <c r="B266" s="60" t="s">
        <v>445</v>
      </c>
      <c r="C266" s="319" t="s">
        <v>796</v>
      </c>
      <c r="D266" s="357"/>
      <c r="E266" s="348"/>
      <c r="F266" s="86"/>
      <c r="G266" s="53">
        <f>SUMIF(JournalsB!D$14:D$920,TrialBalanceB!M266,JournalsB!J$14:J$920)+SUMIF(JournalsB!E$14:E$920,TrialBalanceB!M266,JournalsB!J$14:J$920)</f>
        <v>0</v>
      </c>
      <c r="H266" s="363"/>
      <c r="I266" s="365">
        <f t="shared" si="47"/>
        <v>0</v>
      </c>
      <c r="J266" s="81"/>
      <c r="K266" s="54">
        <f t="shared" si="39"/>
        <v>0</v>
      </c>
      <c r="M266" s="192" t="str">
        <f t="shared" si="40"/>
        <v>6350/003Furniture and fittings - cost of sales</v>
      </c>
      <c r="N266" s="76"/>
      <c r="O266" s="77"/>
      <c r="P266" s="57"/>
      <c r="Q266" s="31"/>
    </row>
    <row r="267" spans="1:17" x14ac:dyDescent="0.2">
      <c r="A267" s="315"/>
      <c r="B267" s="60" t="s">
        <v>274</v>
      </c>
      <c r="C267" s="316" t="s">
        <v>797</v>
      </c>
      <c r="D267" s="358"/>
      <c r="E267" s="348"/>
      <c r="F267" s="86"/>
      <c r="G267" s="53">
        <f>SUMIF(JournalsB!D$14:D$920,TrialBalanceB!M267,JournalsB!J$14:J$920)+SUMIF(JournalsB!E$14:E$920,TrialBalanceB!M267,JournalsB!J$14:J$920)</f>
        <v>0</v>
      </c>
      <c r="H267" s="363"/>
      <c r="I267" s="365">
        <f t="shared" si="47"/>
        <v>0</v>
      </c>
      <c r="J267" s="81"/>
      <c r="K267" s="54">
        <f t="shared" si="39"/>
        <v>0</v>
      </c>
      <c r="M267" s="192" t="str">
        <f t="shared" si="40"/>
        <v>6350/020FURNITURE AND FITTINGS - ACC DEPR</v>
      </c>
      <c r="N267" s="76"/>
      <c r="O267" s="77"/>
      <c r="P267" s="57"/>
      <c r="Q267" s="31"/>
    </row>
    <row r="268" spans="1:17" x14ac:dyDescent="0.2">
      <c r="A268" s="315"/>
      <c r="B268" s="60" t="s">
        <v>157</v>
      </c>
      <c r="C268" s="319" t="s">
        <v>798</v>
      </c>
      <c r="D268" s="357"/>
      <c r="E268" s="348"/>
      <c r="F268" s="86">
        <f>SUM(K268:K270)</f>
        <v>0</v>
      </c>
      <c r="G268" s="53">
        <f>SUMIF(JournalsB!D$14:D$920,TrialBalanceB!M268,JournalsB!J$14:J$920)+SUMIF(JournalsB!E$14:E$920,TrialBalanceB!M268,JournalsB!J$14:J$920)</f>
        <v>0</v>
      </c>
      <c r="H268" s="363"/>
      <c r="I268" s="365">
        <f t="shared" si="47"/>
        <v>0</v>
      </c>
      <c r="J268" s="81"/>
      <c r="K268" s="54">
        <f t="shared" si="39"/>
        <v>0</v>
      </c>
      <c r="M268" s="192" t="str">
        <f t="shared" si="40"/>
        <v>6350/021Furniture and fittings - acc depr b/fwd</v>
      </c>
      <c r="N268" s="76"/>
      <c r="O268" s="77"/>
      <c r="P268" s="57"/>
      <c r="Q268" s="31"/>
    </row>
    <row r="269" spans="1:17" x14ac:dyDescent="0.2">
      <c r="A269" s="315"/>
      <c r="B269" s="60" t="s">
        <v>158</v>
      </c>
      <c r="C269" s="319" t="s">
        <v>799</v>
      </c>
      <c r="D269" s="357"/>
      <c r="E269" s="348"/>
      <c r="F269" s="86"/>
      <c r="G269" s="53">
        <f>SUMIF(JournalsB!D$14:D$920,TrialBalanceB!M269,JournalsB!J$14:J$920)+SUMIF(JournalsB!E$14:E$920,TrialBalanceB!M269,JournalsB!J$14:J$920)</f>
        <v>0</v>
      </c>
      <c r="H269" s="363"/>
      <c r="I269" s="365">
        <f t="shared" si="47"/>
        <v>0</v>
      </c>
      <c r="J269" s="81"/>
      <c r="K269" s="54">
        <f t="shared" si="39"/>
        <v>0</v>
      </c>
      <c r="M269" s="192" t="str">
        <f t="shared" si="40"/>
        <v>6350/022Furniture and fittings - depr this year</v>
      </c>
      <c r="N269" s="76"/>
      <c r="O269" s="77"/>
      <c r="P269" s="57"/>
      <c r="Q269" s="31"/>
    </row>
    <row r="270" spans="1:17" x14ac:dyDescent="0.2">
      <c r="A270" s="315"/>
      <c r="B270" s="60" t="s">
        <v>251</v>
      </c>
      <c r="C270" s="319" t="s">
        <v>800</v>
      </c>
      <c r="D270" s="357"/>
      <c r="E270" s="348"/>
      <c r="F270" s="86"/>
      <c r="G270" s="53">
        <f>SUMIF(JournalsB!D$14:D$920,TrialBalanceB!M270,JournalsB!J$14:J$920)+SUMIF(JournalsB!E$14:E$920,TrialBalanceB!M270,JournalsB!J$14:J$920)</f>
        <v>0</v>
      </c>
      <c r="H270" s="363"/>
      <c r="I270" s="365">
        <f t="shared" si="47"/>
        <v>0</v>
      </c>
      <c r="J270" s="81"/>
      <c r="K270" s="54">
        <f t="shared" si="39"/>
        <v>0</v>
      </c>
      <c r="M270" s="192" t="str">
        <f t="shared" si="40"/>
        <v>6350/023Furniture and fittings - acc depr on sales</v>
      </c>
      <c r="N270" s="76"/>
      <c r="O270" s="77"/>
      <c r="P270" s="57"/>
      <c r="Q270" s="31"/>
    </row>
    <row r="271" spans="1:17" x14ac:dyDescent="0.2">
      <c r="A271" s="315"/>
      <c r="B271" s="60" t="s">
        <v>460</v>
      </c>
      <c r="C271" s="316" t="s">
        <v>1049</v>
      </c>
      <c r="D271" s="358"/>
      <c r="E271" s="348"/>
      <c r="F271" s="86"/>
      <c r="G271" s="53">
        <f>SUMIF(JournalsB!D$14:D$920,TrialBalanceB!M271,JournalsB!J$14:J$920)+SUMIF(JournalsB!E$14:E$920,TrialBalanceB!M271,JournalsB!J$14:J$920)</f>
        <v>0</v>
      </c>
      <c r="H271" s="363"/>
      <c r="I271" s="365">
        <f t="shared" si="47"/>
        <v>0</v>
      </c>
      <c r="J271" s="81"/>
      <c r="K271" s="54">
        <f t="shared" si="39"/>
        <v>0</v>
      </c>
      <c r="M271" s="192" t="str">
        <f t="shared" si="40"/>
        <v>7000/000INTANGIBLE ASSETS</v>
      </c>
      <c r="N271" s="76"/>
      <c r="O271" s="77"/>
      <c r="P271" s="57"/>
      <c r="Q271" s="31"/>
    </row>
    <row r="272" spans="1:17" x14ac:dyDescent="0.2">
      <c r="A272" s="315"/>
      <c r="B272" s="110" t="s">
        <v>1084</v>
      </c>
      <c r="C272" s="316" t="s">
        <v>1085</v>
      </c>
      <c r="D272" s="358"/>
      <c r="E272" s="348"/>
      <c r="F272" s="86"/>
      <c r="G272" s="53">
        <f>SUMIF(JournalsB!D$14:D$920,TrialBalanceB!M272,JournalsB!J$14:J$920)+SUMIF(JournalsB!E$14:E$920,TrialBalanceB!M272,JournalsB!J$14:J$920)</f>
        <v>0</v>
      </c>
      <c r="H272" s="363"/>
      <c r="I272" s="365">
        <f t="shared" ref="I272:I289" si="48">ROUND(D272-E272+G272+F272,0)</f>
        <v>0</v>
      </c>
      <c r="J272" s="81"/>
      <c r="K272" s="54">
        <f t="shared" ref="K272:K289" si="49">ROUND(SUM(A272),0)</f>
        <v>0</v>
      </c>
      <c r="M272" s="192" t="str">
        <f t="shared" ref="M272:M289" si="50">CONCATENATE(B272,C272)</f>
        <v>7000/001GOODWILL - COST</v>
      </c>
      <c r="N272" s="76"/>
      <c r="O272" s="77"/>
      <c r="P272" s="57"/>
      <c r="Q272" s="31"/>
    </row>
    <row r="273" spans="1:17" x14ac:dyDescent="0.2">
      <c r="A273" s="315"/>
      <c r="B273" s="110" t="s">
        <v>1086</v>
      </c>
      <c r="C273" s="319" t="s">
        <v>1087</v>
      </c>
      <c r="D273" s="358"/>
      <c r="E273" s="348"/>
      <c r="F273" s="86">
        <f>SUM(K273:K274)</f>
        <v>0</v>
      </c>
      <c r="G273" s="53">
        <f>SUMIF(JournalsB!D$14:D$920,TrialBalanceB!M273,JournalsB!J$14:J$920)+SUMIF(JournalsB!E$14:E$920,TrialBalanceB!M273,JournalsB!J$14:J$920)</f>
        <v>0</v>
      </c>
      <c r="H273" s="363"/>
      <c r="I273" s="365">
        <f t="shared" si="48"/>
        <v>0</v>
      </c>
      <c r="J273" s="81"/>
      <c r="K273" s="54">
        <f t="shared" si="49"/>
        <v>0</v>
      </c>
      <c r="M273" s="192" t="str">
        <f t="shared" si="50"/>
        <v>7000/002Goodwill - cost b/fwd</v>
      </c>
      <c r="N273" s="76"/>
      <c r="O273" s="77"/>
      <c r="P273" s="57"/>
      <c r="Q273" s="31"/>
    </row>
    <row r="274" spans="1:17" x14ac:dyDescent="0.2">
      <c r="A274" s="315"/>
      <c r="B274" s="110" t="s">
        <v>1088</v>
      </c>
      <c r="C274" s="319" t="s">
        <v>1089</v>
      </c>
      <c r="D274" s="358"/>
      <c r="E274" s="348"/>
      <c r="F274" s="86"/>
      <c r="G274" s="53">
        <f>SUMIF(JournalsB!D$14:D$920,TrialBalanceB!M274,JournalsB!J$14:J$920)+SUMIF(JournalsB!E$14:E$920,TrialBalanceB!M274,JournalsB!J$14:J$920)</f>
        <v>0</v>
      </c>
      <c r="H274" s="363"/>
      <c r="I274" s="365">
        <f t="shared" si="48"/>
        <v>0</v>
      </c>
      <c r="J274" s="81"/>
      <c r="K274" s="54">
        <f t="shared" si="49"/>
        <v>0</v>
      </c>
      <c r="M274" s="192" t="str">
        <f t="shared" si="50"/>
        <v>7000/003Goodwill - additions</v>
      </c>
      <c r="N274" s="76"/>
      <c r="O274" s="77"/>
      <c r="P274" s="57"/>
      <c r="Q274" s="31"/>
    </row>
    <row r="275" spans="1:17" x14ac:dyDescent="0.2">
      <c r="A275" s="315"/>
      <c r="B275" s="110" t="s">
        <v>1090</v>
      </c>
      <c r="C275" s="316" t="s">
        <v>1091</v>
      </c>
      <c r="D275" s="358"/>
      <c r="E275" s="348"/>
      <c r="F275" s="86"/>
      <c r="G275" s="53">
        <f>SUMIF(JournalsB!D$14:D$920,TrialBalanceB!M275,JournalsB!J$14:J$920)+SUMIF(JournalsB!E$14:E$920,TrialBalanceB!M275,JournalsB!J$14:J$920)</f>
        <v>0</v>
      </c>
      <c r="H275" s="363"/>
      <c r="I275" s="365">
        <f t="shared" si="48"/>
        <v>0</v>
      </c>
      <c r="J275" s="81"/>
      <c r="K275" s="54">
        <f t="shared" si="49"/>
        <v>0</v>
      </c>
      <c r="M275" s="192" t="str">
        <f t="shared" si="50"/>
        <v>7000/005GOODWILL - ACC AMORTISATION</v>
      </c>
      <c r="N275" s="76"/>
      <c r="O275" s="77"/>
      <c r="P275" s="57"/>
      <c r="Q275" s="31"/>
    </row>
    <row r="276" spans="1:17" x14ac:dyDescent="0.2">
      <c r="A276" s="315"/>
      <c r="B276" s="110" t="s">
        <v>1092</v>
      </c>
      <c r="C276" s="319" t="s">
        <v>1093</v>
      </c>
      <c r="D276" s="358"/>
      <c r="E276" s="348"/>
      <c r="F276" s="86">
        <f>SUM(K276:K277)</f>
        <v>0</v>
      </c>
      <c r="G276" s="53">
        <f>SUMIF(JournalsB!D$14:D$920,TrialBalanceB!M276,JournalsB!J$14:J$920)+SUMIF(JournalsB!E$14:E$920,TrialBalanceB!M276,JournalsB!J$14:J$920)</f>
        <v>0</v>
      </c>
      <c r="H276" s="363"/>
      <c r="I276" s="365">
        <f t="shared" si="48"/>
        <v>0</v>
      </c>
      <c r="J276" s="81"/>
      <c r="K276" s="54">
        <f t="shared" si="49"/>
        <v>0</v>
      </c>
      <c r="M276" s="192" t="str">
        <f t="shared" si="50"/>
        <v>7000/006Goodwill - acc amortisation b/fwd</v>
      </c>
      <c r="N276" s="76"/>
      <c r="O276" s="77"/>
      <c r="P276" s="57"/>
      <c r="Q276" s="31"/>
    </row>
    <row r="277" spans="1:17" x14ac:dyDescent="0.2">
      <c r="A277" s="315"/>
      <c r="B277" s="110" t="s">
        <v>1094</v>
      </c>
      <c r="C277" s="319" t="s">
        <v>1095</v>
      </c>
      <c r="D277" s="358"/>
      <c r="E277" s="348"/>
      <c r="F277" s="86"/>
      <c r="G277" s="53">
        <f>SUMIF(JournalsB!D$14:D$920,TrialBalanceB!M277,JournalsB!J$14:J$920)+SUMIF(JournalsB!E$14:E$920,TrialBalanceB!M277,JournalsB!J$14:J$920)</f>
        <v>0</v>
      </c>
      <c r="H277" s="363"/>
      <c r="I277" s="365">
        <f t="shared" si="48"/>
        <v>0</v>
      </c>
      <c r="J277" s="81"/>
      <c r="K277" s="54">
        <f t="shared" si="49"/>
        <v>0</v>
      </c>
      <c r="M277" s="192" t="str">
        <f t="shared" si="50"/>
        <v>7000/007Goodwill - amortisation this year</v>
      </c>
      <c r="N277" s="76"/>
      <c r="O277" s="77"/>
      <c r="P277" s="57"/>
      <c r="Q277" s="31"/>
    </row>
    <row r="278" spans="1:17" x14ac:dyDescent="0.2">
      <c r="A278" s="315"/>
      <c r="B278" s="110" t="s">
        <v>461</v>
      </c>
      <c r="C278" s="316" t="s">
        <v>1096</v>
      </c>
      <c r="D278" s="358"/>
      <c r="E278" s="348"/>
      <c r="F278" s="86"/>
      <c r="G278" s="53">
        <f>SUMIF(JournalsB!D$14:D$920,TrialBalanceB!M278,JournalsB!J$14:J$920)+SUMIF(JournalsB!E$14:E$920,TrialBalanceB!M278,JournalsB!J$14:J$920)</f>
        <v>0</v>
      </c>
      <c r="H278" s="363"/>
      <c r="I278" s="365">
        <f t="shared" si="48"/>
        <v>0</v>
      </c>
      <c r="J278" s="81"/>
      <c r="K278" s="54">
        <f t="shared" si="49"/>
        <v>0</v>
      </c>
      <c r="M278" s="192" t="str">
        <f t="shared" si="50"/>
        <v>7000/010GOODWILL - IMPAIRMENT</v>
      </c>
      <c r="N278" s="76"/>
      <c r="O278" s="77"/>
      <c r="P278" s="57"/>
      <c r="Q278" s="31"/>
    </row>
    <row r="279" spans="1:17" x14ac:dyDescent="0.2">
      <c r="A279" s="315"/>
      <c r="B279" s="110" t="s">
        <v>621</v>
      </c>
      <c r="C279" s="319" t="s">
        <v>1097</v>
      </c>
      <c r="D279" s="358"/>
      <c r="E279" s="348"/>
      <c r="F279" s="86">
        <f>SUM(K279:K280)</f>
        <v>0</v>
      </c>
      <c r="G279" s="53">
        <f>SUMIF(JournalsB!D$14:D$920,TrialBalanceB!M279,JournalsB!J$14:J$920)+SUMIF(JournalsB!E$14:E$920,TrialBalanceB!M279,JournalsB!J$14:J$920)</f>
        <v>0</v>
      </c>
      <c r="H279" s="363"/>
      <c r="I279" s="365">
        <f t="shared" si="48"/>
        <v>0</v>
      </c>
      <c r="J279" s="81"/>
      <c r="K279" s="54">
        <f t="shared" si="49"/>
        <v>0</v>
      </c>
      <c r="M279" s="192" t="str">
        <f t="shared" si="50"/>
        <v>7000/011Goodwill - impairment loss b/fwd</v>
      </c>
      <c r="N279" s="76"/>
      <c r="O279" s="77"/>
      <c r="P279" s="57"/>
      <c r="Q279" s="31"/>
    </row>
    <row r="280" spans="1:17" x14ac:dyDescent="0.2">
      <c r="A280" s="315"/>
      <c r="B280" s="110" t="s">
        <v>1098</v>
      </c>
      <c r="C280" s="319" t="s">
        <v>1099</v>
      </c>
      <c r="D280" s="358"/>
      <c r="E280" s="348"/>
      <c r="F280" s="86"/>
      <c r="G280" s="53">
        <f>SUMIF(JournalsB!D$14:D$920,TrialBalanceB!M280,JournalsB!J$14:J$920)+SUMIF(JournalsB!E$14:E$920,TrialBalanceB!M280,JournalsB!J$14:J$920)</f>
        <v>0</v>
      </c>
      <c r="H280" s="363"/>
      <c r="I280" s="365">
        <f t="shared" si="48"/>
        <v>0</v>
      </c>
      <c r="J280" s="81"/>
      <c r="K280" s="54">
        <f t="shared" si="49"/>
        <v>0</v>
      </c>
      <c r="M280" s="192" t="str">
        <f t="shared" si="50"/>
        <v>7000/012Goodwill - impairment loss this year</v>
      </c>
      <c r="N280" s="76"/>
      <c r="O280" s="77"/>
      <c r="P280" s="57"/>
      <c r="Q280" s="31"/>
    </row>
    <row r="281" spans="1:17" x14ac:dyDescent="0.2">
      <c r="A281" s="315"/>
      <c r="B281" s="110" t="s">
        <v>1100</v>
      </c>
      <c r="C281" s="316" t="s">
        <v>1101</v>
      </c>
      <c r="D281" s="358"/>
      <c r="E281" s="348"/>
      <c r="F281" s="86"/>
      <c r="G281" s="53">
        <f>SUMIF(JournalsB!D$14:D$920,TrialBalanceB!M281,JournalsB!J$14:J$920)+SUMIF(JournalsB!E$14:E$920,TrialBalanceB!M281,JournalsB!J$14:J$920)</f>
        <v>0</v>
      </c>
      <c r="H281" s="363"/>
      <c r="I281" s="365">
        <f t="shared" si="48"/>
        <v>0</v>
      </c>
      <c r="J281" s="81"/>
      <c r="K281" s="54">
        <f t="shared" si="49"/>
        <v>0</v>
      </c>
      <c r="M281" s="192" t="str">
        <f t="shared" si="50"/>
        <v>7000/021PREPAID LEASE AGREEMENT - COST</v>
      </c>
      <c r="N281" s="76"/>
      <c r="O281" s="77"/>
      <c r="P281" s="57"/>
      <c r="Q281" s="31"/>
    </row>
    <row r="282" spans="1:17" x14ac:dyDescent="0.2">
      <c r="A282" s="315"/>
      <c r="B282" s="110" t="s">
        <v>1102</v>
      </c>
      <c r="C282" s="319" t="s">
        <v>1103</v>
      </c>
      <c r="D282" s="358"/>
      <c r="E282" s="348"/>
      <c r="F282" s="86">
        <f>SUM(K282:K283)</f>
        <v>0</v>
      </c>
      <c r="G282" s="53">
        <f>SUMIF(JournalsB!D$14:D$920,TrialBalanceB!M282,JournalsB!J$14:J$920)+SUMIF(JournalsB!E$14:E$920,TrialBalanceB!M282,JournalsB!J$14:J$920)</f>
        <v>0</v>
      </c>
      <c r="H282" s="363"/>
      <c r="I282" s="365">
        <f t="shared" si="48"/>
        <v>0</v>
      </c>
      <c r="J282" s="81"/>
      <c r="K282" s="54">
        <f t="shared" si="49"/>
        <v>0</v>
      </c>
      <c r="M282" s="192" t="str">
        <f t="shared" si="50"/>
        <v>7000/022Prepaid lease agreement - cost b/fwd</v>
      </c>
      <c r="N282" s="76"/>
      <c r="O282" s="77"/>
      <c r="P282" s="57"/>
      <c r="Q282" s="31"/>
    </row>
    <row r="283" spans="1:17" x14ac:dyDescent="0.2">
      <c r="A283" s="315"/>
      <c r="B283" s="110" t="s">
        <v>1104</v>
      </c>
      <c r="C283" s="319" t="s">
        <v>1105</v>
      </c>
      <c r="D283" s="358"/>
      <c r="E283" s="348"/>
      <c r="F283" s="86"/>
      <c r="G283" s="53">
        <f>SUMIF(JournalsB!D$14:D$920,TrialBalanceB!M283,JournalsB!J$14:J$920)+SUMIF(JournalsB!E$14:E$920,TrialBalanceB!M283,JournalsB!J$14:J$920)</f>
        <v>0</v>
      </c>
      <c r="H283" s="363"/>
      <c r="I283" s="365">
        <f t="shared" si="48"/>
        <v>0</v>
      </c>
      <c r="J283" s="81"/>
      <c r="K283" s="54">
        <f t="shared" si="49"/>
        <v>0</v>
      </c>
      <c r="M283" s="192" t="str">
        <f t="shared" si="50"/>
        <v>7000/023Prepaid lease agreement - additions</v>
      </c>
      <c r="N283" s="76"/>
      <c r="O283" s="77"/>
      <c r="P283" s="57"/>
      <c r="Q283" s="31"/>
    </row>
    <row r="284" spans="1:17" x14ac:dyDescent="0.2">
      <c r="A284" s="315"/>
      <c r="B284" s="110" t="s">
        <v>462</v>
      </c>
      <c r="C284" s="316" t="s">
        <v>1106</v>
      </c>
      <c r="D284" s="358"/>
      <c r="E284" s="348"/>
      <c r="F284" s="86"/>
      <c r="G284" s="53">
        <f>SUMIF(JournalsB!D$14:D$920,TrialBalanceB!M284,JournalsB!J$14:J$920)+SUMIF(JournalsB!E$14:E$920,TrialBalanceB!M284,JournalsB!J$14:J$920)</f>
        <v>0</v>
      </c>
      <c r="H284" s="363"/>
      <c r="I284" s="365">
        <f t="shared" si="48"/>
        <v>0</v>
      </c>
      <c r="J284" s="81"/>
      <c r="K284" s="54">
        <f t="shared" si="49"/>
        <v>0</v>
      </c>
      <c r="M284" s="192" t="str">
        <f t="shared" si="50"/>
        <v>7000/025PREPAID LEASE AGREEMENT - ACC AMORTISATION</v>
      </c>
      <c r="N284" s="76"/>
      <c r="O284" s="77"/>
      <c r="P284" s="57"/>
      <c r="Q284" s="31"/>
    </row>
    <row r="285" spans="1:17" x14ac:dyDescent="0.2">
      <c r="A285" s="315"/>
      <c r="B285" s="110" t="s">
        <v>1107</v>
      </c>
      <c r="C285" s="319" t="s">
        <v>1108</v>
      </c>
      <c r="D285" s="358"/>
      <c r="E285" s="348"/>
      <c r="F285" s="86">
        <f>SUM(K285:K286)</f>
        <v>0</v>
      </c>
      <c r="G285" s="53">
        <f>SUMIF(JournalsB!D$14:D$920,TrialBalanceB!M285,JournalsB!J$14:J$920)+SUMIF(JournalsB!E$14:E$920,TrialBalanceB!M285,JournalsB!J$14:J$920)</f>
        <v>0</v>
      </c>
      <c r="H285" s="363"/>
      <c r="I285" s="365">
        <f t="shared" si="48"/>
        <v>0</v>
      </c>
      <c r="J285" s="81"/>
      <c r="K285" s="54">
        <f t="shared" si="49"/>
        <v>0</v>
      </c>
      <c r="M285" s="192" t="str">
        <f t="shared" si="50"/>
        <v>7000/026Prepaid lease agreement - acc amortisation b/fwd</v>
      </c>
      <c r="N285" s="76"/>
      <c r="O285" s="77"/>
      <c r="P285" s="57"/>
      <c r="Q285" s="31"/>
    </row>
    <row r="286" spans="1:17" x14ac:dyDescent="0.2">
      <c r="A286" s="315"/>
      <c r="B286" s="110" t="s">
        <v>1109</v>
      </c>
      <c r="C286" s="319" t="s">
        <v>1110</v>
      </c>
      <c r="D286" s="358"/>
      <c r="E286" s="348"/>
      <c r="F286" s="86"/>
      <c r="G286" s="53">
        <f>SUMIF(JournalsB!D$14:D$920,TrialBalanceB!M286,JournalsB!J$14:J$920)+SUMIF(JournalsB!E$14:E$920,TrialBalanceB!M286,JournalsB!J$14:J$920)</f>
        <v>0</v>
      </c>
      <c r="H286" s="363"/>
      <c r="I286" s="365">
        <f t="shared" si="48"/>
        <v>0</v>
      </c>
      <c r="J286" s="81"/>
      <c r="K286" s="54">
        <f t="shared" si="49"/>
        <v>0</v>
      </c>
      <c r="M286" s="192" t="str">
        <f t="shared" si="50"/>
        <v>7000/027Prepaid lease agreement - amortisation this year</v>
      </c>
      <c r="N286" s="76"/>
      <c r="O286" s="77"/>
      <c r="P286" s="57"/>
      <c r="Q286" s="31"/>
    </row>
    <row r="287" spans="1:17" x14ac:dyDescent="0.2">
      <c r="A287" s="315"/>
      <c r="B287" s="110" t="s">
        <v>1111</v>
      </c>
      <c r="C287" s="316" t="s">
        <v>1112</v>
      </c>
      <c r="D287" s="358"/>
      <c r="E287" s="348"/>
      <c r="F287" s="86"/>
      <c r="G287" s="53">
        <f>SUMIF(JournalsB!D$14:D$920,TrialBalanceB!M287,JournalsB!J$14:J$920)+SUMIF(JournalsB!E$14:E$920,TrialBalanceB!M287,JournalsB!J$14:J$920)</f>
        <v>0</v>
      </c>
      <c r="H287" s="363"/>
      <c r="I287" s="365">
        <f t="shared" si="48"/>
        <v>0</v>
      </c>
      <c r="J287" s="81"/>
      <c r="K287" s="54">
        <f t="shared" si="49"/>
        <v>0</v>
      </c>
      <c r="M287" s="192" t="str">
        <f t="shared" si="50"/>
        <v>7000/030PREPAID LEASE AGREEMENT - IMPAIRMENT</v>
      </c>
      <c r="N287" s="76"/>
      <c r="O287" s="77"/>
      <c r="P287" s="57"/>
      <c r="Q287" s="31"/>
    </row>
    <row r="288" spans="1:17" x14ac:dyDescent="0.2">
      <c r="A288" s="315"/>
      <c r="B288" s="110" t="s">
        <v>1113</v>
      </c>
      <c r="C288" s="319" t="s">
        <v>1114</v>
      </c>
      <c r="D288" s="358"/>
      <c r="E288" s="348"/>
      <c r="F288" s="86">
        <f>SUM(K288:K289)</f>
        <v>0</v>
      </c>
      <c r="G288" s="53">
        <f>SUMIF(JournalsB!D$14:D$920,TrialBalanceB!M288,JournalsB!J$14:J$920)+SUMIF(JournalsB!E$14:E$920,TrialBalanceB!M288,JournalsB!J$14:J$920)</f>
        <v>0</v>
      </c>
      <c r="H288" s="363"/>
      <c r="I288" s="365">
        <f t="shared" si="48"/>
        <v>0</v>
      </c>
      <c r="J288" s="81"/>
      <c r="K288" s="54">
        <f t="shared" si="49"/>
        <v>0</v>
      </c>
      <c r="M288" s="192" t="str">
        <f t="shared" si="50"/>
        <v>7000/031Prepaid lease agreement - impairment loss b/fwd</v>
      </c>
      <c r="N288" s="76"/>
      <c r="O288" s="77"/>
      <c r="P288" s="57"/>
      <c r="Q288" s="31"/>
    </row>
    <row r="289" spans="1:17" x14ac:dyDescent="0.2">
      <c r="A289" s="315"/>
      <c r="B289" s="110" t="s">
        <v>1115</v>
      </c>
      <c r="C289" s="319" t="s">
        <v>1116</v>
      </c>
      <c r="D289" s="358"/>
      <c r="E289" s="348"/>
      <c r="F289" s="86"/>
      <c r="G289" s="53">
        <f>SUMIF(JournalsB!D$14:D$920,TrialBalanceB!M289,JournalsB!J$14:J$920)+SUMIF(JournalsB!E$14:E$920,TrialBalanceB!M289,JournalsB!J$14:J$920)</f>
        <v>0</v>
      </c>
      <c r="H289" s="363"/>
      <c r="I289" s="365">
        <f t="shared" si="48"/>
        <v>0</v>
      </c>
      <c r="J289" s="81"/>
      <c r="K289" s="54">
        <f t="shared" si="49"/>
        <v>0</v>
      </c>
      <c r="M289" s="192" t="str">
        <f t="shared" si="50"/>
        <v>7000/032Prepaid lease agreement - impairment loss this year</v>
      </c>
      <c r="N289" s="76"/>
      <c r="O289" s="77"/>
      <c r="P289" s="57"/>
      <c r="Q289" s="31"/>
    </row>
    <row r="290" spans="1:17" x14ac:dyDescent="0.2">
      <c r="A290" s="315"/>
      <c r="B290" s="60" t="s">
        <v>463</v>
      </c>
      <c r="C290" s="316" t="s">
        <v>183</v>
      </c>
      <c r="D290" s="358"/>
      <c r="E290" s="348"/>
      <c r="F290" s="86"/>
      <c r="G290" s="53">
        <f>SUMIF(JournalsB!D$14:D$920,TrialBalanceB!M290,JournalsB!J$14:J$920)+SUMIF(JournalsB!E$14:E$920,TrialBalanceB!M290,JournalsB!J$14:J$920)</f>
        <v>0</v>
      </c>
      <c r="H290" s="363"/>
      <c r="I290" s="365">
        <f t="shared" si="47"/>
        <v>0</v>
      </c>
      <c r="J290" s="81"/>
      <c r="K290" s="54">
        <f t="shared" ref="K290:K387" si="51">ROUND(SUM(A290),0)</f>
        <v>0</v>
      </c>
      <c r="M290" s="192" t="str">
        <f t="shared" ref="M290:M387" si="52">CONCATENATE(B290,C290)</f>
        <v>7100/000INVESTMENTS</v>
      </c>
      <c r="N290" s="76"/>
      <c r="O290" s="77"/>
      <c r="P290" s="57"/>
      <c r="Q290" s="31"/>
    </row>
    <row r="291" spans="1:17" x14ac:dyDescent="0.2">
      <c r="A291" s="315"/>
      <c r="B291" s="60" t="s">
        <v>464</v>
      </c>
      <c r="C291" s="317" t="s">
        <v>465</v>
      </c>
      <c r="D291" s="357"/>
      <c r="E291" s="348"/>
      <c r="F291" s="86"/>
      <c r="G291" s="53">
        <f>SUMIF(JournalsB!D$14:D$920,TrialBalanceB!M291,JournalsB!J$14:J$920)+SUMIF(JournalsB!E$14:E$920,TrialBalanceB!M291,JournalsB!J$14:J$920)</f>
        <v>0</v>
      </c>
      <c r="H291" s="363"/>
      <c r="I291" s="365">
        <f t="shared" si="47"/>
        <v>0</v>
      </c>
      <c r="J291" s="81"/>
      <c r="K291" s="54">
        <f t="shared" si="51"/>
        <v>0</v>
      </c>
      <c r="M291" s="192" t="str">
        <f t="shared" si="52"/>
        <v>7100/100LISTED INVESTMENTS</v>
      </c>
      <c r="N291" s="76"/>
      <c r="O291" s="77"/>
      <c r="P291" s="57"/>
      <c r="Q291" s="31"/>
    </row>
    <row r="292" spans="1:17" x14ac:dyDescent="0.2">
      <c r="A292" s="315"/>
      <c r="B292" s="60" t="s">
        <v>466</v>
      </c>
      <c r="C292" s="352">
        <f>TrialBalance!C292</f>
        <v>0</v>
      </c>
      <c r="D292" s="357"/>
      <c r="E292" s="348"/>
      <c r="F292" s="86">
        <f>K292</f>
        <v>0</v>
      </c>
      <c r="G292" s="53">
        <f>SUMIF(JournalsB!D$14:D$920,TrialBalanceB!M292,JournalsB!J$14:J$920)+SUMIF(JournalsB!E$14:E$920,TrialBalanceB!M292,JournalsB!J$14:J$920)</f>
        <v>0</v>
      </c>
      <c r="H292" s="363"/>
      <c r="I292" s="365">
        <f t="shared" si="47"/>
        <v>0</v>
      </c>
      <c r="J292" s="81"/>
      <c r="K292" s="54">
        <f t="shared" si="51"/>
        <v>0</v>
      </c>
      <c r="M292" s="192" t="str">
        <f t="shared" si="52"/>
        <v>7100/1010</v>
      </c>
      <c r="N292" s="76"/>
      <c r="O292" s="77"/>
      <c r="P292" s="57"/>
      <c r="Q292" s="31"/>
    </row>
    <row r="293" spans="1:17" x14ac:dyDescent="0.2">
      <c r="A293" s="315"/>
      <c r="B293" s="60" t="s">
        <v>467</v>
      </c>
      <c r="C293" s="352">
        <f>TrialBalance!C293</f>
        <v>0</v>
      </c>
      <c r="D293" s="357"/>
      <c r="E293" s="348"/>
      <c r="F293" s="86">
        <f t="shared" ref="F293:F375" si="53">K293</f>
        <v>0</v>
      </c>
      <c r="G293" s="53">
        <f>SUMIF(JournalsB!D$14:D$920,TrialBalanceB!M293,JournalsB!J$14:J$920)+SUMIF(JournalsB!E$14:E$920,TrialBalanceB!M293,JournalsB!J$14:J$920)</f>
        <v>0</v>
      </c>
      <c r="H293" s="363"/>
      <c r="I293" s="365">
        <f t="shared" si="47"/>
        <v>0</v>
      </c>
      <c r="J293" s="81"/>
      <c r="K293" s="54">
        <f t="shared" si="51"/>
        <v>0</v>
      </c>
      <c r="M293" s="192" t="str">
        <f t="shared" si="52"/>
        <v>7100/1020</v>
      </c>
      <c r="N293" s="76"/>
      <c r="O293" s="77"/>
      <c r="P293" s="57"/>
      <c r="Q293" s="31"/>
    </row>
    <row r="294" spans="1:17" x14ac:dyDescent="0.2">
      <c r="A294" s="315"/>
      <c r="B294" s="60" t="s">
        <v>468</v>
      </c>
      <c r="C294" s="352">
        <f>TrialBalance!C294</f>
        <v>0</v>
      </c>
      <c r="D294" s="357"/>
      <c r="E294" s="348"/>
      <c r="F294" s="86">
        <f t="shared" si="53"/>
        <v>0</v>
      </c>
      <c r="G294" s="53">
        <f>SUMIF(JournalsB!D$14:D$920,TrialBalanceB!M294,JournalsB!J$14:J$920)+SUMIF(JournalsB!E$14:E$920,TrialBalanceB!M294,JournalsB!J$14:J$920)</f>
        <v>0</v>
      </c>
      <c r="H294" s="363"/>
      <c r="I294" s="365">
        <f t="shared" si="47"/>
        <v>0</v>
      </c>
      <c r="J294" s="81"/>
      <c r="K294" s="54">
        <f t="shared" si="51"/>
        <v>0</v>
      </c>
      <c r="M294" s="192" t="str">
        <f t="shared" si="52"/>
        <v>7100/1030</v>
      </c>
      <c r="N294" s="76"/>
      <c r="O294" s="77"/>
      <c r="P294" s="57"/>
      <c r="Q294" s="31"/>
    </row>
    <row r="295" spans="1:17" x14ac:dyDescent="0.2">
      <c r="A295" s="315"/>
      <c r="B295" s="60" t="s">
        <v>469</v>
      </c>
      <c r="C295" s="352">
        <f>TrialBalance!C295</f>
        <v>0</v>
      </c>
      <c r="D295" s="357"/>
      <c r="E295" s="348"/>
      <c r="F295" s="86">
        <f t="shared" si="53"/>
        <v>0</v>
      </c>
      <c r="G295" s="53">
        <f>SUMIF(JournalsB!D$14:D$920,TrialBalanceB!M295,JournalsB!J$14:J$920)+SUMIF(JournalsB!E$14:E$920,TrialBalanceB!M295,JournalsB!J$14:J$920)</f>
        <v>0</v>
      </c>
      <c r="H295" s="363"/>
      <c r="I295" s="365">
        <f t="shared" si="47"/>
        <v>0</v>
      </c>
      <c r="J295" s="81"/>
      <c r="K295" s="54">
        <f t="shared" si="51"/>
        <v>0</v>
      </c>
      <c r="M295" s="192" t="str">
        <f t="shared" si="52"/>
        <v>7100/1040</v>
      </c>
      <c r="N295" s="76"/>
      <c r="O295" s="77"/>
      <c r="P295" s="57"/>
      <c r="Q295" s="31"/>
    </row>
    <row r="296" spans="1:17" x14ac:dyDescent="0.2">
      <c r="A296" s="315"/>
      <c r="B296" s="60" t="s">
        <v>470</v>
      </c>
      <c r="C296" s="352">
        <f>TrialBalance!C296</f>
        <v>0</v>
      </c>
      <c r="D296" s="357"/>
      <c r="E296" s="348"/>
      <c r="F296" s="86">
        <f t="shared" si="53"/>
        <v>0</v>
      </c>
      <c r="G296" s="53">
        <f>SUMIF(JournalsB!D$14:D$920,TrialBalanceB!M296,JournalsB!J$14:J$920)+SUMIF(JournalsB!E$14:E$920,TrialBalanceB!M296,JournalsB!J$14:J$920)</f>
        <v>0</v>
      </c>
      <c r="H296" s="363"/>
      <c r="I296" s="365">
        <f t="shared" si="47"/>
        <v>0</v>
      </c>
      <c r="J296" s="81"/>
      <c r="K296" s="54">
        <f t="shared" si="51"/>
        <v>0</v>
      </c>
      <c r="M296" s="192" t="str">
        <f t="shared" si="52"/>
        <v>7100/1050</v>
      </c>
      <c r="N296" s="76"/>
      <c r="O296" s="77"/>
      <c r="P296" s="57"/>
      <c r="Q296" s="31"/>
    </row>
    <row r="297" spans="1:17" x14ac:dyDescent="0.2">
      <c r="A297" s="315"/>
      <c r="B297" s="60" t="s">
        <v>471</v>
      </c>
      <c r="C297" s="319" t="s">
        <v>920</v>
      </c>
      <c r="D297" s="358"/>
      <c r="E297" s="348"/>
      <c r="F297" s="86"/>
      <c r="G297" s="53">
        <f>SUMIF(JournalsB!D$14:D$920,TrialBalanceB!M297,JournalsB!J$14:J$920)+SUMIF(JournalsB!E$14:E$920,TrialBalanceB!M297,JournalsB!J$14:J$920)</f>
        <v>0</v>
      </c>
      <c r="H297" s="363"/>
      <c r="I297" s="365">
        <f t="shared" si="47"/>
        <v>0</v>
      </c>
      <c r="J297" s="81"/>
      <c r="K297" s="54">
        <f t="shared" si="51"/>
        <v>0</v>
      </c>
      <c r="M297" s="192" t="str">
        <f t="shared" si="52"/>
        <v>7100/200SHARES IN PRIVATE COMPANIES</v>
      </c>
      <c r="N297" s="76"/>
      <c r="O297" s="77"/>
      <c r="P297" s="57"/>
      <c r="Q297" s="31"/>
    </row>
    <row r="298" spans="1:17" x14ac:dyDescent="0.2">
      <c r="A298" s="315"/>
      <c r="B298" s="60" t="s">
        <v>472</v>
      </c>
      <c r="C298" s="352">
        <f>TrialBalance!C298</f>
        <v>0</v>
      </c>
      <c r="D298" s="359"/>
      <c r="E298" s="348"/>
      <c r="F298" s="86">
        <f t="shared" si="53"/>
        <v>0</v>
      </c>
      <c r="G298" s="53">
        <f>SUMIF(JournalsB!D$14:D$920,TrialBalanceB!M298,JournalsB!J$14:J$920)+SUMIF(JournalsB!E$14:E$920,TrialBalanceB!M298,JournalsB!J$14:J$920)</f>
        <v>0</v>
      </c>
      <c r="H298" s="363"/>
      <c r="I298" s="365">
        <f t="shared" si="47"/>
        <v>0</v>
      </c>
      <c r="J298" s="81"/>
      <c r="K298" s="54">
        <f t="shared" si="51"/>
        <v>0</v>
      </c>
      <c r="M298" s="192" t="str">
        <f t="shared" si="52"/>
        <v>7100/2010</v>
      </c>
      <c r="N298" s="76"/>
      <c r="O298" s="77"/>
      <c r="P298" s="57"/>
      <c r="Q298" s="31"/>
    </row>
    <row r="299" spans="1:17" x14ac:dyDescent="0.2">
      <c r="A299" s="315"/>
      <c r="B299" s="60" t="s">
        <v>473</v>
      </c>
      <c r="C299" s="352">
        <f>TrialBalance!C299</f>
        <v>0</v>
      </c>
      <c r="D299" s="359"/>
      <c r="E299" s="348"/>
      <c r="F299" s="86">
        <f t="shared" si="53"/>
        <v>0</v>
      </c>
      <c r="G299" s="53">
        <f>SUMIF(JournalsB!D$14:D$920,TrialBalanceB!M299,JournalsB!J$14:J$920)+SUMIF(JournalsB!E$14:E$920,TrialBalanceB!M299,JournalsB!J$14:J$920)</f>
        <v>0</v>
      </c>
      <c r="H299" s="363"/>
      <c r="I299" s="365">
        <f t="shared" si="47"/>
        <v>0</v>
      </c>
      <c r="J299" s="81"/>
      <c r="K299" s="54">
        <f t="shared" si="51"/>
        <v>0</v>
      </c>
      <c r="M299" s="192" t="str">
        <f t="shared" si="52"/>
        <v>7100/2020</v>
      </c>
      <c r="N299" s="76"/>
      <c r="O299" s="77"/>
      <c r="P299" s="57"/>
      <c r="Q299" s="31"/>
    </row>
    <row r="300" spans="1:17" x14ac:dyDescent="0.2">
      <c r="A300" s="315"/>
      <c r="B300" s="60" t="s">
        <v>474</v>
      </c>
      <c r="C300" s="352">
        <f>TrialBalance!C300</f>
        <v>0</v>
      </c>
      <c r="D300" s="357"/>
      <c r="E300" s="348"/>
      <c r="F300" s="86">
        <f t="shared" si="53"/>
        <v>0</v>
      </c>
      <c r="G300" s="53">
        <f>SUMIF(JournalsB!D$14:D$920,TrialBalanceB!M300,JournalsB!J$14:J$920)+SUMIF(JournalsB!E$14:E$920,TrialBalanceB!M300,JournalsB!J$14:J$920)</f>
        <v>0</v>
      </c>
      <c r="H300" s="363"/>
      <c r="I300" s="365">
        <f t="shared" si="47"/>
        <v>0</v>
      </c>
      <c r="J300" s="81"/>
      <c r="K300" s="54">
        <f t="shared" si="51"/>
        <v>0</v>
      </c>
      <c r="M300" s="192" t="str">
        <f t="shared" si="52"/>
        <v>7100/2030</v>
      </c>
      <c r="N300" s="76"/>
      <c r="O300" s="77"/>
      <c r="P300" s="57"/>
      <c r="Q300" s="31"/>
    </row>
    <row r="301" spans="1:17" x14ac:dyDescent="0.2">
      <c r="A301" s="315"/>
      <c r="B301" s="60" t="s">
        <v>475</v>
      </c>
      <c r="C301" s="352">
        <f>TrialBalance!C301</f>
        <v>0</v>
      </c>
      <c r="D301" s="357"/>
      <c r="E301" s="348"/>
      <c r="F301" s="86">
        <f t="shared" si="53"/>
        <v>0</v>
      </c>
      <c r="G301" s="53">
        <f>SUMIF(JournalsB!D$14:D$920,TrialBalanceB!M301,JournalsB!J$14:J$920)+SUMIF(JournalsB!E$14:E$920,TrialBalanceB!M301,JournalsB!J$14:J$920)</f>
        <v>0</v>
      </c>
      <c r="H301" s="363"/>
      <c r="I301" s="365">
        <f t="shared" si="47"/>
        <v>0</v>
      </c>
      <c r="J301" s="81"/>
      <c r="K301" s="54">
        <f t="shared" si="51"/>
        <v>0</v>
      </c>
      <c r="M301" s="192" t="str">
        <f t="shared" si="52"/>
        <v>7100/2040</v>
      </c>
      <c r="N301" s="76"/>
      <c r="O301" s="77"/>
      <c r="P301" s="57"/>
      <c r="Q301" s="31"/>
    </row>
    <row r="302" spans="1:17" x14ac:dyDescent="0.2">
      <c r="A302" s="315"/>
      <c r="B302" s="60" t="s">
        <v>159</v>
      </c>
      <c r="C302" s="352">
        <f>TrialBalance!C302</f>
        <v>0</v>
      </c>
      <c r="D302" s="357"/>
      <c r="E302" s="348"/>
      <c r="F302" s="86">
        <f t="shared" si="53"/>
        <v>0</v>
      </c>
      <c r="G302" s="53">
        <f>SUMIF(JournalsB!D$14:D$920,TrialBalanceB!M302,JournalsB!J$14:J$920)+SUMIF(JournalsB!E$14:E$920,TrialBalanceB!M302,JournalsB!J$14:J$920)</f>
        <v>0</v>
      </c>
      <c r="H302" s="363"/>
      <c r="I302" s="365">
        <f t="shared" si="47"/>
        <v>0</v>
      </c>
      <c r="J302" s="81"/>
      <c r="K302" s="54">
        <f t="shared" si="51"/>
        <v>0</v>
      </c>
      <c r="M302" s="192" t="str">
        <f t="shared" si="52"/>
        <v>7100/2050</v>
      </c>
      <c r="N302" s="76"/>
      <c r="O302" s="77"/>
      <c r="P302" s="57"/>
      <c r="Q302" s="31"/>
    </row>
    <row r="303" spans="1:17" x14ac:dyDescent="0.2">
      <c r="A303" s="315"/>
      <c r="B303" s="110" t="s">
        <v>904</v>
      </c>
      <c r="C303" s="352">
        <f>TrialBalance!C303</f>
        <v>0</v>
      </c>
      <c r="D303" s="357"/>
      <c r="E303" s="348"/>
      <c r="F303" s="86">
        <f t="shared" ref="F303:F312" si="54">K303</f>
        <v>0</v>
      </c>
      <c r="G303" s="53">
        <f>SUMIF(JournalsB!D$14:D$920,TrialBalanceB!M303,JournalsB!J$14:J$920)+SUMIF(JournalsB!E$14:E$920,TrialBalanceB!M303,JournalsB!J$14:J$920)</f>
        <v>0</v>
      </c>
      <c r="H303" s="363"/>
      <c r="I303" s="365">
        <f t="shared" ref="I303:I312" si="55">ROUND(D303-E303+G303+F303,0)</f>
        <v>0</v>
      </c>
      <c r="J303" s="81"/>
      <c r="K303" s="54">
        <f t="shared" ref="K303:K312" si="56">ROUND(SUM(A303),0)</f>
        <v>0</v>
      </c>
      <c r="M303" s="192" t="str">
        <f t="shared" ref="M303:M312" si="57">CONCATENATE(B303,C303)</f>
        <v>7100/2060</v>
      </c>
      <c r="N303" s="76"/>
      <c r="O303" s="77"/>
      <c r="P303" s="57"/>
      <c r="Q303" s="31"/>
    </row>
    <row r="304" spans="1:17" x14ac:dyDescent="0.2">
      <c r="A304" s="315"/>
      <c r="B304" s="110" t="s">
        <v>905</v>
      </c>
      <c r="C304" s="352">
        <f>TrialBalance!C304</f>
        <v>0</v>
      </c>
      <c r="D304" s="357"/>
      <c r="E304" s="348"/>
      <c r="F304" s="86">
        <f t="shared" si="54"/>
        <v>0</v>
      </c>
      <c r="G304" s="53">
        <f>SUMIF(JournalsB!D$14:D$920,TrialBalanceB!M304,JournalsB!J$14:J$920)+SUMIF(JournalsB!E$14:E$920,TrialBalanceB!M304,JournalsB!J$14:J$920)</f>
        <v>0</v>
      </c>
      <c r="H304" s="363"/>
      <c r="I304" s="365">
        <f t="shared" si="55"/>
        <v>0</v>
      </c>
      <c r="J304" s="81"/>
      <c r="K304" s="54">
        <f t="shared" si="56"/>
        <v>0</v>
      </c>
      <c r="M304" s="192" t="str">
        <f t="shared" si="57"/>
        <v>7100/2070</v>
      </c>
      <c r="N304" s="76"/>
      <c r="O304" s="77"/>
      <c r="P304" s="57"/>
      <c r="Q304" s="31"/>
    </row>
    <row r="305" spans="1:17" x14ac:dyDescent="0.2">
      <c r="A305" s="315"/>
      <c r="B305" s="110" t="s">
        <v>906</v>
      </c>
      <c r="C305" s="352">
        <f>TrialBalance!C305</f>
        <v>0</v>
      </c>
      <c r="D305" s="357"/>
      <c r="E305" s="348"/>
      <c r="F305" s="86">
        <f t="shared" si="54"/>
        <v>0</v>
      </c>
      <c r="G305" s="53">
        <f>SUMIF(JournalsB!D$14:D$920,TrialBalanceB!M305,JournalsB!J$14:J$920)+SUMIF(JournalsB!E$14:E$920,TrialBalanceB!M305,JournalsB!J$14:J$920)</f>
        <v>0</v>
      </c>
      <c r="H305" s="363"/>
      <c r="I305" s="365">
        <f t="shared" si="55"/>
        <v>0</v>
      </c>
      <c r="J305" s="81"/>
      <c r="K305" s="54">
        <f t="shared" si="56"/>
        <v>0</v>
      </c>
      <c r="M305" s="192" t="str">
        <f t="shared" si="57"/>
        <v>7100/2080</v>
      </c>
      <c r="N305" s="76"/>
      <c r="O305" s="77"/>
      <c r="P305" s="57"/>
      <c r="Q305" s="31"/>
    </row>
    <row r="306" spans="1:17" x14ac:dyDescent="0.2">
      <c r="A306" s="315"/>
      <c r="B306" s="110" t="s">
        <v>907</v>
      </c>
      <c r="C306" s="352">
        <f>TrialBalance!C306</f>
        <v>0</v>
      </c>
      <c r="D306" s="357"/>
      <c r="E306" s="348"/>
      <c r="F306" s="86">
        <f t="shared" si="54"/>
        <v>0</v>
      </c>
      <c r="G306" s="53">
        <f>SUMIF(JournalsB!D$14:D$920,TrialBalanceB!M306,JournalsB!J$14:J$920)+SUMIF(JournalsB!E$14:E$920,TrialBalanceB!M306,JournalsB!J$14:J$920)</f>
        <v>0</v>
      </c>
      <c r="H306" s="363"/>
      <c r="I306" s="365">
        <f t="shared" si="55"/>
        <v>0</v>
      </c>
      <c r="J306" s="81"/>
      <c r="K306" s="54">
        <f t="shared" si="56"/>
        <v>0</v>
      </c>
      <c r="M306" s="192" t="str">
        <f t="shared" si="57"/>
        <v>7100/2090</v>
      </c>
      <c r="N306" s="76"/>
      <c r="O306" s="77"/>
      <c r="P306" s="57"/>
      <c r="Q306" s="31"/>
    </row>
    <row r="307" spans="1:17" x14ac:dyDescent="0.2">
      <c r="A307" s="315"/>
      <c r="B307" s="110" t="s">
        <v>908</v>
      </c>
      <c r="C307" s="352">
        <f>TrialBalance!C307</f>
        <v>0</v>
      </c>
      <c r="D307" s="357"/>
      <c r="E307" s="348"/>
      <c r="F307" s="86">
        <f t="shared" si="54"/>
        <v>0</v>
      </c>
      <c r="G307" s="53">
        <f>SUMIF(JournalsB!D$14:D$920,TrialBalanceB!M307,JournalsB!J$14:J$920)+SUMIF(JournalsB!E$14:E$920,TrialBalanceB!M307,JournalsB!J$14:J$920)</f>
        <v>0</v>
      </c>
      <c r="H307" s="363"/>
      <c r="I307" s="365">
        <f t="shared" si="55"/>
        <v>0</v>
      </c>
      <c r="J307" s="81"/>
      <c r="K307" s="54">
        <f t="shared" si="56"/>
        <v>0</v>
      </c>
      <c r="M307" s="192" t="str">
        <f t="shared" si="57"/>
        <v>7100/2100</v>
      </c>
      <c r="N307" s="76"/>
      <c r="O307" s="77"/>
      <c r="P307" s="57"/>
      <c r="Q307" s="31"/>
    </row>
    <row r="308" spans="1:17" x14ac:dyDescent="0.2">
      <c r="A308" s="315"/>
      <c r="B308" s="110" t="s">
        <v>909</v>
      </c>
      <c r="C308" s="352">
        <f>TrialBalance!C308</f>
        <v>0</v>
      </c>
      <c r="D308" s="357"/>
      <c r="E308" s="348"/>
      <c r="F308" s="86">
        <f t="shared" si="54"/>
        <v>0</v>
      </c>
      <c r="G308" s="53">
        <f>SUMIF(JournalsB!D$14:D$920,TrialBalanceB!M308,JournalsB!J$14:J$920)+SUMIF(JournalsB!E$14:E$920,TrialBalanceB!M308,JournalsB!J$14:J$920)</f>
        <v>0</v>
      </c>
      <c r="H308" s="363"/>
      <c r="I308" s="365">
        <f t="shared" si="55"/>
        <v>0</v>
      </c>
      <c r="J308" s="81"/>
      <c r="K308" s="54">
        <f t="shared" si="56"/>
        <v>0</v>
      </c>
      <c r="M308" s="192" t="str">
        <f t="shared" si="57"/>
        <v>7100/2110</v>
      </c>
      <c r="N308" s="76"/>
      <c r="O308" s="77"/>
      <c r="P308" s="57"/>
      <c r="Q308" s="31"/>
    </row>
    <row r="309" spans="1:17" x14ac:dyDescent="0.2">
      <c r="A309" s="315"/>
      <c r="B309" s="110" t="s">
        <v>910</v>
      </c>
      <c r="C309" s="352">
        <f>TrialBalance!C309</f>
        <v>0</v>
      </c>
      <c r="D309" s="357"/>
      <c r="E309" s="348"/>
      <c r="F309" s="86">
        <f t="shared" si="54"/>
        <v>0</v>
      </c>
      <c r="G309" s="53">
        <f>SUMIF(JournalsB!D$14:D$920,TrialBalanceB!M309,JournalsB!J$14:J$920)+SUMIF(JournalsB!E$14:E$920,TrialBalanceB!M309,JournalsB!J$14:J$920)</f>
        <v>0</v>
      </c>
      <c r="H309" s="363"/>
      <c r="I309" s="365">
        <f t="shared" si="55"/>
        <v>0</v>
      </c>
      <c r="J309" s="81"/>
      <c r="K309" s="54">
        <f t="shared" si="56"/>
        <v>0</v>
      </c>
      <c r="M309" s="192" t="str">
        <f t="shared" si="57"/>
        <v>7100/2120</v>
      </c>
      <c r="N309" s="76"/>
      <c r="O309" s="77"/>
      <c r="P309" s="57"/>
      <c r="Q309" s="31"/>
    </row>
    <row r="310" spans="1:17" x14ac:dyDescent="0.2">
      <c r="A310" s="315"/>
      <c r="B310" s="110" t="s">
        <v>911</v>
      </c>
      <c r="C310" s="352">
        <f>TrialBalance!C310</f>
        <v>0</v>
      </c>
      <c r="D310" s="357"/>
      <c r="E310" s="348"/>
      <c r="F310" s="86">
        <f t="shared" si="54"/>
        <v>0</v>
      </c>
      <c r="G310" s="53">
        <f>SUMIF(JournalsB!D$14:D$920,TrialBalanceB!M310,JournalsB!J$14:J$920)+SUMIF(JournalsB!E$14:E$920,TrialBalanceB!M310,JournalsB!J$14:J$920)</f>
        <v>0</v>
      </c>
      <c r="H310" s="363"/>
      <c r="I310" s="365">
        <f t="shared" si="55"/>
        <v>0</v>
      </c>
      <c r="J310" s="81"/>
      <c r="K310" s="54">
        <f t="shared" si="56"/>
        <v>0</v>
      </c>
      <c r="M310" s="192" t="str">
        <f t="shared" si="57"/>
        <v>7100/2130</v>
      </c>
      <c r="N310" s="76"/>
      <c r="O310" s="77"/>
      <c r="P310" s="57"/>
      <c r="Q310" s="31"/>
    </row>
    <row r="311" spans="1:17" x14ac:dyDescent="0.2">
      <c r="A311" s="315"/>
      <c r="B311" s="110" t="s">
        <v>912</v>
      </c>
      <c r="C311" s="352">
        <f>TrialBalance!C311</f>
        <v>0</v>
      </c>
      <c r="D311" s="357"/>
      <c r="E311" s="348"/>
      <c r="F311" s="86">
        <f t="shared" si="54"/>
        <v>0</v>
      </c>
      <c r="G311" s="53">
        <f>SUMIF(JournalsB!D$14:D$920,TrialBalanceB!M311,JournalsB!J$14:J$920)+SUMIF(JournalsB!E$14:E$920,TrialBalanceB!M311,JournalsB!J$14:J$920)</f>
        <v>0</v>
      </c>
      <c r="H311" s="363"/>
      <c r="I311" s="365">
        <f t="shared" si="55"/>
        <v>0</v>
      </c>
      <c r="J311" s="81"/>
      <c r="K311" s="54">
        <f t="shared" si="56"/>
        <v>0</v>
      </c>
      <c r="M311" s="192" t="str">
        <f t="shared" si="57"/>
        <v>7100/2140</v>
      </c>
      <c r="N311" s="76"/>
      <c r="O311" s="77"/>
      <c r="P311" s="57"/>
      <c r="Q311" s="31"/>
    </row>
    <row r="312" spans="1:17" x14ac:dyDescent="0.2">
      <c r="A312" s="315"/>
      <c r="B312" s="110" t="s">
        <v>913</v>
      </c>
      <c r="C312" s="352">
        <f>TrialBalance!C312</f>
        <v>0</v>
      </c>
      <c r="D312" s="357"/>
      <c r="E312" s="348"/>
      <c r="F312" s="86">
        <f t="shared" si="54"/>
        <v>0</v>
      </c>
      <c r="G312" s="53">
        <f>SUMIF(JournalsB!D$14:D$920,TrialBalanceB!M312,JournalsB!J$14:J$920)+SUMIF(JournalsB!E$14:E$920,TrialBalanceB!M312,JournalsB!J$14:J$920)</f>
        <v>0</v>
      </c>
      <c r="H312" s="363"/>
      <c r="I312" s="365">
        <f t="shared" si="55"/>
        <v>0</v>
      </c>
      <c r="J312" s="81"/>
      <c r="K312" s="54">
        <f t="shared" si="56"/>
        <v>0</v>
      </c>
      <c r="M312" s="192" t="str">
        <f t="shared" si="57"/>
        <v>7100/2150</v>
      </c>
      <c r="N312" s="76"/>
      <c r="O312" s="77"/>
      <c r="P312" s="57"/>
      <c r="Q312" s="31"/>
    </row>
    <row r="313" spans="1:17" x14ac:dyDescent="0.2">
      <c r="A313" s="315"/>
      <c r="B313" s="110" t="s">
        <v>921</v>
      </c>
      <c r="C313" s="319" t="s">
        <v>922</v>
      </c>
      <c r="D313" s="357"/>
      <c r="E313" s="348"/>
      <c r="F313" s="86"/>
      <c r="G313" s="53">
        <f>SUMIF(JournalsB!D$14:D$920,TrialBalanceB!M313,JournalsB!J$14:J$920)+SUMIF(JournalsB!E$14:E$920,TrialBalanceB!M313,JournalsB!J$14:J$920)</f>
        <v>0</v>
      </c>
      <c r="H313" s="363"/>
      <c r="I313" s="365">
        <f>ROUND(D313-E313+G313+F313,0)</f>
        <v>0</v>
      </c>
      <c r="J313" s="81"/>
      <c r="K313" s="54">
        <f t="shared" ref="K313" si="58">ROUND(SUM(A313),0)</f>
        <v>0</v>
      </c>
      <c r="M313" s="192" t="str">
        <f t="shared" ref="M313" si="59">CONCATENATE(B313,C313)</f>
        <v>7100/250MEMBER'S INTEREST IN CLOSE CORPORATIONS</v>
      </c>
      <c r="N313" s="76"/>
      <c r="O313" s="77"/>
      <c r="P313" s="57"/>
      <c r="Q313" s="31"/>
    </row>
    <row r="314" spans="1:17" x14ac:dyDescent="0.2">
      <c r="A314" s="315"/>
      <c r="B314" s="110" t="s">
        <v>923</v>
      </c>
      <c r="C314" s="352">
        <f>TrialBalance!C314</f>
        <v>0</v>
      </c>
      <c r="D314" s="357"/>
      <c r="E314" s="348"/>
      <c r="F314" s="86">
        <f t="shared" ref="F314:F317" si="60">K314</f>
        <v>0</v>
      </c>
      <c r="G314" s="53">
        <f>SUMIF(JournalsB!D$14:D$920,TrialBalanceB!M314,JournalsB!J$14:J$920)+SUMIF(JournalsB!E$14:E$920,TrialBalanceB!M314,JournalsB!J$14:J$920)</f>
        <v>0</v>
      </c>
      <c r="H314" s="363"/>
      <c r="I314" s="365">
        <f t="shared" ref="I314:I317" si="61">ROUND(D314-E314+G314+F314,0)</f>
        <v>0</v>
      </c>
      <c r="J314" s="81"/>
      <c r="K314" s="54">
        <f t="shared" ref="K314:K317" si="62">ROUND(SUM(A314),0)</f>
        <v>0</v>
      </c>
      <c r="M314" s="192" t="str">
        <f t="shared" ref="M314:M318" si="63">CONCATENATE(B314,C314)</f>
        <v>7100/2510</v>
      </c>
      <c r="N314" s="76"/>
      <c r="O314" s="77"/>
      <c r="P314" s="57"/>
      <c r="Q314" s="31"/>
    </row>
    <row r="315" spans="1:17" x14ac:dyDescent="0.2">
      <c r="A315" s="315"/>
      <c r="B315" s="110" t="s">
        <v>924</v>
      </c>
      <c r="C315" s="352">
        <f>TrialBalance!C315</f>
        <v>0</v>
      </c>
      <c r="D315" s="357"/>
      <c r="E315" s="348"/>
      <c r="F315" s="86">
        <f t="shared" si="60"/>
        <v>0</v>
      </c>
      <c r="G315" s="53">
        <f>SUMIF(JournalsB!D$14:D$920,TrialBalanceB!M315,JournalsB!J$14:J$920)+SUMIF(JournalsB!E$14:E$920,TrialBalanceB!M315,JournalsB!J$14:J$920)</f>
        <v>0</v>
      </c>
      <c r="H315" s="363"/>
      <c r="I315" s="365">
        <f t="shared" si="61"/>
        <v>0</v>
      </c>
      <c r="J315" s="81"/>
      <c r="K315" s="54">
        <f t="shared" si="62"/>
        <v>0</v>
      </c>
      <c r="M315" s="192" t="str">
        <f t="shared" si="63"/>
        <v>7100/2520</v>
      </c>
      <c r="N315" s="76"/>
      <c r="O315" s="77"/>
      <c r="P315" s="57"/>
      <c r="Q315" s="31"/>
    </row>
    <row r="316" spans="1:17" x14ac:dyDescent="0.2">
      <c r="A316" s="315"/>
      <c r="B316" s="110" t="s">
        <v>925</v>
      </c>
      <c r="C316" s="352">
        <f>TrialBalance!C316</f>
        <v>0</v>
      </c>
      <c r="D316" s="357"/>
      <c r="E316" s="348"/>
      <c r="F316" s="86">
        <f t="shared" si="60"/>
        <v>0</v>
      </c>
      <c r="G316" s="53">
        <f>SUMIF(JournalsB!D$14:D$920,TrialBalanceB!M316,JournalsB!J$14:J$920)+SUMIF(JournalsB!E$14:E$920,TrialBalanceB!M316,JournalsB!J$14:J$920)</f>
        <v>0</v>
      </c>
      <c r="H316" s="363"/>
      <c r="I316" s="365">
        <f t="shared" si="61"/>
        <v>0</v>
      </c>
      <c r="J316" s="81"/>
      <c r="K316" s="54">
        <f t="shared" si="62"/>
        <v>0</v>
      </c>
      <c r="M316" s="192" t="str">
        <f t="shared" si="63"/>
        <v>7100/2530</v>
      </c>
      <c r="N316" s="76"/>
      <c r="O316" s="77"/>
      <c r="P316" s="57"/>
      <c r="Q316" s="31"/>
    </row>
    <row r="317" spans="1:17" x14ac:dyDescent="0.2">
      <c r="A317" s="315"/>
      <c r="B317" s="110" t="s">
        <v>926</v>
      </c>
      <c r="C317" s="352">
        <f>TrialBalance!C317</f>
        <v>0</v>
      </c>
      <c r="D317" s="357"/>
      <c r="E317" s="348"/>
      <c r="F317" s="86">
        <f t="shared" si="60"/>
        <v>0</v>
      </c>
      <c r="G317" s="53">
        <f>SUMIF(JournalsB!D$14:D$920,TrialBalanceB!M317,JournalsB!J$14:J$920)+SUMIF(JournalsB!E$14:E$920,TrialBalanceB!M317,JournalsB!J$14:J$920)</f>
        <v>0</v>
      </c>
      <c r="H317" s="363"/>
      <c r="I317" s="365">
        <f t="shared" si="61"/>
        <v>0</v>
      </c>
      <c r="J317" s="81"/>
      <c r="K317" s="54">
        <f t="shared" si="62"/>
        <v>0</v>
      </c>
      <c r="M317" s="192" t="str">
        <f t="shared" si="63"/>
        <v>7100/2540</v>
      </c>
      <c r="N317" s="76"/>
      <c r="O317" s="77"/>
      <c r="P317" s="57"/>
      <c r="Q317" s="31"/>
    </row>
    <row r="318" spans="1:17" x14ac:dyDescent="0.2">
      <c r="A318" s="315"/>
      <c r="B318" s="110" t="s">
        <v>927</v>
      </c>
      <c r="C318" s="352">
        <f>TrialBalance!C318</f>
        <v>0</v>
      </c>
      <c r="D318" s="357"/>
      <c r="E318" s="348"/>
      <c r="F318" s="86">
        <f>K318</f>
        <v>0</v>
      </c>
      <c r="G318" s="53">
        <f>SUMIF(JournalsB!D$14:D$920,TrialBalanceB!M318,JournalsB!J$14:J$920)+SUMIF(JournalsB!E$14:E$920,TrialBalanceB!M318,JournalsB!J$14:J$920)</f>
        <v>0</v>
      </c>
      <c r="H318" s="363"/>
      <c r="I318" s="365">
        <f>ROUND(D318-E318+G318+F318,0)</f>
        <v>0</v>
      </c>
      <c r="J318" s="81"/>
      <c r="K318" s="54">
        <f>ROUND(SUM(A318),0)</f>
        <v>0</v>
      </c>
      <c r="M318" s="192" t="str">
        <f t="shared" si="63"/>
        <v>7100/2550</v>
      </c>
      <c r="N318" s="76"/>
      <c r="O318" s="77"/>
      <c r="P318" s="57"/>
      <c r="Q318" s="31"/>
    </row>
    <row r="319" spans="1:17" x14ac:dyDescent="0.2">
      <c r="A319" s="315"/>
      <c r="B319" s="110" t="s">
        <v>914</v>
      </c>
      <c r="C319" s="318" t="s">
        <v>379</v>
      </c>
      <c r="D319" s="357"/>
      <c r="E319" s="348"/>
      <c r="F319" s="86"/>
      <c r="G319" s="53">
        <f>SUMIF(JournalsB!D$14:D$920,TrialBalanceB!M319,JournalsB!J$14:J$920)+SUMIF(JournalsB!E$14:E$920,TrialBalanceB!M319,JournalsB!J$14:J$920)</f>
        <v>0</v>
      </c>
      <c r="H319" s="363"/>
      <c r="I319" s="365">
        <f t="shared" ref="I319" si="64">ROUND(D319-E319+G319+F319,0)</f>
        <v>0</v>
      </c>
      <c r="J319" s="81"/>
      <c r="K319" s="54">
        <f t="shared" ref="K319" si="65">ROUND(SUM(A319),0)</f>
        <v>0</v>
      </c>
      <c r="M319" s="192" t="str">
        <f t="shared" ref="M319" si="66">CONCATENATE(B319,C319)</f>
        <v>7100/300OTHER INVESTMENTS</v>
      </c>
      <c r="N319" s="76"/>
      <c r="O319" s="77"/>
      <c r="P319" s="57"/>
      <c r="Q319" s="31"/>
    </row>
    <row r="320" spans="1:17" x14ac:dyDescent="0.2">
      <c r="A320" s="315"/>
      <c r="B320" s="110" t="s">
        <v>915</v>
      </c>
      <c r="C320" s="352">
        <f>TrialBalance!C320</f>
        <v>0</v>
      </c>
      <c r="D320" s="357"/>
      <c r="E320" s="348"/>
      <c r="F320" s="86">
        <f t="shared" ref="F320:F324" si="67">K320</f>
        <v>0</v>
      </c>
      <c r="G320" s="53">
        <f>SUMIF(JournalsB!D$14:D$920,TrialBalanceB!M320,JournalsB!J$14:J$920)+SUMIF(JournalsB!E$14:E$920,TrialBalanceB!M320,JournalsB!J$14:J$920)</f>
        <v>0</v>
      </c>
      <c r="H320" s="363"/>
      <c r="I320" s="365">
        <f t="shared" ref="I320:I323" si="68">ROUND(D320-E320+G320+F320,0)</f>
        <v>0</v>
      </c>
      <c r="J320" s="81"/>
      <c r="K320" s="54">
        <f t="shared" ref="K320:K323" si="69">ROUND(SUM(A320),0)</f>
        <v>0</v>
      </c>
      <c r="M320" s="192" t="str">
        <f t="shared" ref="M320:M324" si="70">CONCATENATE(B320,C320)</f>
        <v>7100/3010</v>
      </c>
      <c r="N320" s="76"/>
      <c r="O320" s="77"/>
      <c r="P320" s="57"/>
      <c r="Q320" s="31"/>
    </row>
    <row r="321" spans="1:17" x14ac:dyDescent="0.2">
      <c r="A321" s="315"/>
      <c r="B321" s="110" t="s">
        <v>916</v>
      </c>
      <c r="C321" s="352">
        <f>TrialBalance!C321</f>
        <v>0</v>
      </c>
      <c r="D321" s="357"/>
      <c r="E321" s="348"/>
      <c r="F321" s="86">
        <f t="shared" si="67"/>
        <v>0</v>
      </c>
      <c r="G321" s="53">
        <f>SUMIF(JournalsB!D$14:D$920,TrialBalanceB!M321,JournalsB!J$14:J$920)+SUMIF(JournalsB!E$14:E$920,TrialBalanceB!M321,JournalsB!J$14:J$920)</f>
        <v>0</v>
      </c>
      <c r="H321" s="363"/>
      <c r="I321" s="365">
        <f t="shared" si="68"/>
        <v>0</v>
      </c>
      <c r="J321" s="81"/>
      <c r="K321" s="54">
        <f t="shared" si="69"/>
        <v>0</v>
      </c>
      <c r="M321" s="192" t="str">
        <f t="shared" si="70"/>
        <v>7100/3020</v>
      </c>
      <c r="N321" s="76"/>
      <c r="O321" s="77"/>
      <c r="P321" s="57"/>
      <c r="Q321" s="31"/>
    </row>
    <row r="322" spans="1:17" x14ac:dyDescent="0.2">
      <c r="A322" s="315"/>
      <c r="B322" s="110" t="s">
        <v>917</v>
      </c>
      <c r="C322" s="352">
        <f>TrialBalance!C322</f>
        <v>0</v>
      </c>
      <c r="D322" s="357"/>
      <c r="E322" s="348"/>
      <c r="F322" s="86">
        <f t="shared" si="67"/>
        <v>0</v>
      </c>
      <c r="G322" s="53">
        <f>SUMIF(JournalsB!D$14:D$920,TrialBalanceB!M322,JournalsB!J$14:J$920)+SUMIF(JournalsB!E$14:E$920,TrialBalanceB!M322,JournalsB!J$14:J$920)</f>
        <v>0</v>
      </c>
      <c r="H322" s="363"/>
      <c r="I322" s="365">
        <f t="shared" si="68"/>
        <v>0</v>
      </c>
      <c r="J322" s="81"/>
      <c r="K322" s="54">
        <f t="shared" si="69"/>
        <v>0</v>
      </c>
      <c r="M322" s="192" t="str">
        <f t="shared" si="70"/>
        <v>7100/3030</v>
      </c>
      <c r="N322" s="76"/>
      <c r="O322" s="77"/>
      <c r="P322" s="57"/>
      <c r="Q322" s="31"/>
    </row>
    <row r="323" spans="1:17" x14ac:dyDescent="0.2">
      <c r="A323" s="315"/>
      <c r="B323" s="110" t="s">
        <v>918</v>
      </c>
      <c r="C323" s="352">
        <f>TrialBalance!C323</f>
        <v>0</v>
      </c>
      <c r="D323" s="357"/>
      <c r="E323" s="348"/>
      <c r="F323" s="86">
        <f t="shared" si="67"/>
        <v>0</v>
      </c>
      <c r="G323" s="53">
        <f>SUMIF(JournalsB!D$14:D$920,TrialBalanceB!M323,JournalsB!J$14:J$920)+SUMIF(JournalsB!E$14:E$920,TrialBalanceB!M323,JournalsB!J$14:J$920)</f>
        <v>0</v>
      </c>
      <c r="H323" s="363"/>
      <c r="I323" s="365">
        <f t="shared" si="68"/>
        <v>0</v>
      </c>
      <c r="J323" s="81"/>
      <c r="K323" s="54">
        <f t="shared" si="69"/>
        <v>0</v>
      </c>
      <c r="M323" s="192" t="str">
        <f t="shared" si="70"/>
        <v>7100/3040</v>
      </c>
      <c r="N323" s="76"/>
      <c r="O323" s="77"/>
      <c r="P323" s="57"/>
      <c r="Q323" s="31"/>
    </row>
    <row r="324" spans="1:17" x14ac:dyDescent="0.2">
      <c r="A324" s="315"/>
      <c r="B324" s="110" t="s">
        <v>919</v>
      </c>
      <c r="C324" s="352">
        <f>TrialBalance!C324</f>
        <v>0</v>
      </c>
      <c r="D324" s="357"/>
      <c r="E324" s="348"/>
      <c r="F324" s="86">
        <f t="shared" si="67"/>
        <v>0</v>
      </c>
      <c r="G324" s="53">
        <f>SUMIF(JournalsB!D$14:D$920,TrialBalanceB!M324,JournalsB!J$14:J$920)+SUMIF(JournalsB!E$14:E$920,TrialBalanceB!M324,JournalsB!J$14:J$920)</f>
        <v>0</v>
      </c>
      <c r="H324" s="363"/>
      <c r="I324" s="365">
        <f>ROUND(D324-E324+G324+F324,0)</f>
        <v>0</v>
      </c>
      <c r="J324" s="81"/>
      <c r="K324" s="54">
        <f>ROUND(SUM(A324),0)</f>
        <v>0</v>
      </c>
      <c r="M324" s="192" t="str">
        <f t="shared" si="70"/>
        <v>7100/3050</v>
      </c>
      <c r="N324" s="76"/>
      <c r="O324" s="77"/>
      <c r="P324" s="57"/>
      <c r="Q324" s="31"/>
    </row>
    <row r="325" spans="1:17" x14ac:dyDescent="0.2">
      <c r="A325" s="315"/>
      <c r="B325" s="60" t="s">
        <v>160</v>
      </c>
      <c r="C325" s="319" t="s">
        <v>744</v>
      </c>
      <c r="D325" s="357"/>
      <c r="E325" s="348"/>
      <c r="F325" s="86"/>
      <c r="G325" s="53">
        <f>SUMIF(JournalsB!D$14:D$920,TrialBalanceB!M325,JournalsB!J$14:J$920)+SUMIF(JournalsB!E$14:E$920,TrialBalanceB!M325,JournalsB!J$14:J$920)</f>
        <v>0</v>
      </c>
      <c r="H325" s="363"/>
      <c r="I325" s="365">
        <f t="shared" si="47"/>
        <v>0</v>
      </c>
      <c r="J325" s="81"/>
      <c r="K325" s="54">
        <f t="shared" si="51"/>
        <v>0</v>
      </c>
      <c r="M325" s="192" t="str">
        <f t="shared" si="52"/>
        <v>7450/000CONNECTED ENTITIES LOANS</v>
      </c>
      <c r="N325" s="76"/>
      <c r="O325" s="77"/>
      <c r="P325" s="57"/>
      <c r="Q325" s="31"/>
    </row>
    <row r="326" spans="1:17" x14ac:dyDescent="0.2">
      <c r="A326" s="315"/>
      <c r="B326" s="60" t="s">
        <v>160</v>
      </c>
      <c r="C326" s="319" t="s">
        <v>644</v>
      </c>
      <c r="D326" s="357"/>
      <c r="E326" s="348"/>
      <c r="F326" s="86"/>
      <c r="G326" s="53">
        <f>SUMIF(JournalsB!D$14:D$920,TrialBalanceB!M326,JournalsB!J$14:J$920)+SUMIF(JournalsB!E$14:E$920,TrialBalanceB!M326,JournalsB!J$14:J$920)</f>
        <v>0</v>
      </c>
      <c r="H326" s="363"/>
      <c r="I326" s="365">
        <f t="shared" ref="I326" si="71">ROUND(D326-E326+G326+F326,0)</f>
        <v>0</v>
      </c>
      <c r="J326" s="81"/>
      <c r="K326" s="54">
        <f t="shared" ref="K326" si="72">ROUND(SUM(A326),0)</f>
        <v>0</v>
      </c>
      <c r="M326" s="192" t="str">
        <f t="shared" ref="M326" si="73">CONCATENATE(B326,C326)</f>
        <v>7450/000Interest bearing</v>
      </c>
      <c r="N326" s="76"/>
      <c r="O326" s="77"/>
      <c r="P326" s="57"/>
      <c r="Q326" s="31"/>
    </row>
    <row r="327" spans="1:17" x14ac:dyDescent="0.2">
      <c r="A327" s="315"/>
      <c r="B327" s="60" t="s">
        <v>161</v>
      </c>
      <c r="C327" s="352">
        <f>TrialBalance!C327</f>
        <v>0</v>
      </c>
      <c r="D327" s="359"/>
      <c r="E327" s="348"/>
      <c r="F327" s="86">
        <f t="shared" si="53"/>
        <v>0</v>
      </c>
      <c r="G327" s="53">
        <f>SUMIF(JournalsB!D$14:D$920,TrialBalanceB!M327,JournalsB!J$14:J$920)+SUMIF(JournalsB!E$14:E$920,TrialBalanceB!M327,JournalsB!J$14:J$920)</f>
        <v>0</v>
      </c>
      <c r="H327" s="363"/>
      <c r="I327" s="365">
        <f t="shared" si="47"/>
        <v>0</v>
      </c>
      <c r="J327" s="81"/>
      <c r="K327" s="54">
        <f t="shared" si="51"/>
        <v>0</v>
      </c>
      <c r="M327" s="192" t="str">
        <f t="shared" si="52"/>
        <v>7450/0010</v>
      </c>
      <c r="N327" s="76"/>
      <c r="O327" s="77"/>
      <c r="P327" s="57"/>
      <c r="Q327" s="31"/>
    </row>
    <row r="328" spans="1:17" x14ac:dyDescent="0.2">
      <c r="A328" s="315"/>
      <c r="B328" s="110" t="s">
        <v>162</v>
      </c>
      <c r="C328" s="352">
        <f>TrialBalance!C328</f>
        <v>0</v>
      </c>
      <c r="D328" s="359"/>
      <c r="E328" s="348"/>
      <c r="F328" s="86">
        <f t="shared" ref="F328:F329" si="74">K328</f>
        <v>0</v>
      </c>
      <c r="G328" s="53">
        <f>SUMIF(JournalsB!D$14:D$920,TrialBalanceB!M328,JournalsB!J$14:J$920)+SUMIF(JournalsB!E$14:E$920,TrialBalanceB!M328,JournalsB!J$14:J$920)</f>
        <v>0</v>
      </c>
      <c r="H328" s="363"/>
      <c r="I328" s="365">
        <f t="shared" ref="I328:I329" si="75">ROUND(D328-E328+G328+F328,0)</f>
        <v>0</v>
      </c>
      <c r="J328" s="81"/>
      <c r="K328" s="54">
        <f t="shared" ref="K328:K329" si="76">ROUND(SUM(A328),0)</f>
        <v>0</v>
      </c>
      <c r="M328" s="192" t="str">
        <f t="shared" ref="M328:M329" si="77">CONCATENATE(B328,C328)</f>
        <v>7450/0020</v>
      </c>
      <c r="N328" s="76"/>
      <c r="O328" s="77"/>
      <c r="P328" s="57"/>
      <c r="Q328" s="31"/>
    </row>
    <row r="329" spans="1:17" x14ac:dyDescent="0.2">
      <c r="A329" s="315"/>
      <c r="B329" s="110" t="s">
        <v>163</v>
      </c>
      <c r="C329" s="352">
        <f>TrialBalance!C329</f>
        <v>0</v>
      </c>
      <c r="D329" s="359"/>
      <c r="E329" s="348"/>
      <c r="F329" s="86">
        <f t="shared" si="74"/>
        <v>0</v>
      </c>
      <c r="G329" s="53">
        <f>SUMIF(JournalsB!D$14:D$920,TrialBalanceB!M329,JournalsB!J$14:J$920)+SUMIF(JournalsB!E$14:E$920,TrialBalanceB!M329,JournalsB!J$14:J$920)</f>
        <v>0</v>
      </c>
      <c r="H329" s="363"/>
      <c r="I329" s="365">
        <f t="shared" si="75"/>
        <v>0</v>
      </c>
      <c r="J329" s="81"/>
      <c r="K329" s="54">
        <f t="shared" si="76"/>
        <v>0</v>
      </c>
      <c r="M329" s="192" t="str">
        <f t="shared" si="77"/>
        <v>7450/0030</v>
      </c>
      <c r="N329" s="76"/>
      <c r="O329" s="77"/>
      <c r="P329" s="57"/>
      <c r="Q329" s="31"/>
    </row>
    <row r="330" spans="1:17" x14ac:dyDescent="0.2">
      <c r="A330" s="315"/>
      <c r="B330" s="110" t="s">
        <v>428</v>
      </c>
      <c r="C330" s="352">
        <f>TrialBalance!C330</f>
        <v>0</v>
      </c>
      <c r="D330" s="357"/>
      <c r="E330" s="348"/>
      <c r="F330" s="86">
        <f t="shared" si="53"/>
        <v>0</v>
      </c>
      <c r="G330" s="53">
        <f>SUMIF(JournalsB!D$14:D$920,TrialBalanceB!M330,JournalsB!J$14:J$920)+SUMIF(JournalsB!E$14:E$920,TrialBalanceB!M330,JournalsB!J$14:J$920)</f>
        <v>0</v>
      </c>
      <c r="H330" s="363"/>
      <c r="I330" s="365">
        <f t="shared" si="47"/>
        <v>0</v>
      </c>
      <c r="J330" s="81"/>
      <c r="K330" s="54">
        <f t="shared" si="51"/>
        <v>0</v>
      </c>
      <c r="M330" s="192" t="str">
        <f t="shared" si="52"/>
        <v>7450/0040</v>
      </c>
      <c r="N330" s="76"/>
      <c r="O330" s="77"/>
      <c r="P330" s="57"/>
      <c r="Q330" s="31"/>
    </row>
    <row r="331" spans="1:17" x14ac:dyDescent="0.2">
      <c r="A331" s="315"/>
      <c r="B331" s="60" t="s">
        <v>160</v>
      </c>
      <c r="C331" s="319" t="s">
        <v>643</v>
      </c>
      <c r="D331" s="357"/>
      <c r="E331" s="348"/>
      <c r="F331" s="86"/>
      <c r="G331" s="53">
        <f>SUMIF(JournalsB!D$14:D$920,TrialBalanceB!M331,JournalsB!J$14:J$920)+SUMIF(JournalsB!E$14:E$920,TrialBalanceB!M331,JournalsB!J$14:J$920)</f>
        <v>0</v>
      </c>
      <c r="H331" s="363"/>
      <c r="I331" s="365">
        <f t="shared" ref="I331" si="78">ROUND(D331-E331+G331+F331,0)</f>
        <v>0</v>
      </c>
      <c r="J331" s="81"/>
      <c r="K331" s="54">
        <f t="shared" ref="K331" si="79">ROUND(SUM(A331),0)</f>
        <v>0</v>
      </c>
      <c r="M331" s="192" t="str">
        <f t="shared" ref="M331" si="80">CONCATENATE(B331,C331)</f>
        <v>7450/000Interest free</v>
      </c>
      <c r="N331" s="76"/>
      <c r="O331" s="77"/>
      <c r="P331" s="57"/>
      <c r="Q331" s="31"/>
    </row>
    <row r="332" spans="1:17" x14ac:dyDescent="0.2">
      <c r="A332" s="315"/>
      <c r="B332" s="60" t="s">
        <v>163</v>
      </c>
      <c r="C332" s="352">
        <f>TrialBalance!C332</f>
        <v>0</v>
      </c>
      <c r="D332" s="357"/>
      <c r="E332" s="348"/>
      <c r="F332" s="86">
        <f t="shared" si="53"/>
        <v>0</v>
      </c>
      <c r="G332" s="53">
        <f>SUMIF(JournalsB!D$14:D$920,TrialBalanceB!M332,JournalsB!J$14:J$920)+SUMIF(JournalsB!E$14:E$920,TrialBalanceB!M332,JournalsB!J$14:J$920)</f>
        <v>0</v>
      </c>
      <c r="H332" s="363"/>
      <c r="I332" s="365">
        <f t="shared" si="47"/>
        <v>0</v>
      </c>
      <c r="J332" s="81"/>
      <c r="K332" s="54">
        <f t="shared" si="51"/>
        <v>0</v>
      </c>
      <c r="M332" s="192" t="str">
        <f t="shared" si="52"/>
        <v>7450/0030</v>
      </c>
      <c r="N332" s="76"/>
      <c r="O332" s="77"/>
      <c r="P332" s="57"/>
      <c r="Q332" s="31"/>
    </row>
    <row r="333" spans="1:17" x14ac:dyDescent="0.2">
      <c r="A333" s="315"/>
      <c r="B333" s="60" t="s">
        <v>428</v>
      </c>
      <c r="C333" s="352">
        <f>TrialBalance!C333</f>
        <v>0</v>
      </c>
      <c r="D333" s="357"/>
      <c r="E333" s="348"/>
      <c r="F333" s="86">
        <f t="shared" ref="F333" si="81">K333</f>
        <v>0</v>
      </c>
      <c r="G333" s="53">
        <f>SUMIF(JournalsB!D$14:D$920,TrialBalanceB!M333,JournalsB!J$14:J$920)+SUMIF(JournalsB!E$14:E$920,TrialBalanceB!M333,JournalsB!J$14:J$920)</f>
        <v>0</v>
      </c>
      <c r="H333" s="363"/>
      <c r="I333" s="365">
        <f t="shared" ref="I333" si="82">ROUND(D333-E333+G333+F333,0)</f>
        <v>0</v>
      </c>
      <c r="J333" s="81"/>
      <c r="K333" s="54">
        <f t="shared" ref="K333" si="83">ROUND(SUM(A333),0)</f>
        <v>0</v>
      </c>
      <c r="M333" s="192" t="str">
        <f t="shared" ref="M333" si="84">CONCATENATE(B333,C333)</f>
        <v>7450/0040</v>
      </c>
      <c r="N333" s="76"/>
      <c r="O333" s="77"/>
      <c r="P333" s="57"/>
      <c r="Q333" s="31"/>
    </row>
    <row r="334" spans="1:17" x14ac:dyDescent="0.2">
      <c r="A334" s="315"/>
      <c r="B334" s="60" t="s">
        <v>294</v>
      </c>
      <c r="C334" s="352">
        <f>TrialBalance!C334</f>
        <v>0</v>
      </c>
      <c r="D334" s="357"/>
      <c r="E334" s="348"/>
      <c r="F334" s="86">
        <f t="shared" si="53"/>
        <v>0</v>
      </c>
      <c r="G334" s="53">
        <f>SUMIF(JournalsB!D$14:D$920,TrialBalanceB!M334,JournalsB!J$14:J$920)+SUMIF(JournalsB!E$14:E$920,TrialBalanceB!M334,JournalsB!J$14:J$920)</f>
        <v>0</v>
      </c>
      <c r="H334" s="363"/>
      <c r="I334" s="365">
        <f t="shared" si="47"/>
        <v>0</v>
      </c>
      <c r="J334" s="81"/>
      <c r="K334" s="54">
        <f t="shared" si="51"/>
        <v>0</v>
      </c>
      <c r="M334" s="192" t="str">
        <f t="shared" si="52"/>
        <v>7450/0050</v>
      </c>
      <c r="N334" s="76"/>
      <c r="O334" s="77"/>
      <c r="P334" s="57"/>
      <c r="Q334" s="31"/>
    </row>
    <row r="335" spans="1:17" x14ac:dyDescent="0.2">
      <c r="A335" s="315"/>
      <c r="B335" s="110" t="s">
        <v>760</v>
      </c>
      <c r="C335" s="352">
        <f>TrialBalance!C335</f>
        <v>0</v>
      </c>
      <c r="D335" s="357"/>
      <c r="E335" s="348"/>
      <c r="F335" s="86">
        <f t="shared" si="53"/>
        <v>0</v>
      </c>
      <c r="G335" s="53">
        <f>SUMIF(JournalsB!D$14:D$920,TrialBalanceB!M335,JournalsB!J$14:J$920)+SUMIF(JournalsB!E$14:E$920,TrialBalanceB!M335,JournalsB!J$14:J$920)</f>
        <v>0</v>
      </c>
      <c r="H335" s="363"/>
      <c r="I335" s="365">
        <f t="shared" si="47"/>
        <v>0</v>
      </c>
      <c r="J335" s="81"/>
      <c r="K335" s="54">
        <f t="shared" si="51"/>
        <v>0</v>
      </c>
      <c r="M335" s="192" t="str">
        <f t="shared" si="52"/>
        <v>7450/0060</v>
      </c>
      <c r="N335" s="76"/>
      <c r="O335" s="77"/>
      <c r="P335" s="57"/>
      <c r="Q335" s="31"/>
    </row>
    <row r="336" spans="1:17" x14ac:dyDescent="0.2">
      <c r="A336" s="315"/>
      <c r="B336" s="60" t="s">
        <v>295</v>
      </c>
      <c r="C336" s="318" t="s">
        <v>729</v>
      </c>
      <c r="D336" s="348"/>
      <c r="E336" s="348"/>
      <c r="F336" s="86"/>
      <c r="G336" s="53">
        <f>SUMIF(JournalsB!D$14:D$920,TrialBalanceB!M336,JournalsB!J$14:J$920)+SUMIF(JournalsB!E$14:E$920,TrialBalanceB!M336,JournalsB!J$14:J$920)</f>
        <v>0</v>
      </c>
      <c r="H336" s="363"/>
      <c r="I336" s="365">
        <f t="shared" si="47"/>
        <v>0</v>
      </c>
      <c r="J336" s="81"/>
      <c r="K336" s="54">
        <f t="shared" si="51"/>
        <v>0</v>
      </c>
      <c r="M336" s="192" t="str">
        <f t="shared" si="52"/>
        <v>7460/000OTHER NON - CURRENT RECEIVABLES</v>
      </c>
      <c r="N336" s="76"/>
      <c r="O336" s="77"/>
      <c r="P336" s="57"/>
      <c r="Q336" s="31"/>
    </row>
    <row r="337" spans="1:17" x14ac:dyDescent="0.2">
      <c r="A337" s="315"/>
      <c r="B337" s="60" t="s">
        <v>295</v>
      </c>
      <c r="C337" s="318" t="s">
        <v>644</v>
      </c>
      <c r="D337" s="348"/>
      <c r="E337" s="348"/>
      <c r="F337" s="86"/>
      <c r="G337" s="53">
        <f>SUMIF(JournalsB!D$14:D$920,TrialBalanceB!M337,JournalsB!J$14:J$920)+SUMIF(JournalsB!E$14:E$920,TrialBalanceB!M337,JournalsB!J$14:J$920)</f>
        <v>0</v>
      </c>
      <c r="H337" s="363"/>
      <c r="I337" s="365">
        <f t="shared" ref="I337" si="85">ROUND(D337-E337+G337+F337,0)</f>
        <v>0</v>
      </c>
      <c r="J337" s="81"/>
      <c r="K337" s="54">
        <f t="shared" ref="K337" si="86">ROUND(SUM(A337),0)</f>
        <v>0</v>
      </c>
      <c r="M337" s="192" t="str">
        <f t="shared" ref="M337" si="87">CONCATENATE(B337,C337)</f>
        <v>7460/000Interest bearing</v>
      </c>
      <c r="N337" s="76"/>
      <c r="O337" s="77"/>
      <c r="P337" s="57"/>
      <c r="Q337" s="31"/>
    </row>
    <row r="338" spans="1:17" x14ac:dyDescent="0.2">
      <c r="A338" s="315"/>
      <c r="B338" s="60" t="s">
        <v>297</v>
      </c>
      <c r="C338" s="352">
        <f>TrialBalance!C338</f>
        <v>0</v>
      </c>
      <c r="D338" s="356"/>
      <c r="E338" s="348"/>
      <c r="F338" s="86">
        <f t="shared" si="53"/>
        <v>0</v>
      </c>
      <c r="G338" s="53">
        <f>SUMIF(JournalsB!D$14:D$920,TrialBalanceB!M338,JournalsB!J$14:J$920)+SUMIF(JournalsB!E$14:E$920,TrialBalanceB!M338,JournalsB!J$14:J$920)</f>
        <v>0</v>
      </c>
      <c r="H338" s="363"/>
      <c r="I338" s="365">
        <f t="shared" si="47"/>
        <v>0</v>
      </c>
      <c r="J338" s="81"/>
      <c r="K338" s="54">
        <f t="shared" si="51"/>
        <v>0</v>
      </c>
      <c r="M338" s="192" t="str">
        <f t="shared" si="52"/>
        <v>7460/0010</v>
      </c>
      <c r="N338" s="76"/>
      <c r="O338" s="77"/>
      <c r="P338" s="57"/>
      <c r="Q338" s="31"/>
    </row>
    <row r="339" spans="1:17" x14ac:dyDescent="0.2">
      <c r="A339" s="315"/>
      <c r="B339" s="60" t="s">
        <v>298</v>
      </c>
      <c r="C339" s="352">
        <f>TrialBalance!C339</f>
        <v>0</v>
      </c>
      <c r="D339" s="356"/>
      <c r="E339" s="348"/>
      <c r="F339" s="86">
        <f t="shared" ref="F339" si="88">K339</f>
        <v>0</v>
      </c>
      <c r="G339" s="53">
        <f>SUMIF(JournalsB!D$14:D$920,TrialBalanceB!M339,JournalsB!J$14:J$920)+SUMIF(JournalsB!E$14:E$920,TrialBalanceB!M339,JournalsB!J$14:J$920)</f>
        <v>0</v>
      </c>
      <c r="H339" s="363"/>
      <c r="I339" s="365">
        <f t="shared" ref="I339" si="89">ROUND(D339-E339+G339+F339,0)</f>
        <v>0</v>
      </c>
      <c r="J339" s="81"/>
      <c r="K339" s="54">
        <f t="shared" ref="K339" si="90">ROUND(SUM(A339),0)</f>
        <v>0</v>
      </c>
      <c r="M339" s="192" t="str">
        <f t="shared" ref="M339" si="91">CONCATENATE(B339,C339)</f>
        <v>7460/0020</v>
      </c>
      <c r="N339" s="76"/>
      <c r="O339" s="77"/>
      <c r="P339" s="57"/>
      <c r="Q339" s="31"/>
    </row>
    <row r="340" spans="1:17" x14ac:dyDescent="0.2">
      <c r="A340" s="315"/>
      <c r="B340" s="60" t="s">
        <v>299</v>
      </c>
      <c r="C340" s="352">
        <f>TrialBalance!C340</f>
        <v>0</v>
      </c>
      <c r="D340" s="357"/>
      <c r="E340" s="348"/>
      <c r="F340" s="86">
        <f t="shared" si="53"/>
        <v>0</v>
      </c>
      <c r="G340" s="53">
        <f>SUMIF(JournalsB!D$14:D$920,TrialBalanceB!M340,JournalsB!J$14:J$920)+SUMIF(JournalsB!E$14:E$920,TrialBalanceB!M340,JournalsB!J$14:J$920)</f>
        <v>0</v>
      </c>
      <c r="H340" s="363"/>
      <c r="I340" s="365">
        <f t="shared" si="47"/>
        <v>0</v>
      </c>
      <c r="J340" s="81"/>
      <c r="K340" s="54">
        <f t="shared" si="51"/>
        <v>0</v>
      </c>
      <c r="M340" s="192" t="str">
        <f t="shared" si="52"/>
        <v>7460/0030</v>
      </c>
      <c r="N340" s="76"/>
      <c r="O340" s="77"/>
      <c r="P340" s="57"/>
      <c r="Q340" s="31"/>
    </row>
    <row r="341" spans="1:17" x14ac:dyDescent="0.2">
      <c r="A341" s="315"/>
      <c r="B341" s="110" t="s">
        <v>611</v>
      </c>
      <c r="C341" s="352">
        <f>TrialBalance!C341</f>
        <v>0</v>
      </c>
      <c r="D341" s="357"/>
      <c r="E341" s="348"/>
      <c r="F341" s="86">
        <f t="shared" si="53"/>
        <v>0</v>
      </c>
      <c r="G341" s="53">
        <f>SUMIF(JournalsB!D$14:D$920,TrialBalanceB!M341,JournalsB!J$14:J$920)+SUMIF(JournalsB!E$14:E$920,TrialBalanceB!M341,JournalsB!J$14:J$920)</f>
        <v>0</v>
      </c>
      <c r="H341" s="363"/>
      <c r="I341" s="365">
        <f t="shared" si="47"/>
        <v>0</v>
      </c>
      <c r="J341" s="81"/>
      <c r="K341" s="54">
        <f t="shared" si="51"/>
        <v>0</v>
      </c>
      <c r="M341" s="192" t="str">
        <f t="shared" si="52"/>
        <v>7460/0040</v>
      </c>
      <c r="N341" s="76"/>
      <c r="O341" s="77"/>
      <c r="P341" s="57"/>
      <c r="Q341" s="31"/>
    </row>
    <row r="342" spans="1:17" x14ac:dyDescent="0.2">
      <c r="A342" s="315"/>
      <c r="B342" s="60" t="s">
        <v>295</v>
      </c>
      <c r="C342" s="319" t="s">
        <v>643</v>
      </c>
      <c r="D342" s="357"/>
      <c r="E342" s="348"/>
      <c r="F342" s="86"/>
      <c r="G342" s="53">
        <f>SUMIF(JournalsB!D$14:D$920,TrialBalanceB!M342,JournalsB!J$14:J$920)+SUMIF(JournalsB!E$14:E$920,TrialBalanceB!M342,JournalsB!J$14:J$920)</f>
        <v>0</v>
      </c>
      <c r="H342" s="363"/>
      <c r="I342" s="365">
        <f t="shared" ref="I342" si="92">ROUND(D342-E342+G342+F342,0)</f>
        <v>0</v>
      </c>
      <c r="J342" s="81"/>
      <c r="K342" s="54">
        <f t="shared" ref="K342" si="93">ROUND(SUM(A342),0)</f>
        <v>0</v>
      </c>
      <c r="M342" s="192" t="str">
        <f t="shared" ref="M342" si="94">CONCATENATE(B342,C342)</f>
        <v>7460/000Interest free</v>
      </c>
      <c r="N342" s="76"/>
      <c r="O342" s="77"/>
      <c r="P342" s="57"/>
      <c r="Q342" s="31"/>
    </row>
    <row r="343" spans="1:17" x14ac:dyDescent="0.2">
      <c r="A343" s="315"/>
      <c r="B343" s="110" t="s">
        <v>611</v>
      </c>
      <c r="C343" s="352">
        <f>TrialBalance!C343</f>
        <v>0</v>
      </c>
      <c r="D343" s="357"/>
      <c r="E343" s="348"/>
      <c r="F343" s="86">
        <f t="shared" si="53"/>
        <v>0</v>
      </c>
      <c r="G343" s="53">
        <f>SUMIF(JournalsB!D$14:D$920,TrialBalanceB!M343,JournalsB!J$14:J$920)+SUMIF(JournalsB!E$14:E$920,TrialBalanceB!M343,JournalsB!J$14:J$920)</f>
        <v>0</v>
      </c>
      <c r="H343" s="363"/>
      <c r="I343" s="365">
        <f t="shared" si="47"/>
        <v>0</v>
      </c>
      <c r="J343" s="81"/>
      <c r="K343" s="54">
        <f t="shared" si="51"/>
        <v>0</v>
      </c>
      <c r="M343" s="192" t="str">
        <f t="shared" si="52"/>
        <v>7460/0040</v>
      </c>
      <c r="N343" s="76"/>
      <c r="O343" s="77"/>
      <c r="P343" s="57"/>
      <c r="Q343" s="31"/>
    </row>
    <row r="344" spans="1:17" x14ac:dyDescent="0.2">
      <c r="A344" s="315"/>
      <c r="B344" s="110" t="s">
        <v>612</v>
      </c>
      <c r="C344" s="352">
        <f>TrialBalance!C344</f>
        <v>0</v>
      </c>
      <c r="D344" s="357"/>
      <c r="E344" s="348"/>
      <c r="F344" s="86">
        <f t="shared" si="53"/>
        <v>0</v>
      </c>
      <c r="G344" s="53">
        <f>SUMIF(JournalsB!D$14:D$920,TrialBalanceB!M344,JournalsB!J$14:J$920)+SUMIF(JournalsB!E$14:E$920,TrialBalanceB!M344,JournalsB!J$14:J$920)</f>
        <v>0</v>
      </c>
      <c r="H344" s="363"/>
      <c r="I344" s="365">
        <f t="shared" si="47"/>
        <v>0</v>
      </c>
      <c r="J344" s="81"/>
      <c r="K344" s="54">
        <f t="shared" si="51"/>
        <v>0</v>
      </c>
      <c r="M344" s="192" t="str">
        <f t="shared" si="52"/>
        <v>7460/0050</v>
      </c>
      <c r="N344" s="76"/>
      <c r="O344" s="77"/>
      <c r="P344" s="57"/>
      <c r="Q344" s="31"/>
    </row>
    <row r="345" spans="1:17" x14ac:dyDescent="0.2">
      <c r="A345" s="315"/>
      <c r="B345" s="110" t="s">
        <v>300</v>
      </c>
      <c r="C345" s="352">
        <f>TrialBalance!C345</f>
        <v>0</v>
      </c>
      <c r="D345" s="357"/>
      <c r="E345" s="348"/>
      <c r="F345" s="86">
        <f>K345</f>
        <v>0</v>
      </c>
      <c r="G345" s="53">
        <f>SUMIF(JournalsB!D$14:D$920,TrialBalanceB!M345,JournalsB!J$14:J$920)+SUMIF(JournalsB!E$14:E$920,TrialBalanceB!M345,JournalsB!J$14:J$920)</f>
        <v>0</v>
      </c>
      <c r="H345" s="363"/>
      <c r="I345" s="365">
        <f t="shared" si="47"/>
        <v>0</v>
      </c>
      <c r="J345" s="81"/>
      <c r="K345" s="54">
        <f t="shared" si="51"/>
        <v>0</v>
      </c>
      <c r="M345" s="192" t="str">
        <f t="shared" si="52"/>
        <v>7460/0060</v>
      </c>
      <c r="N345" s="76"/>
      <c r="O345" s="77"/>
      <c r="P345" s="57"/>
      <c r="Q345" s="31"/>
    </row>
    <row r="346" spans="1:17" x14ac:dyDescent="0.2">
      <c r="A346" s="315"/>
      <c r="B346" s="110" t="s">
        <v>301</v>
      </c>
      <c r="C346" s="352">
        <f>TrialBalance!C346</f>
        <v>0</v>
      </c>
      <c r="D346" s="357"/>
      <c r="E346" s="348"/>
      <c r="F346" s="86">
        <f>K346</f>
        <v>0</v>
      </c>
      <c r="G346" s="53">
        <f>SUMIF(JournalsB!D$14:D$920,TrialBalanceB!M346,JournalsB!J$14:J$920)+SUMIF(JournalsB!E$14:E$920,TrialBalanceB!M346,JournalsB!J$14:J$920)</f>
        <v>0</v>
      </c>
      <c r="H346" s="363"/>
      <c r="I346" s="365">
        <f t="shared" si="47"/>
        <v>0</v>
      </c>
      <c r="J346" s="81"/>
      <c r="K346" s="54">
        <f t="shared" si="51"/>
        <v>0</v>
      </c>
      <c r="M346" s="192" t="str">
        <f t="shared" si="52"/>
        <v>7460/0070</v>
      </c>
      <c r="N346" s="76"/>
      <c r="O346" s="77"/>
      <c r="P346" s="57"/>
      <c r="Q346" s="31"/>
    </row>
    <row r="347" spans="1:17" x14ac:dyDescent="0.2">
      <c r="A347" s="315"/>
      <c r="B347" s="110" t="s">
        <v>485</v>
      </c>
      <c r="C347" s="352">
        <f>TrialBalance!C347</f>
        <v>0</v>
      </c>
      <c r="D347" s="357"/>
      <c r="E347" s="348"/>
      <c r="F347" s="86">
        <f>K347</f>
        <v>0</v>
      </c>
      <c r="G347" s="53">
        <f>SUMIF(JournalsB!D$14:D$920,TrialBalanceB!M347,JournalsB!J$14:J$920)+SUMIF(JournalsB!E$14:E$920,TrialBalanceB!M347,JournalsB!J$14:J$920)</f>
        <v>0</v>
      </c>
      <c r="H347" s="363"/>
      <c r="I347" s="365">
        <f t="shared" si="47"/>
        <v>0</v>
      </c>
      <c r="J347" s="81"/>
      <c r="K347" s="54">
        <f t="shared" si="51"/>
        <v>0</v>
      </c>
      <c r="M347" s="192" t="str">
        <f t="shared" si="52"/>
        <v>7460/0080</v>
      </c>
      <c r="N347" s="76"/>
      <c r="O347" s="77"/>
      <c r="P347" s="57"/>
      <c r="Q347" s="31"/>
    </row>
    <row r="348" spans="1:17" x14ac:dyDescent="0.2">
      <c r="A348" s="315"/>
      <c r="B348" s="110" t="s">
        <v>929</v>
      </c>
      <c r="C348" s="318" t="s">
        <v>930</v>
      </c>
      <c r="D348" s="357"/>
      <c r="E348" s="348"/>
      <c r="F348" s="86"/>
      <c r="G348" s="53">
        <f>SUMIF(JournalsB!D$14:D$920,TrialBalanceB!M348,JournalsB!J$14:J$920)+SUMIF(JournalsB!E$14:E$920,TrialBalanceB!M348,JournalsB!J$14:J$920)</f>
        <v>0</v>
      </c>
      <c r="H348" s="363"/>
      <c r="I348" s="365">
        <f t="shared" ref="I348:I350" si="95">ROUND(D348-E348+G348+F348,0)</f>
        <v>0</v>
      </c>
      <c r="J348" s="81"/>
      <c r="K348" s="54">
        <f t="shared" ref="K348:K350" si="96">ROUND(SUM(A348),0)</f>
        <v>0</v>
      </c>
      <c r="M348" s="192" t="str">
        <f t="shared" ref="M348:M351" si="97">CONCATENATE(B348,C348)</f>
        <v>7480/000NET CAPITAL OF BUSINESS</v>
      </c>
      <c r="N348" s="76"/>
      <c r="O348" s="77"/>
      <c r="P348" s="57"/>
      <c r="Q348" s="31"/>
    </row>
    <row r="349" spans="1:17" x14ac:dyDescent="0.2">
      <c r="A349" s="315"/>
      <c r="B349" s="110" t="s">
        <v>931</v>
      </c>
      <c r="C349" s="352">
        <f>TrialBalance!C349</f>
        <v>0</v>
      </c>
      <c r="D349" s="357"/>
      <c r="E349" s="348"/>
      <c r="F349" s="86">
        <f t="shared" ref="F349:F350" si="98">K349</f>
        <v>0</v>
      </c>
      <c r="G349" s="53">
        <f>SUMIF(JournalsB!D$14:D$920,TrialBalanceB!M349,JournalsB!J$14:J$920)+SUMIF(JournalsB!E$14:E$920,TrialBalanceB!M349,JournalsB!J$14:J$920)</f>
        <v>0</v>
      </c>
      <c r="H349" s="363"/>
      <c r="I349" s="365">
        <f t="shared" si="95"/>
        <v>0</v>
      </c>
      <c r="J349" s="81"/>
      <c r="K349" s="54">
        <f t="shared" si="96"/>
        <v>0</v>
      </c>
      <c r="M349" s="192" t="str">
        <f t="shared" si="97"/>
        <v>7480/0010</v>
      </c>
      <c r="N349" s="76"/>
      <c r="O349" s="77"/>
      <c r="P349" s="57"/>
      <c r="Q349" s="31"/>
    </row>
    <row r="350" spans="1:17" x14ac:dyDescent="0.2">
      <c r="A350" s="315"/>
      <c r="B350" s="110" t="s">
        <v>932</v>
      </c>
      <c r="C350" s="352">
        <f>TrialBalance!C350</f>
        <v>0</v>
      </c>
      <c r="D350" s="357"/>
      <c r="E350" s="348"/>
      <c r="F350" s="86">
        <f t="shared" si="98"/>
        <v>0</v>
      </c>
      <c r="G350" s="53">
        <f>SUMIF(JournalsB!D$14:D$920,TrialBalanceB!M350,JournalsB!J$14:J$920)+SUMIF(JournalsB!E$14:E$920,TrialBalanceB!M350,JournalsB!J$14:J$920)</f>
        <v>0</v>
      </c>
      <c r="H350" s="363"/>
      <c r="I350" s="365">
        <f t="shared" si="95"/>
        <v>0</v>
      </c>
      <c r="J350" s="81"/>
      <c r="K350" s="54">
        <f t="shared" si="96"/>
        <v>0</v>
      </c>
      <c r="M350" s="192" t="str">
        <f t="shared" si="97"/>
        <v>7480/0020</v>
      </c>
      <c r="N350" s="76"/>
      <c r="O350" s="77"/>
      <c r="P350" s="57"/>
      <c r="Q350" s="31"/>
    </row>
    <row r="351" spans="1:17" x14ac:dyDescent="0.2">
      <c r="A351" s="315"/>
      <c r="B351" s="110" t="s">
        <v>933</v>
      </c>
      <c r="C351" s="352">
        <f>TrialBalance!C351</f>
        <v>0</v>
      </c>
      <c r="D351" s="357"/>
      <c r="E351" s="348"/>
      <c r="F351" s="86">
        <f>K351</f>
        <v>0</v>
      </c>
      <c r="G351" s="53">
        <f>SUMIF(JournalsB!D$14:D$920,TrialBalanceB!M351,JournalsB!J$14:J$920)+SUMIF(JournalsB!E$14:E$920,TrialBalanceB!M351,JournalsB!J$14:J$920)</f>
        <v>0</v>
      </c>
      <c r="H351" s="363"/>
      <c r="I351" s="365">
        <f>ROUND(D351-E351+G351+F351,0)</f>
        <v>0</v>
      </c>
      <c r="J351" s="81"/>
      <c r="K351" s="54">
        <f>ROUND(SUM(A351),0)</f>
        <v>0</v>
      </c>
      <c r="M351" s="192" t="str">
        <f t="shared" si="97"/>
        <v>7480/0030</v>
      </c>
      <c r="N351" s="76"/>
      <c r="O351" s="77"/>
      <c r="P351" s="57"/>
      <c r="Q351" s="31"/>
    </row>
    <row r="352" spans="1:17" x14ac:dyDescent="0.2">
      <c r="A352" s="315"/>
      <c r="B352" s="60" t="s">
        <v>423</v>
      </c>
      <c r="C352" s="316" t="s">
        <v>55</v>
      </c>
      <c r="D352" s="358"/>
      <c r="E352" s="348"/>
      <c r="F352" s="86"/>
      <c r="G352" s="53">
        <f>SUMIF(JournalsB!D$14:D$920,TrialBalanceB!M352,JournalsB!J$14:J$920)+SUMIF(JournalsB!E$14:E$920,TrialBalanceB!M352,JournalsB!J$14:J$920)</f>
        <v>0</v>
      </c>
      <c r="H352" s="363"/>
      <c r="I352" s="365">
        <f t="shared" si="47"/>
        <v>0</v>
      </c>
      <c r="J352" s="81"/>
      <c r="K352" s="54">
        <f t="shared" si="51"/>
        <v>0</v>
      </c>
      <c r="M352" s="192" t="str">
        <f t="shared" si="52"/>
        <v>7500/000INVENTORY</v>
      </c>
      <c r="N352" s="76"/>
      <c r="O352" s="77"/>
      <c r="P352" s="57"/>
      <c r="Q352" s="31"/>
    </row>
    <row r="353" spans="1:17" x14ac:dyDescent="0.2">
      <c r="A353" s="315"/>
      <c r="B353" s="60" t="s">
        <v>424</v>
      </c>
      <c r="C353" s="317" t="s">
        <v>425</v>
      </c>
      <c r="D353" s="357"/>
      <c r="E353" s="348"/>
      <c r="F353" s="86">
        <f t="shared" si="53"/>
        <v>0</v>
      </c>
      <c r="G353" s="53">
        <f>SUMIF(JournalsB!D$14:D$920,TrialBalanceB!M353,JournalsB!J$14:J$920)+SUMIF(JournalsB!E$14:E$920,TrialBalanceB!M353,JournalsB!J$14:J$920)</f>
        <v>0</v>
      </c>
      <c r="H353" s="363"/>
      <c r="I353" s="365">
        <f t="shared" si="47"/>
        <v>0</v>
      </c>
      <c r="J353" s="81"/>
      <c r="K353" s="54">
        <f t="shared" si="51"/>
        <v>0</v>
      </c>
      <c r="M353" s="192" t="str">
        <f t="shared" si="52"/>
        <v>7500/001Raw materials</v>
      </c>
      <c r="N353" s="76"/>
      <c r="O353" s="77"/>
      <c r="P353" s="57"/>
      <c r="Q353" s="31"/>
    </row>
    <row r="354" spans="1:17" x14ac:dyDescent="0.2">
      <c r="A354" s="315"/>
      <c r="B354" s="60" t="s">
        <v>22</v>
      </c>
      <c r="C354" s="317" t="s">
        <v>23</v>
      </c>
      <c r="D354" s="357"/>
      <c r="E354" s="348"/>
      <c r="F354" s="86">
        <f t="shared" si="53"/>
        <v>0</v>
      </c>
      <c r="G354" s="53">
        <f>SUMIF(JournalsB!D$14:D$920,TrialBalanceB!M354,JournalsB!J$14:J$920)+SUMIF(JournalsB!E$14:E$920,TrialBalanceB!M354,JournalsB!J$14:J$920)</f>
        <v>0</v>
      </c>
      <c r="H354" s="363"/>
      <c r="I354" s="365">
        <f t="shared" ref="I354:I397" si="99">ROUND(D354-E354+G354+F354,0)</f>
        <v>0</v>
      </c>
      <c r="J354" s="81"/>
      <c r="K354" s="54">
        <f t="shared" si="51"/>
        <v>0</v>
      </c>
      <c r="M354" s="192" t="str">
        <f t="shared" si="52"/>
        <v>7500/002Work in progress</v>
      </c>
      <c r="N354" s="76"/>
      <c r="O354" s="77"/>
      <c r="P354" s="57"/>
      <c r="Q354" s="31"/>
    </row>
    <row r="355" spans="1:17" x14ac:dyDescent="0.2">
      <c r="A355" s="315"/>
      <c r="B355" s="60" t="s">
        <v>24</v>
      </c>
      <c r="C355" s="317" t="s">
        <v>25</v>
      </c>
      <c r="D355" s="357"/>
      <c r="E355" s="348"/>
      <c r="F355" s="86">
        <f t="shared" si="53"/>
        <v>0</v>
      </c>
      <c r="G355" s="53">
        <f>SUMIF(JournalsB!D$14:D$920,TrialBalanceB!M355,JournalsB!J$14:J$920)+SUMIF(JournalsB!E$14:E$920,TrialBalanceB!M355,JournalsB!J$14:J$920)</f>
        <v>0</v>
      </c>
      <c r="H355" s="363"/>
      <c r="I355" s="365">
        <f t="shared" si="99"/>
        <v>0</v>
      </c>
      <c r="J355" s="81"/>
      <c r="K355" s="54">
        <f t="shared" si="51"/>
        <v>0</v>
      </c>
      <c r="M355" s="192" t="str">
        <f t="shared" si="52"/>
        <v>7500/003Finished goods</v>
      </c>
      <c r="N355" s="76"/>
      <c r="O355" s="77"/>
      <c r="P355" s="57"/>
      <c r="Q355" s="31"/>
    </row>
    <row r="356" spans="1:17" x14ac:dyDescent="0.2">
      <c r="A356" s="315"/>
      <c r="B356" s="60" t="s">
        <v>28</v>
      </c>
      <c r="C356" s="317" t="s">
        <v>29</v>
      </c>
      <c r="D356" s="357"/>
      <c r="E356" s="348"/>
      <c r="F356" s="86">
        <f t="shared" si="53"/>
        <v>0</v>
      </c>
      <c r="G356" s="53">
        <f>SUMIF(JournalsB!D$14:D$920,TrialBalanceB!M356,JournalsB!J$14:J$920)+SUMIF(JournalsB!E$14:E$920,TrialBalanceB!M356,JournalsB!J$14:J$920)</f>
        <v>0</v>
      </c>
      <c r="H356" s="363"/>
      <c r="I356" s="365">
        <f t="shared" si="99"/>
        <v>0</v>
      </c>
      <c r="J356" s="81"/>
      <c r="K356" s="54">
        <f t="shared" si="51"/>
        <v>0</v>
      </c>
      <c r="M356" s="192" t="str">
        <f t="shared" si="52"/>
        <v>7500/004Trading stock</v>
      </c>
      <c r="N356" s="76"/>
      <c r="O356" s="77"/>
      <c r="P356" s="57"/>
      <c r="Q356" s="31"/>
    </row>
    <row r="357" spans="1:17" x14ac:dyDescent="0.2">
      <c r="A357" s="315"/>
      <c r="B357" s="60" t="s">
        <v>31</v>
      </c>
      <c r="C357" s="316" t="s">
        <v>32</v>
      </c>
      <c r="D357" s="358"/>
      <c r="E357" s="348"/>
      <c r="F357" s="86"/>
      <c r="G357" s="53">
        <f>SUMIF(JournalsB!D$14:D$920,TrialBalanceB!M357,JournalsB!J$14:J$920)+SUMIF(JournalsB!E$14:E$920,TrialBalanceB!M357,JournalsB!J$14:J$920)</f>
        <v>0</v>
      </c>
      <c r="H357" s="363"/>
      <c r="I357" s="365">
        <f t="shared" si="99"/>
        <v>0</v>
      </c>
      <c r="J357" s="81"/>
      <c r="K357" s="54">
        <f t="shared" si="51"/>
        <v>0</v>
      </c>
      <c r="M357" s="192" t="str">
        <f t="shared" si="52"/>
        <v>8000/000DEBTORS</v>
      </c>
      <c r="N357" s="76"/>
      <c r="O357" s="77"/>
      <c r="P357" s="57"/>
      <c r="Q357" s="31"/>
    </row>
    <row r="358" spans="1:17" x14ac:dyDescent="0.2">
      <c r="A358" s="315"/>
      <c r="B358" s="60" t="s">
        <v>33</v>
      </c>
      <c r="C358" s="317" t="s">
        <v>34</v>
      </c>
      <c r="D358" s="357"/>
      <c r="E358" s="348"/>
      <c r="F358" s="86">
        <f t="shared" si="53"/>
        <v>0</v>
      </c>
      <c r="G358" s="53">
        <f>SUMIF(JournalsB!D$14:D$920,TrialBalanceB!M358,JournalsB!J$14:J$920)+SUMIF(JournalsB!E$14:E$920,TrialBalanceB!M358,JournalsB!J$14:J$920)</f>
        <v>0</v>
      </c>
      <c r="H358" s="363"/>
      <c r="I358" s="365">
        <f t="shared" si="99"/>
        <v>0</v>
      </c>
      <c r="J358" s="81"/>
      <c r="K358" s="54">
        <f t="shared" si="51"/>
        <v>0</v>
      </c>
      <c r="M358" s="192" t="str">
        <f t="shared" si="52"/>
        <v>8010/000Trade debtors</v>
      </c>
      <c r="N358" s="76"/>
      <c r="O358" s="77"/>
      <c r="P358" s="57"/>
      <c r="Q358" s="31"/>
    </row>
    <row r="359" spans="1:17" x14ac:dyDescent="0.2">
      <c r="A359" s="315"/>
      <c r="B359" s="110" t="s">
        <v>35</v>
      </c>
      <c r="C359" s="319" t="s">
        <v>561</v>
      </c>
      <c r="D359" s="357"/>
      <c r="E359" s="348"/>
      <c r="F359" s="86">
        <f t="shared" si="53"/>
        <v>0</v>
      </c>
      <c r="G359" s="53">
        <f>SUMIF(JournalsB!D$14:D$920,TrialBalanceB!M359,JournalsB!J$14:J$920)+SUMIF(JournalsB!E$14:E$920,TrialBalanceB!M359,JournalsB!J$14:J$920)</f>
        <v>0</v>
      </c>
      <c r="H359" s="363"/>
      <c r="I359" s="365">
        <f t="shared" si="99"/>
        <v>0</v>
      </c>
      <c r="J359" s="81"/>
      <c r="K359" s="54">
        <f t="shared" si="51"/>
        <v>0</v>
      </c>
      <c r="M359" s="192" t="str">
        <f t="shared" si="52"/>
        <v>8020/000Less: Provision for doubtful debts</v>
      </c>
      <c r="N359" s="76"/>
      <c r="O359" s="77"/>
      <c r="P359" s="57"/>
      <c r="Q359" s="31"/>
    </row>
    <row r="360" spans="1:17" x14ac:dyDescent="0.2">
      <c r="A360" s="315"/>
      <c r="B360" s="110" t="s">
        <v>563</v>
      </c>
      <c r="C360" s="317" t="s">
        <v>327</v>
      </c>
      <c r="D360" s="357"/>
      <c r="E360" s="348"/>
      <c r="F360" s="86">
        <f t="shared" si="53"/>
        <v>0</v>
      </c>
      <c r="G360" s="53">
        <f>SUMIF(JournalsB!D$14:D$920,TrialBalanceB!M360,JournalsB!J$14:J$920)+SUMIF(JournalsB!E$14:E$920,TrialBalanceB!M360,JournalsB!J$14:J$920)</f>
        <v>0</v>
      </c>
      <c r="H360" s="363"/>
      <c r="I360" s="365">
        <f t="shared" si="99"/>
        <v>0</v>
      </c>
      <c r="J360" s="81"/>
      <c r="K360" s="54">
        <f t="shared" si="51"/>
        <v>0</v>
      </c>
      <c r="M360" s="192" t="str">
        <f t="shared" si="52"/>
        <v>8030/000Service deposits</v>
      </c>
      <c r="N360" s="76"/>
      <c r="O360" s="77"/>
      <c r="P360" s="57"/>
      <c r="Q360" s="31"/>
    </row>
    <row r="361" spans="1:17" x14ac:dyDescent="0.2">
      <c r="A361" s="315"/>
      <c r="B361" s="60" t="s">
        <v>476</v>
      </c>
      <c r="C361" s="319" t="s">
        <v>801</v>
      </c>
      <c r="D361" s="357"/>
      <c r="E361" s="348"/>
      <c r="F361" s="86">
        <f t="shared" si="53"/>
        <v>0</v>
      </c>
      <c r="G361" s="53">
        <f>SUMIF(JournalsB!D$14:D$920,TrialBalanceB!M361,JournalsB!J$14:J$920)+SUMIF(JournalsB!E$14:E$920,TrialBalanceB!M361,JournalsB!J$14:J$920)</f>
        <v>0</v>
      </c>
      <c r="H361" s="363"/>
      <c r="I361" s="365">
        <f t="shared" si="99"/>
        <v>0</v>
      </c>
      <c r="J361" s="81"/>
      <c r="K361" s="54">
        <f t="shared" si="51"/>
        <v>0</v>
      </c>
      <c r="M361" s="192" t="str">
        <f t="shared" si="52"/>
        <v>8200/000Sundry customers</v>
      </c>
      <c r="N361" s="76"/>
      <c r="O361" s="77"/>
      <c r="P361" s="57"/>
      <c r="Q361" s="31"/>
    </row>
    <row r="362" spans="1:17" x14ac:dyDescent="0.2">
      <c r="A362" s="315"/>
      <c r="B362" s="60" t="s">
        <v>477</v>
      </c>
      <c r="C362" s="317" t="s">
        <v>382</v>
      </c>
      <c r="D362" s="357"/>
      <c r="E362" s="348"/>
      <c r="F362" s="86">
        <f t="shared" si="53"/>
        <v>0</v>
      </c>
      <c r="G362" s="53">
        <f>SUMIF(JournalsB!D$14:D$920,TrialBalanceB!M362,JournalsB!J$14:J$920)+SUMIF(JournalsB!E$14:E$920,TrialBalanceB!M362,JournalsB!J$14:J$920)</f>
        <v>0</v>
      </c>
      <c r="H362" s="363"/>
      <c r="I362" s="365">
        <f t="shared" si="99"/>
        <v>0</v>
      </c>
      <c r="J362" s="81"/>
      <c r="K362" s="54">
        <f t="shared" si="51"/>
        <v>0</v>
      </c>
      <c r="M362" s="192" t="str">
        <f t="shared" si="52"/>
        <v>8200/010Prepayments</v>
      </c>
      <c r="N362" s="76"/>
      <c r="O362" s="77"/>
      <c r="P362" s="57"/>
      <c r="Q362" s="31"/>
    </row>
    <row r="363" spans="1:17" x14ac:dyDescent="0.2">
      <c r="A363" s="315"/>
      <c r="B363" s="60" t="s">
        <v>244</v>
      </c>
      <c r="C363" s="318" t="s">
        <v>534</v>
      </c>
      <c r="D363" s="348"/>
      <c r="E363" s="348"/>
      <c r="F363" s="86">
        <f t="shared" si="53"/>
        <v>0</v>
      </c>
      <c r="G363" s="53">
        <f>SUMIF(JournalsB!D$14:D$920,TrialBalanceB!M363,JournalsB!J$14:J$920)+SUMIF(JournalsB!E$14:E$920,TrialBalanceB!M363,JournalsB!J$14:J$920)</f>
        <v>0</v>
      </c>
      <c r="H363" s="363"/>
      <c r="I363" s="365">
        <f t="shared" si="99"/>
        <v>0</v>
      </c>
      <c r="J363" s="81"/>
      <c r="K363" s="54">
        <f t="shared" si="51"/>
        <v>0</v>
      </c>
      <c r="M363" s="192" t="str">
        <f t="shared" si="52"/>
        <v>8200/020Staff loans</v>
      </c>
      <c r="N363" s="76"/>
      <c r="O363" s="77"/>
      <c r="P363" s="57"/>
      <c r="Q363" s="31"/>
    </row>
    <row r="364" spans="1:17" x14ac:dyDescent="0.2">
      <c r="A364" s="315"/>
      <c r="B364" s="60" t="s">
        <v>245</v>
      </c>
      <c r="C364" s="321" t="s">
        <v>132</v>
      </c>
      <c r="D364" s="346"/>
      <c r="E364" s="348"/>
      <c r="F364" s="86"/>
      <c r="G364" s="53">
        <f>SUMIF(JournalsB!D$14:D$920,TrialBalanceB!M364,JournalsB!J$14:J$920)+SUMIF(JournalsB!E$14:E$920,TrialBalanceB!M364,JournalsB!J$14:J$920)</f>
        <v>0</v>
      </c>
      <c r="H364" s="363"/>
      <c r="I364" s="365">
        <f t="shared" si="99"/>
        <v>0</v>
      </c>
      <c r="J364" s="81"/>
      <c r="K364" s="54">
        <f t="shared" si="51"/>
        <v>0</v>
      </c>
      <c r="M364" s="192" t="str">
        <f t="shared" si="52"/>
        <v>8400/000BANK ACCOUNTS</v>
      </c>
      <c r="N364" s="76"/>
      <c r="O364" s="77"/>
      <c r="P364" s="57"/>
      <c r="Q364" s="31"/>
    </row>
    <row r="365" spans="1:17" x14ac:dyDescent="0.2">
      <c r="A365" s="315"/>
      <c r="B365" s="60" t="s">
        <v>246</v>
      </c>
      <c r="C365" s="352">
        <f>TrialBalance!C365</f>
        <v>0</v>
      </c>
      <c r="D365" s="356"/>
      <c r="E365" s="348"/>
      <c r="F365" s="86">
        <f t="shared" si="53"/>
        <v>0</v>
      </c>
      <c r="G365" s="53">
        <f>SUMIF(JournalsB!D$14:D$920,TrialBalanceB!M365,JournalsB!J$14:J$920)+SUMIF(JournalsB!E$14:E$920,TrialBalanceB!M365,JournalsB!J$14:J$920)</f>
        <v>0</v>
      </c>
      <c r="H365" s="363"/>
      <c r="I365" s="365">
        <f t="shared" si="99"/>
        <v>0</v>
      </c>
      <c r="J365" s="81"/>
      <c r="K365" s="54">
        <f t="shared" si="51"/>
        <v>0</v>
      </c>
      <c r="M365" s="192" t="str">
        <f t="shared" si="52"/>
        <v>8410/0000</v>
      </c>
      <c r="N365" s="76"/>
      <c r="O365" s="77"/>
      <c r="P365" s="57"/>
      <c r="Q365" s="31"/>
    </row>
    <row r="366" spans="1:17" x14ac:dyDescent="0.2">
      <c r="A366" s="315"/>
      <c r="B366" s="60" t="s">
        <v>247</v>
      </c>
      <c r="C366" s="352">
        <f>TrialBalance!C366</f>
        <v>0</v>
      </c>
      <c r="D366" s="356"/>
      <c r="E366" s="348"/>
      <c r="F366" s="86">
        <f t="shared" si="53"/>
        <v>0</v>
      </c>
      <c r="G366" s="53">
        <f>SUMIF(JournalsB!D$14:D$920,TrialBalanceB!M366,JournalsB!J$14:J$920)+SUMIF(JournalsB!E$14:E$920,TrialBalanceB!M366,JournalsB!J$14:J$920)</f>
        <v>0</v>
      </c>
      <c r="H366" s="363"/>
      <c r="I366" s="365">
        <f t="shared" si="99"/>
        <v>0</v>
      </c>
      <c r="J366" s="81"/>
      <c r="K366" s="54">
        <f t="shared" si="51"/>
        <v>0</v>
      </c>
      <c r="M366" s="192" t="str">
        <f t="shared" si="52"/>
        <v>8420/0000</v>
      </c>
      <c r="N366" s="76"/>
      <c r="O366" s="77"/>
      <c r="P366" s="57"/>
      <c r="Q366" s="31"/>
    </row>
    <row r="367" spans="1:17" x14ac:dyDescent="0.2">
      <c r="A367" s="315"/>
      <c r="B367" s="60" t="s">
        <v>248</v>
      </c>
      <c r="C367" s="352">
        <f>TrialBalance!C367</f>
        <v>0</v>
      </c>
      <c r="D367" s="348"/>
      <c r="E367" s="348"/>
      <c r="F367" s="86">
        <f t="shared" si="53"/>
        <v>0</v>
      </c>
      <c r="G367" s="53">
        <f>SUMIF(JournalsB!D$14:D$920,TrialBalanceB!M367,JournalsB!J$14:J$920)+SUMIF(JournalsB!E$14:E$920,TrialBalanceB!M367,JournalsB!J$14:J$920)</f>
        <v>0</v>
      </c>
      <c r="H367" s="363"/>
      <c r="I367" s="365">
        <f t="shared" si="99"/>
        <v>0</v>
      </c>
      <c r="J367" s="81"/>
      <c r="K367" s="54">
        <f t="shared" si="51"/>
        <v>0</v>
      </c>
      <c r="M367" s="192" t="str">
        <f t="shared" si="52"/>
        <v>8430/0000</v>
      </c>
      <c r="N367" s="76"/>
      <c r="O367" s="77"/>
      <c r="P367" s="57"/>
      <c r="Q367" s="31"/>
    </row>
    <row r="368" spans="1:17" x14ac:dyDescent="0.2">
      <c r="A368" s="315"/>
      <c r="B368" s="60" t="s">
        <v>249</v>
      </c>
      <c r="C368" s="352">
        <f>TrialBalance!C368</f>
        <v>0</v>
      </c>
      <c r="D368" s="357"/>
      <c r="E368" s="348"/>
      <c r="F368" s="86">
        <f t="shared" si="53"/>
        <v>0</v>
      </c>
      <c r="G368" s="53">
        <f>SUMIF(JournalsB!D$14:D$920,TrialBalanceB!M368,JournalsB!J$14:J$920)+SUMIF(JournalsB!E$14:E$920,TrialBalanceB!M368,JournalsB!J$14:J$920)</f>
        <v>0</v>
      </c>
      <c r="H368" s="363"/>
      <c r="I368" s="365">
        <f t="shared" si="99"/>
        <v>0</v>
      </c>
      <c r="J368" s="81"/>
      <c r="K368" s="54">
        <f t="shared" si="51"/>
        <v>0</v>
      </c>
      <c r="M368" s="192" t="str">
        <f t="shared" si="52"/>
        <v>8440/0000</v>
      </c>
      <c r="N368" s="76"/>
      <c r="O368" s="77"/>
      <c r="P368" s="57"/>
      <c r="Q368" s="31"/>
    </row>
    <row r="369" spans="1:17" x14ac:dyDescent="0.2">
      <c r="A369" s="315"/>
      <c r="B369" s="60" t="s">
        <v>250</v>
      </c>
      <c r="C369" s="352">
        <f>TrialBalance!C369</f>
        <v>0</v>
      </c>
      <c r="D369" s="357"/>
      <c r="E369" s="348"/>
      <c r="F369" s="86">
        <f t="shared" si="53"/>
        <v>0</v>
      </c>
      <c r="G369" s="53">
        <f>SUMIF(JournalsB!D$14:D$920,TrialBalanceB!M369,JournalsB!J$14:J$920)+SUMIF(JournalsB!E$14:E$920,TrialBalanceB!M369,JournalsB!J$14:J$920)</f>
        <v>0</v>
      </c>
      <c r="H369" s="363"/>
      <c r="I369" s="365">
        <f t="shared" si="99"/>
        <v>0</v>
      </c>
      <c r="J369" s="81"/>
      <c r="K369" s="54">
        <f t="shared" si="51"/>
        <v>0</v>
      </c>
      <c r="M369" s="192" t="str">
        <f t="shared" si="52"/>
        <v>8450/0000</v>
      </c>
      <c r="N369" s="76"/>
      <c r="O369" s="77"/>
      <c r="P369" s="57"/>
      <c r="Q369" s="31"/>
    </row>
    <row r="370" spans="1:17" x14ac:dyDescent="0.2">
      <c r="A370" s="315"/>
      <c r="B370" s="60" t="s">
        <v>133</v>
      </c>
      <c r="C370" s="352">
        <f>TrialBalance!C370</f>
        <v>0</v>
      </c>
      <c r="D370" s="357"/>
      <c r="E370" s="348"/>
      <c r="F370" s="86">
        <f t="shared" si="53"/>
        <v>0</v>
      </c>
      <c r="G370" s="53">
        <f>SUMIF(JournalsB!D$14:D$920,TrialBalanceB!M370,JournalsB!J$14:J$920)+SUMIF(JournalsB!E$14:E$920,TrialBalanceB!M370,JournalsB!J$14:J$920)</f>
        <v>0</v>
      </c>
      <c r="H370" s="363"/>
      <c r="I370" s="365">
        <f t="shared" si="99"/>
        <v>0</v>
      </c>
      <c r="J370" s="81"/>
      <c r="K370" s="54">
        <f t="shared" si="51"/>
        <v>0</v>
      </c>
      <c r="M370" s="192" t="str">
        <f t="shared" si="52"/>
        <v>8460/0000</v>
      </c>
      <c r="N370" s="76"/>
      <c r="O370" s="77"/>
      <c r="P370" s="57"/>
      <c r="Q370" s="31"/>
    </row>
    <row r="371" spans="1:17" x14ac:dyDescent="0.2">
      <c r="A371" s="315"/>
      <c r="B371" s="60" t="s">
        <v>430</v>
      </c>
      <c r="C371" s="323" t="s">
        <v>431</v>
      </c>
      <c r="D371" s="348"/>
      <c r="E371" s="348"/>
      <c r="F371" s="86">
        <f t="shared" si="53"/>
        <v>0</v>
      </c>
      <c r="G371" s="53">
        <f>SUMIF(JournalsB!D$14:D$920,TrialBalanceB!M371,JournalsB!J$14:J$920)+SUMIF(JournalsB!E$14:E$920,TrialBalanceB!M371,JournalsB!J$14:J$920)</f>
        <v>0</v>
      </c>
      <c r="H371" s="363"/>
      <c r="I371" s="365">
        <f t="shared" si="99"/>
        <v>0</v>
      </c>
      <c r="J371" s="81"/>
      <c r="K371" s="54">
        <f t="shared" si="51"/>
        <v>0</v>
      </c>
      <c r="M371" s="192" t="str">
        <f t="shared" si="52"/>
        <v>8500/000Cash on hand</v>
      </c>
      <c r="N371" s="76"/>
      <c r="O371" s="77"/>
      <c r="P371" s="57"/>
      <c r="Q371" s="31"/>
    </row>
    <row r="372" spans="1:17" x14ac:dyDescent="0.2">
      <c r="A372" s="315"/>
      <c r="B372" s="60" t="s">
        <v>432</v>
      </c>
      <c r="C372" s="321" t="s">
        <v>289</v>
      </c>
      <c r="D372" s="346"/>
      <c r="E372" s="348"/>
      <c r="F372" s="86"/>
      <c r="G372" s="53">
        <f>SUMIF(JournalsB!D$14:D$920,TrialBalanceB!M372,JournalsB!J$14:J$920)+SUMIF(JournalsB!E$14:E$920,TrialBalanceB!M372,JournalsB!J$14:J$920)</f>
        <v>0</v>
      </c>
      <c r="H372" s="363"/>
      <c r="I372" s="365">
        <f t="shared" si="99"/>
        <v>0</v>
      </c>
      <c r="J372" s="81"/>
      <c r="K372" s="54">
        <f t="shared" si="51"/>
        <v>0</v>
      </c>
      <c r="M372" s="192" t="str">
        <f t="shared" si="52"/>
        <v>8900/000SHORT TERM LOANS</v>
      </c>
      <c r="N372" s="76"/>
      <c r="O372" s="77"/>
      <c r="P372" s="57"/>
      <c r="Q372" s="31"/>
    </row>
    <row r="373" spans="1:17" x14ac:dyDescent="0.2">
      <c r="A373" s="315"/>
      <c r="B373" s="60" t="s">
        <v>433</v>
      </c>
      <c r="C373" s="352">
        <f>TrialBalance!C373</f>
        <v>0</v>
      </c>
      <c r="D373" s="348"/>
      <c r="E373" s="348"/>
      <c r="F373" s="86">
        <f t="shared" si="53"/>
        <v>0</v>
      </c>
      <c r="G373" s="53">
        <f>SUMIF(JournalsB!D$14:D$920,TrialBalanceB!M373,JournalsB!J$14:J$920)+SUMIF(JournalsB!E$14:E$920,TrialBalanceB!M373,JournalsB!J$14:J$920)</f>
        <v>0</v>
      </c>
      <c r="H373" s="363"/>
      <c r="I373" s="365">
        <f t="shared" si="99"/>
        <v>0</v>
      </c>
      <c r="J373" s="81"/>
      <c r="K373" s="54">
        <f t="shared" si="51"/>
        <v>0</v>
      </c>
      <c r="M373" s="192" t="str">
        <f t="shared" si="52"/>
        <v>8900/0010</v>
      </c>
      <c r="N373" s="76"/>
      <c r="O373" s="77"/>
      <c r="P373" s="57"/>
      <c r="Q373" s="31"/>
    </row>
    <row r="374" spans="1:17" x14ac:dyDescent="0.2">
      <c r="A374" s="315"/>
      <c r="B374" s="60" t="s">
        <v>434</v>
      </c>
      <c r="C374" s="352">
        <f>TrialBalance!C374</f>
        <v>0</v>
      </c>
      <c r="D374" s="357"/>
      <c r="E374" s="348"/>
      <c r="F374" s="86">
        <f t="shared" si="53"/>
        <v>0</v>
      </c>
      <c r="G374" s="53">
        <f>SUMIF(JournalsB!D$14:D$920,TrialBalanceB!M374,JournalsB!J$14:J$920)+SUMIF(JournalsB!E$14:E$920,TrialBalanceB!M374,JournalsB!J$14:J$920)</f>
        <v>0</v>
      </c>
      <c r="H374" s="363"/>
      <c r="I374" s="365">
        <f t="shared" si="99"/>
        <v>0</v>
      </c>
      <c r="J374" s="81"/>
      <c r="K374" s="54">
        <f t="shared" si="51"/>
        <v>0</v>
      </c>
      <c r="M374" s="192" t="str">
        <f t="shared" si="52"/>
        <v>8900/0020</v>
      </c>
      <c r="N374" s="76"/>
      <c r="O374" s="77"/>
      <c r="P374" s="57"/>
      <c r="Q374" s="31"/>
    </row>
    <row r="375" spans="1:17" x14ac:dyDescent="0.2">
      <c r="A375" s="315"/>
      <c r="B375" s="60" t="s">
        <v>435</v>
      </c>
      <c r="C375" s="352">
        <f>TrialBalance!C375</f>
        <v>0</v>
      </c>
      <c r="D375" s="357"/>
      <c r="E375" s="348"/>
      <c r="F375" s="86">
        <f t="shared" si="53"/>
        <v>0</v>
      </c>
      <c r="G375" s="53">
        <f>SUMIF(JournalsB!D$14:D$920,TrialBalanceB!M375,JournalsB!J$14:J$920)+SUMIF(JournalsB!E$14:E$920,TrialBalanceB!M375,JournalsB!J$14:J$920)</f>
        <v>0</v>
      </c>
      <c r="H375" s="363"/>
      <c r="I375" s="365">
        <f t="shared" si="99"/>
        <v>0</v>
      </c>
      <c r="J375" s="81"/>
      <c r="K375" s="54">
        <f t="shared" si="51"/>
        <v>0</v>
      </c>
      <c r="M375" s="192" t="str">
        <f t="shared" si="52"/>
        <v>8900/0030</v>
      </c>
      <c r="N375" s="76"/>
      <c r="O375" s="77"/>
      <c r="P375" s="57"/>
      <c r="Q375" s="31"/>
    </row>
    <row r="376" spans="1:17" x14ac:dyDescent="0.2">
      <c r="A376" s="315"/>
      <c r="B376" s="60" t="s">
        <v>436</v>
      </c>
      <c r="C376" s="316" t="s">
        <v>256</v>
      </c>
      <c r="D376" s="358"/>
      <c r="E376" s="348"/>
      <c r="F376" s="86"/>
      <c r="G376" s="53">
        <f>SUMIF(JournalsB!D$14:D$920,TrialBalanceB!M376,JournalsB!J$14:J$920)+SUMIF(JournalsB!E$14:E$920,TrialBalanceB!M376,JournalsB!J$14:J$920)</f>
        <v>0</v>
      </c>
      <c r="H376" s="363"/>
      <c r="I376" s="365">
        <f t="shared" si="99"/>
        <v>0</v>
      </c>
      <c r="J376" s="81"/>
      <c r="K376" s="54">
        <f t="shared" si="51"/>
        <v>0</v>
      </c>
      <c r="M376" s="192" t="str">
        <f t="shared" si="52"/>
        <v>8900/004Short term portion of long term loans</v>
      </c>
      <c r="N376" s="76"/>
      <c r="O376" s="77"/>
      <c r="P376" s="57"/>
      <c r="Q376" s="31"/>
    </row>
    <row r="377" spans="1:17" x14ac:dyDescent="0.2">
      <c r="A377" s="315"/>
      <c r="B377" s="60" t="s">
        <v>437</v>
      </c>
      <c r="C377" s="316" t="s">
        <v>438</v>
      </c>
      <c r="D377" s="358"/>
      <c r="E377" s="348"/>
      <c r="F377" s="86"/>
      <c r="G377" s="53">
        <f>SUMIF(JournalsB!D$14:D$920,TrialBalanceB!M377,JournalsB!J$14:J$920)+SUMIF(JournalsB!E$14:E$920,TrialBalanceB!M377,JournalsB!J$14:J$920)</f>
        <v>0</v>
      </c>
      <c r="H377" s="363"/>
      <c r="I377" s="365">
        <f t="shared" si="99"/>
        <v>0</v>
      </c>
      <c r="J377" s="81"/>
      <c r="K377" s="54">
        <f t="shared" si="51"/>
        <v>0</v>
      </c>
      <c r="M377" s="192" t="str">
        <f t="shared" si="52"/>
        <v>9000/000CREDITORS</v>
      </c>
      <c r="N377" s="76"/>
      <c r="O377" s="77"/>
      <c r="P377" s="57"/>
      <c r="Q377" s="31"/>
    </row>
    <row r="378" spans="1:17" x14ac:dyDescent="0.2">
      <c r="A378" s="315"/>
      <c r="B378" s="60" t="s">
        <v>439</v>
      </c>
      <c r="C378" s="317" t="s">
        <v>440</v>
      </c>
      <c r="D378" s="357"/>
      <c r="E378" s="348"/>
      <c r="F378" s="86">
        <f>K378</f>
        <v>0</v>
      </c>
      <c r="G378" s="53">
        <f>SUMIF(JournalsB!D$14:D$920,TrialBalanceB!M378,JournalsB!J$14:J$920)+SUMIF(JournalsB!E$14:E$920,TrialBalanceB!M378,JournalsB!J$14:J$920)</f>
        <v>0</v>
      </c>
      <c r="H378" s="363"/>
      <c r="I378" s="365">
        <f t="shared" si="99"/>
        <v>0</v>
      </c>
      <c r="J378" s="81"/>
      <c r="K378" s="54">
        <f t="shared" si="51"/>
        <v>0</v>
      </c>
      <c r="M378" s="192" t="str">
        <f t="shared" si="52"/>
        <v>9010/000Trade creditors</v>
      </c>
      <c r="N378" s="76"/>
      <c r="O378" s="77"/>
      <c r="P378" s="57"/>
      <c r="Q378" s="31"/>
    </row>
    <row r="379" spans="1:17" x14ac:dyDescent="0.2">
      <c r="A379" s="315"/>
      <c r="B379" s="60" t="s">
        <v>441</v>
      </c>
      <c r="C379" s="319" t="s">
        <v>548</v>
      </c>
      <c r="D379" s="357"/>
      <c r="E379" s="348"/>
      <c r="F379" s="86">
        <f>K379</f>
        <v>0</v>
      </c>
      <c r="G379" s="53">
        <f>SUMIF(JournalsB!D$14:D$920,TrialBalanceB!M379,JournalsB!J$14:J$920)+SUMIF(JournalsB!E$14:E$920,TrialBalanceB!M379,JournalsB!J$14:J$920)</f>
        <v>0</v>
      </c>
      <c r="H379" s="363"/>
      <c r="I379" s="365">
        <f t="shared" si="99"/>
        <v>0</v>
      </c>
      <c r="J379" s="81"/>
      <c r="K379" s="54">
        <f t="shared" si="51"/>
        <v>0</v>
      </c>
      <c r="M379" s="192" t="str">
        <f t="shared" si="52"/>
        <v>9200/000Sundry suppliers</v>
      </c>
      <c r="N379" s="76"/>
      <c r="O379" s="77"/>
      <c r="P379" s="57"/>
      <c r="Q379" s="31"/>
    </row>
    <row r="380" spans="1:17" x14ac:dyDescent="0.2">
      <c r="A380" s="315"/>
      <c r="B380" s="60" t="s">
        <v>442</v>
      </c>
      <c r="C380" s="319" t="s">
        <v>758</v>
      </c>
      <c r="D380" s="359"/>
      <c r="E380" s="348"/>
      <c r="F380" s="86">
        <f>K380</f>
        <v>0</v>
      </c>
      <c r="G380" s="53">
        <f>SUMIF(JournalsB!D$14:D$920,TrialBalanceB!M380,JournalsB!J$14:J$920)+SUMIF(JournalsB!E$14:E$920,TrialBalanceB!M380,JournalsB!J$14:J$920)</f>
        <v>0</v>
      </c>
      <c r="H380" s="363"/>
      <c r="I380" s="365">
        <f t="shared" si="99"/>
        <v>0</v>
      </c>
      <c r="J380" s="81"/>
      <c r="K380" s="54">
        <f t="shared" si="51"/>
        <v>0</v>
      </c>
      <c r="M380" s="192" t="str">
        <f t="shared" si="52"/>
        <v>9200/010Audit and accounting fee accrual</v>
      </c>
      <c r="N380" s="76"/>
      <c r="O380" s="77"/>
      <c r="P380" s="57"/>
      <c r="Q380" s="31"/>
    </row>
    <row r="381" spans="1:17" x14ac:dyDescent="0.2">
      <c r="A381" s="315"/>
      <c r="B381" s="60" t="s">
        <v>443</v>
      </c>
      <c r="C381" s="319" t="s">
        <v>549</v>
      </c>
      <c r="D381" s="357"/>
      <c r="E381" s="348"/>
      <c r="F381" s="86">
        <f>K381</f>
        <v>0</v>
      </c>
      <c r="G381" s="53">
        <f>SUMIF(JournalsB!D$14:D$920,TrialBalanceB!M381,JournalsB!J$14:J$920)+SUMIF(JournalsB!E$14:E$920,TrialBalanceB!M381,JournalsB!J$14:J$920)</f>
        <v>0</v>
      </c>
      <c r="H381" s="363"/>
      <c r="I381" s="365">
        <f t="shared" si="99"/>
        <v>0</v>
      </c>
      <c r="J381" s="81"/>
      <c r="K381" s="54">
        <f t="shared" si="51"/>
        <v>0</v>
      </c>
      <c r="M381" s="192" t="str">
        <f t="shared" si="52"/>
        <v>9200/020Other accruals</v>
      </c>
      <c r="N381" s="76"/>
      <c r="O381" s="77"/>
      <c r="P381" s="57"/>
      <c r="Q381" s="31"/>
    </row>
    <row r="382" spans="1:17" x14ac:dyDescent="0.2">
      <c r="A382" s="315"/>
      <c r="B382" s="60" t="s">
        <v>444</v>
      </c>
      <c r="C382" s="319" t="s">
        <v>753</v>
      </c>
      <c r="D382" s="357"/>
      <c r="E382" s="348"/>
      <c r="F382" s="86">
        <f>K382</f>
        <v>0</v>
      </c>
      <c r="G382" s="53">
        <f>SUMIF(JournalsB!D$14:D$920,TrialBalanceB!M382,JournalsB!J$14:J$920)+SUMIF(JournalsB!E$14:E$920,TrialBalanceB!M382,JournalsB!J$14:J$920)</f>
        <v>0</v>
      </c>
      <c r="H382" s="363"/>
      <c r="I382" s="365">
        <f t="shared" si="99"/>
        <v>0</v>
      </c>
      <c r="J382" s="81"/>
      <c r="K382" s="54">
        <f t="shared" si="51"/>
        <v>0</v>
      </c>
      <c r="M382" s="192" t="str">
        <f t="shared" si="52"/>
        <v>9250/000Salary and wages control</v>
      </c>
      <c r="N382" s="76"/>
      <c r="O382" s="77"/>
      <c r="P382" s="57"/>
      <c r="Q382" s="31"/>
    </row>
    <row r="383" spans="1:17" x14ac:dyDescent="0.2">
      <c r="A383" s="315"/>
      <c r="B383" s="60" t="s">
        <v>336</v>
      </c>
      <c r="C383" s="316" t="s">
        <v>124</v>
      </c>
      <c r="D383" s="358"/>
      <c r="E383" s="348"/>
      <c r="F383" s="86"/>
      <c r="G383" s="53">
        <f>SUMIF(JournalsB!D$14:D$920,TrialBalanceB!M383,JournalsB!J$14:J$920)+SUMIF(JournalsB!E$14:E$920,TrialBalanceB!M383,JournalsB!J$14:J$920)</f>
        <v>0</v>
      </c>
      <c r="H383" s="363"/>
      <c r="I383" s="365">
        <f t="shared" si="99"/>
        <v>0</v>
      </c>
      <c r="J383" s="81"/>
      <c r="K383" s="54">
        <f t="shared" si="51"/>
        <v>0</v>
      </c>
      <c r="M383" s="192" t="str">
        <f t="shared" si="52"/>
        <v>9300/000TAXATION</v>
      </c>
      <c r="N383" s="76"/>
      <c r="O383" s="77"/>
      <c r="P383" s="57"/>
      <c r="Q383" s="31"/>
    </row>
    <row r="384" spans="1:17" x14ac:dyDescent="0.2">
      <c r="A384" s="315"/>
      <c r="B384" s="60" t="s">
        <v>453</v>
      </c>
      <c r="C384" s="317" t="s">
        <v>92</v>
      </c>
      <c r="D384" s="357"/>
      <c r="E384" s="348"/>
      <c r="F384" s="86">
        <f>SUM(K384:K390)</f>
        <v>0</v>
      </c>
      <c r="G384" s="53">
        <f>SUMIF(JournalsB!D$14:D$920,TrialBalanceB!M384,JournalsB!J$14:J$920)+SUMIF(JournalsB!E$14:E$920,TrialBalanceB!M384,JournalsB!J$14:J$920)</f>
        <v>0</v>
      </c>
      <c r="H384" s="363"/>
      <c r="I384" s="365">
        <f t="shared" si="99"/>
        <v>0</v>
      </c>
      <c r="J384" s="81"/>
      <c r="K384" s="54">
        <f t="shared" si="51"/>
        <v>0</v>
      </c>
      <c r="M384" s="192" t="str">
        <f t="shared" si="52"/>
        <v>9300/010Balance b/fwd</v>
      </c>
      <c r="N384" s="76"/>
      <c r="O384" s="77"/>
      <c r="P384" s="57"/>
      <c r="Q384" s="31"/>
    </row>
    <row r="385" spans="1:17" x14ac:dyDescent="0.2">
      <c r="A385" s="315"/>
      <c r="B385" s="60" t="s">
        <v>454</v>
      </c>
      <c r="C385" s="323" t="s">
        <v>130</v>
      </c>
      <c r="D385" s="348"/>
      <c r="E385" s="348"/>
      <c r="F385" s="86"/>
      <c r="G385" s="53">
        <f>SUMIF(JournalsB!D$14:D$920,TrialBalanceB!M385,JournalsB!J$14:J$920)+SUMIF(JournalsB!E$14:E$920,TrialBalanceB!M385,JournalsB!J$14:J$920)</f>
        <v>0</v>
      </c>
      <c r="H385" s="363"/>
      <c r="I385" s="365">
        <f t="shared" si="99"/>
        <v>0</v>
      </c>
      <c r="J385" s="81"/>
      <c r="K385" s="54">
        <f t="shared" si="51"/>
        <v>0</v>
      </c>
      <c r="M385" s="192" t="str">
        <f t="shared" si="52"/>
        <v>9300/020Tax provision this year</v>
      </c>
      <c r="N385" s="76"/>
      <c r="O385" s="77"/>
      <c r="P385" s="57"/>
      <c r="Q385" s="31"/>
    </row>
    <row r="386" spans="1:17" x14ac:dyDescent="0.2">
      <c r="A386" s="315"/>
      <c r="B386" s="60" t="s">
        <v>455</v>
      </c>
      <c r="C386" s="319" t="s">
        <v>891</v>
      </c>
      <c r="D386" s="357"/>
      <c r="E386" s="348"/>
      <c r="F386" s="86"/>
      <c r="G386" s="53">
        <f>SUMIF(JournalsB!D$14:D$920,TrialBalanceB!M386,JournalsB!J$14:J$920)+SUMIF(JournalsB!E$14:E$920,TrialBalanceB!M386,JournalsB!J$14:J$920)</f>
        <v>0</v>
      </c>
      <c r="H386" s="363"/>
      <c r="I386" s="365">
        <f t="shared" si="99"/>
        <v>0</v>
      </c>
      <c r="J386" s="81"/>
      <c r="K386" s="54">
        <f t="shared" si="51"/>
        <v>0</v>
      </c>
      <c r="M386" s="192" t="str">
        <f t="shared" si="52"/>
        <v>9300/030Over-/(Under) provision previous year</v>
      </c>
      <c r="N386" s="76"/>
      <c r="O386" s="77"/>
      <c r="P386" s="57"/>
      <c r="Q386" s="31"/>
    </row>
    <row r="387" spans="1:17" x14ac:dyDescent="0.2">
      <c r="A387" s="315"/>
      <c r="B387" s="60" t="s">
        <v>456</v>
      </c>
      <c r="C387" s="319" t="s">
        <v>892</v>
      </c>
      <c r="D387" s="357"/>
      <c r="E387" s="348"/>
      <c r="F387" s="86"/>
      <c r="G387" s="53">
        <f>SUMIF(JournalsB!D$14:D$920,TrialBalanceB!M387,JournalsB!J$14:J$920)+SUMIF(JournalsB!E$14:E$920,TrialBalanceB!M387,JournalsB!J$14:J$920)</f>
        <v>0</v>
      </c>
      <c r="H387" s="363"/>
      <c r="I387" s="365">
        <f t="shared" si="99"/>
        <v>0</v>
      </c>
      <c r="J387" s="81"/>
      <c r="K387" s="54">
        <f t="shared" si="51"/>
        <v>0</v>
      </c>
      <c r="M387" s="192" t="str">
        <f t="shared" si="52"/>
        <v>9300/040Tax paid/(refund) for previous year provisions</v>
      </c>
      <c r="N387" s="76"/>
      <c r="O387" s="77"/>
      <c r="P387" s="57"/>
      <c r="Q387" s="31"/>
    </row>
    <row r="388" spans="1:17" x14ac:dyDescent="0.2">
      <c r="A388" s="315"/>
      <c r="B388" s="60" t="s">
        <v>457</v>
      </c>
      <c r="C388" s="319" t="s">
        <v>802</v>
      </c>
      <c r="D388" s="357"/>
      <c r="E388" s="348"/>
      <c r="F388" s="86"/>
      <c r="G388" s="53">
        <f>SUMIF(JournalsB!D$14:D$920,TrialBalanceB!M388,JournalsB!J$14:J$920)+SUMIF(JournalsB!E$14:E$920,TrialBalanceB!M388,JournalsB!J$14:J$920)</f>
        <v>0</v>
      </c>
      <c r="H388" s="363"/>
      <c r="I388" s="365">
        <f t="shared" si="99"/>
        <v>0</v>
      </c>
      <c r="J388" s="81"/>
      <c r="K388" s="54">
        <f t="shared" ref="K388:K397" si="100">ROUND(SUM(A388),0)</f>
        <v>0</v>
      </c>
      <c r="M388" s="192" t="str">
        <f t="shared" ref="M388:M397" si="101">CONCATENATE(B388,C388)</f>
        <v>9300/0501st Provisional paid</v>
      </c>
      <c r="N388" s="76"/>
      <c r="O388" s="77"/>
      <c r="P388" s="57"/>
      <c r="Q388" s="31"/>
    </row>
    <row r="389" spans="1:17" x14ac:dyDescent="0.2">
      <c r="A389" s="315"/>
      <c r="B389" s="60" t="s">
        <v>458</v>
      </c>
      <c r="C389" s="319" t="s">
        <v>803</v>
      </c>
      <c r="D389" s="357"/>
      <c r="E389" s="348"/>
      <c r="F389" s="86"/>
      <c r="G389" s="53">
        <f>SUMIF(JournalsB!D$14:D$920,TrialBalanceB!M389,JournalsB!J$14:J$920)+SUMIF(JournalsB!E$14:E$920,TrialBalanceB!M389,JournalsB!J$14:J$920)</f>
        <v>0</v>
      </c>
      <c r="H389" s="363"/>
      <c r="I389" s="365">
        <f t="shared" si="99"/>
        <v>0</v>
      </c>
      <c r="J389" s="81"/>
      <c r="K389" s="54">
        <f t="shared" si="100"/>
        <v>0</v>
      </c>
      <c r="M389" s="192" t="str">
        <f t="shared" si="101"/>
        <v>9300/0602nd Provisional paid</v>
      </c>
      <c r="N389" s="76"/>
      <c r="O389" s="77"/>
      <c r="P389" s="57"/>
      <c r="Q389" s="31"/>
    </row>
    <row r="390" spans="1:17" x14ac:dyDescent="0.2">
      <c r="A390" s="315"/>
      <c r="B390" s="60" t="s">
        <v>459</v>
      </c>
      <c r="C390" s="317" t="s">
        <v>131</v>
      </c>
      <c r="D390" s="357"/>
      <c r="E390" s="348"/>
      <c r="F390" s="86"/>
      <c r="G390" s="53">
        <f>SUMIF(JournalsB!D$14:D$920,TrialBalanceB!M390,JournalsB!J$14:J$920)+SUMIF(JournalsB!E$14:E$920,TrialBalanceB!M390,JournalsB!J$14:J$920)</f>
        <v>0</v>
      </c>
      <c r="H390" s="363"/>
      <c r="I390" s="365">
        <f t="shared" si="99"/>
        <v>0</v>
      </c>
      <c r="J390" s="81"/>
      <c r="K390" s="54">
        <f t="shared" si="100"/>
        <v>0</v>
      </c>
      <c r="M390" s="192" t="str">
        <f t="shared" si="101"/>
        <v>9300/0703rd Provisional paid</v>
      </c>
      <c r="N390" s="76"/>
      <c r="O390" s="77"/>
      <c r="P390" s="57"/>
      <c r="Q390" s="31"/>
    </row>
    <row r="391" spans="1:17" x14ac:dyDescent="0.2">
      <c r="A391" s="315"/>
      <c r="B391" s="60" t="s">
        <v>337</v>
      </c>
      <c r="C391" s="319" t="s">
        <v>536</v>
      </c>
      <c r="D391" s="357"/>
      <c r="E391" s="348"/>
      <c r="F391" s="86">
        <f>K391</f>
        <v>0</v>
      </c>
      <c r="G391" s="53">
        <f>SUMIF(JournalsB!D$14:D$920,TrialBalanceB!M391,JournalsB!J$14:J$920)+SUMIF(JournalsB!E$14:E$920,TrialBalanceB!M391,JournalsB!J$14:J$920)</f>
        <v>0</v>
      </c>
      <c r="H391" s="363"/>
      <c r="I391" s="365">
        <f t="shared" si="99"/>
        <v>0</v>
      </c>
      <c r="J391" s="81"/>
      <c r="K391" s="54">
        <f t="shared" si="100"/>
        <v>0</v>
      </c>
      <c r="M391" s="192" t="str">
        <f t="shared" si="101"/>
        <v>9400/000Provision for future expenses</v>
      </c>
      <c r="N391" s="76"/>
      <c r="O391" s="77"/>
      <c r="P391" s="57"/>
      <c r="Q391" s="31"/>
    </row>
    <row r="392" spans="1:17" x14ac:dyDescent="0.2">
      <c r="A392" s="315"/>
      <c r="B392" s="60" t="s">
        <v>338</v>
      </c>
      <c r="C392" s="319" t="s">
        <v>537</v>
      </c>
      <c r="D392" s="357"/>
      <c r="E392" s="348"/>
      <c r="F392" s="86">
        <f>K392</f>
        <v>0</v>
      </c>
      <c r="G392" s="53">
        <f>SUMIF(JournalsB!D$14:D$920,TrialBalanceB!M392,JournalsB!J$14:J$920)+SUMIF(JournalsB!E$14:E$920,TrialBalanceB!M392,JournalsB!J$14:J$920)</f>
        <v>0</v>
      </c>
      <c r="H392" s="363"/>
      <c r="I392" s="365">
        <f t="shared" si="99"/>
        <v>0</v>
      </c>
      <c r="J392" s="81"/>
      <c r="K392" s="54">
        <f t="shared" si="100"/>
        <v>0</v>
      </c>
      <c r="M392" s="192" t="str">
        <f t="shared" si="101"/>
        <v>9400/010Provision for insurance</v>
      </c>
      <c r="N392" s="76"/>
      <c r="O392" s="77"/>
      <c r="P392" s="57"/>
      <c r="Q392" s="31"/>
    </row>
    <row r="393" spans="1:17" x14ac:dyDescent="0.2">
      <c r="A393" s="315"/>
      <c r="B393" s="60" t="s">
        <v>339</v>
      </c>
      <c r="C393" s="319" t="s">
        <v>538</v>
      </c>
      <c r="D393" s="357"/>
      <c r="E393" s="348"/>
      <c r="F393" s="86">
        <f>K393</f>
        <v>0</v>
      </c>
      <c r="G393" s="53">
        <f>SUMIF(JournalsB!D$14:D$920,TrialBalanceB!M393,JournalsB!J$14:J$920)+SUMIF(JournalsB!E$14:E$920,TrialBalanceB!M393,JournalsB!J$14:J$920)</f>
        <v>0</v>
      </c>
      <c r="H393" s="363"/>
      <c r="I393" s="365">
        <f t="shared" si="99"/>
        <v>0</v>
      </c>
      <c r="J393" s="81"/>
      <c r="K393" s="54">
        <f t="shared" si="100"/>
        <v>0</v>
      </c>
      <c r="M393" s="192" t="str">
        <f t="shared" si="101"/>
        <v>9400/020Provision for salary bonus</v>
      </c>
      <c r="N393" s="76"/>
      <c r="O393" s="77"/>
      <c r="P393" s="57"/>
      <c r="Q393" s="31"/>
    </row>
    <row r="394" spans="1:17" x14ac:dyDescent="0.2">
      <c r="A394" s="315"/>
      <c r="B394" s="60" t="s">
        <v>340</v>
      </c>
      <c r="C394" s="316" t="s">
        <v>341</v>
      </c>
      <c r="D394" s="358"/>
      <c r="E394" s="348"/>
      <c r="F394" s="86"/>
      <c r="G394" s="53">
        <f>SUMIF(JournalsB!D$14:D$920,TrialBalanceB!M394,JournalsB!J$14:J$920)+SUMIF(JournalsB!E$14:E$920,TrialBalanceB!M394,JournalsB!J$14:J$920)</f>
        <v>0</v>
      </c>
      <c r="H394" s="363"/>
      <c r="I394" s="365">
        <f t="shared" si="99"/>
        <v>0</v>
      </c>
      <c r="J394" s="81"/>
      <c r="K394" s="54">
        <f t="shared" si="100"/>
        <v>0</v>
      </c>
      <c r="M394" s="192" t="str">
        <f t="shared" si="101"/>
        <v>9500/000VALUE ADDED TAX</v>
      </c>
      <c r="N394" s="76"/>
      <c r="O394" s="77"/>
      <c r="P394" s="57"/>
      <c r="Q394" s="31"/>
    </row>
    <row r="395" spans="1:17" x14ac:dyDescent="0.2">
      <c r="A395" s="315"/>
      <c r="B395" s="60" t="s">
        <v>342</v>
      </c>
      <c r="C395" s="317" t="s">
        <v>343</v>
      </c>
      <c r="D395" s="357"/>
      <c r="E395" s="348"/>
      <c r="F395" s="86">
        <f>K395</f>
        <v>0</v>
      </c>
      <c r="G395" s="53">
        <f>SUMIF(JournalsB!D$14:D$920,TrialBalanceB!M395,JournalsB!J$14:J$920)+SUMIF(JournalsB!E$14:E$920,TrialBalanceB!M395,JournalsB!J$14:J$920)</f>
        <v>0</v>
      </c>
      <c r="H395" s="363"/>
      <c r="I395" s="365">
        <f t="shared" si="99"/>
        <v>0</v>
      </c>
      <c r="J395" s="81"/>
      <c r="K395" s="54">
        <f t="shared" si="100"/>
        <v>0</v>
      </c>
      <c r="M395" s="192" t="str">
        <f t="shared" si="101"/>
        <v>9501/000VAT account</v>
      </c>
      <c r="N395" s="76"/>
      <c r="O395" s="77"/>
      <c r="P395" s="57"/>
      <c r="Q395" s="31"/>
    </row>
    <row r="396" spans="1:17" x14ac:dyDescent="0.2">
      <c r="A396" s="315"/>
      <c r="B396" s="60" t="s">
        <v>344</v>
      </c>
      <c r="C396" s="317" t="s">
        <v>30</v>
      </c>
      <c r="D396" s="357"/>
      <c r="E396" s="348"/>
      <c r="F396" s="86"/>
      <c r="G396" s="53">
        <f>SUMIF(JournalsB!D$14:D$920,TrialBalanceB!M396,JournalsB!J$14:J$920)+SUMIF(JournalsB!E$14:E$920,TrialBalanceB!M396,JournalsB!J$14:J$920)</f>
        <v>0</v>
      </c>
      <c r="H396" s="363"/>
      <c r="I396" s="365">
        <f t="shared" si="99"/>
        <v>0</v>
      </c>
      <c r="J396" s="81"/>
      <c r="K396" s="54">
        <f t="shared" si="100"/>
        <v>0</v>
      </c>
      <c r="M396" s="192" t="str">
        <f t="shared" si="101"/>
        <v>9510/000----------------------------------------</v>
      </c>
      <c r="N396" s="76"/>
      <c r="O396" s="77"/>
      <c r="P396" s="57"/>
      <c r="Q396" s="31"/>
    </row>
    <row r="397" spans="1:17" x14ac:dyDescent="0.2">
      <c r="A397" s="315"/>
      <c r="B397" s="60" t="s">
        <v>345</v>
      </c>
      <c r="C397" s="316" t="s">
        <v>804</v>
      </c>
      <c r="D397" s="358"/>
      <c r="E397" s="348"/>
      <c r="F397" s="86">
        <f>K397</f>
        <v>0</v>
      </c>
      <c r="G397" s="53">
        <f>SUMIF(JournalsB!D$14:D$920,TrialBalanceB!M397,JournalsB!J$14:J$920)+SUMIF(JournalsB!E$14:E$920,TrialBalanceB!M397,JournalsB!J$14:J$920)</f>
        <v>0</v>
      </c>
      <c r="H397" s="363"/>
      <c r="I397" s="365">
        <f t="shared" si="99"/>
        <v>0</v>
      </c>
      <c r="J397" s="81"/>
      <c r="K397" s="54">
        <f t="shared" si="100"/>
        <v>0</v>
      </c>
      <c r="M397" s="192" t="str">
        <f t="shared" si="101"/>
        <v>9990/000Suspense account</v>
      </c>
      <c r="N397" s="76"/>
      <c r="O397" s="77"/>
      <c r="P397" s="57"/>
      <c r="Q397" s="31"/>
    </row>
    <row r="398" spans="1:17" x14ac:dyDescent="0.2">
      <c r="A398" s="315"/>
      <c r="B398" s="60"/>
      <c r="C398" s="60"/>
      <c r="D398" s="357"/>
      <c r="E398" s="348"/>
      <c r="F398" s="86"/>
      <c r="G398" s="53"/>
      <c r="H398" s="363"/>
      <c r="I398" s="365"/>
      <c r="J398" s="81"/>
      <c r="K398" s="54"/>
      <c r="M398" s="192"/>
      <c r="N398" s="76"/>
      <c r="O398" s="77"/>
      <c r="P398" s="57"/>
      <c r="Q398" s="31"/>
    </row>
    <row r="399" spans="1:17" x14ac:dyDescent="0.2">
      <c r="A399" s="315"/>
      <c r="B399" s="60" t="s">
        <v>233</v>
      </c>
      <c r="C399" s="61" t="s">
        <v>233</v>
      </c>
      <c r="D399" s="339"/>
      <c r="E399" s="339"/>
      <c r="F399" s="89"/>
      <c r="G399" s="53"/>
      <c r="H399" s="363"/>
      <c r="I399" s="365"/>
      <c r="J399" s="81"/>
      <c r="K399" s="54"/>
      <c r="M399" s="192">
        <v>0</v>
      </c>
      <c r="N399" s="76"/>
      <c r="O399" s="79"/>
      <c r="P399" s="79"/>
      <c r="Q399" s="31"/>
    </row>
    <row r="400" spans="1:17" ht="13.5" thickBot="1" x14ac:dyDescent="0.25">
      <c r="A400" s="47">
        <f>SUM(A6:A399)</f>
        <v>0</v>
      </c>
      <c r="B400" s="60" t="s">
        <v>233</v>
      </c>
      <c r="C400" s="61" t="s">
        <v>233</v>
      </c>
      <c r="D400" s="47">
        <f>SUM(D6:D399)</f>
        <v>0</v>
      </c>
      <c r="E400" s="47">
        <f>SUM(E6:E399)</f>
        <v>0</v>
      </c>
      <c r="F400" s="47">
        <f>SUM(F6:F399)</f>
        <v>0</v>
      </c>
      <c r="G400" s="47">
        <f>SUM(G6:G399)</f>
        <v>0</v>
      </c>
      <c r="H400" s="47"/>
      <c r="I400" s="162">
        <f>SUM(I6:I399)</f>
        <v>0</v>
      </c>
      <c r="J400" s="47"/>
      <c r="K400" s="47">
        <f>SUM(K6:K399)</f>
        <v>0</v>
      </c>
      <c r="M400" s="192">
        <v>0</v>
      </c>
      <c r="N400" s="80"/>
      <c r="O400" s="80"/>
      <c r="P400" s="80"/>
      <c r="Q400" s="80"/>
    </row>
    <row r="401" spans="1:16" ht="13.5" thickTop="1" x14ac:dyDescent="0.2">
      <c r="A401" s="44"/>
      <c r="B401" s="48"/>
      <c r="C401" s="51"/>
      <c r="D401" s="45"/>
      <c r="E401" s="45"/>
      <c r="F401" s="45"/>
      <c r="G401" s="45"/>
      <c r="H401" s="45"/>
      <c r="I401" s="57"/>
      <c r="J401" s="65"/>
      <c r="K401" s="44"/>
      <c r="O401" s="45"/>
      <c r="P401" s="45"/>
    </row>
    <row r="402" spans="1:16" x14ac:dyDescent="0.2">
      <c r="A402" s="44"/>
      <c r="B402" s="48"/>
      <c r="C402" s="51"/>
      <c r="D402" s="45"/>
      <c r="E402" s="45"/>
      <c r="F402" s="45"/>
      <c r="G402" s="45"/>
      <c r="H402" s="45"/>
      <c r="K402" s="48"/>
      <c r="O402" s="45"/>
      <c r="P402" s="45"/>
    </row>
    <row r="403" spans="1:16" x14ac:dyDescent="0.2">
      <c r="A403" s="44"/>
      <c r="B403" s="48"/>
      <c r="C403" s="51"/>
      <c r="D403" s="45"/>
      <c r="E403" s="45"/>
      <c r="F403" s="45"/>
      <c r="G403" s="45"/>
      <c r="H403" s="45"/>
      <c r="K403" s="48"/>
      <c r="O403" s="45"/>
      <c r="P403" s="45"/>
    </row>
    <row r="404" spans="1:16" x14ac:dyDescent="0.2">
      <c r="A404" s="44"/>
      <c r="B404" s="48"/>
      <c r="C404" s="51"/>
      <c r="D404" s="45"/>
      <c r="E404" s="45"/>
      <c r="F404" s="45"/>
      <c r="G404" s="45"/>
      <c r="H404" s="45"/>
      <c r="K404" s="48"/>
      <c r="O404" s="45"/>
      <c r="P404" s="45"/>
    </row>
    <row r="405" spans="1:16" x14ac:dyDescent="0.2">
      <c r="A405" s="44"/>
      <c r="B405" s="48"/>
      <c r="C405" s="51"/>
      <c r="D405" s="45"/>
      <c r="E405" s="45"/>
      <c r="F405" s="45"/>
      <c r="G405" s="45"/>
      <c r="H405" s="45"/>
      <c r="K405" s="48"/>
      <c r="O405" s="45"/>
      <c r="P405" s="45"/>
    </row>
    <row r="406" spans="1:16" x14ac:dyDescent="0.2">
      <c r="A406" s="44"/>
      <c r="B406" s="48"/>
      <c r="C406" s="51"/>
      <c r="D406" s="45"/>
      <c r="E406" s="45"/>
      <c r="F406" s="45"/>
      <c r="G406" s="45"/>
      <c r="H406" s="45"/>
      <c r="K406" s="48"/>
      <c r="O406" s="45"/>
      <c r="P406" s="45"/>
    </row>
    <row r="407" spans="1:16" x14ac:dyDescent="0.2">
      <c r="A407" s="44"/>
      <c r="B407" s="48"/>
      <c r="C407" s="51"/>
      <c r="D407" s="45"/>
      <c r="E407" s="45"/>
      <c r="F407" s="45"/>
      <c r="G407" s="45"/>
      <c r="H407" s="45"/>
      <c r="K407" s="48"/>
      <c r="O407" s="45"/>
      <c r="P407" s="45"/>
    </row>
    <row r="408" spans="1:16" x14ac:dyDescent="0.2">
      <c r="A408" s="44"/>
      <c r="B408" s="48"/>
      <c r="C408" s="51"/>
      <c r="D408" s="45"/>
      <c r="E408" s="45"/>
      <c r="F408" s="45"/>
      <c r="G408" s="45"/>
      <c r="H408" s="45"/>
      <c r="K408" s="48"/>
      <c r="O408" s="45" t="s">
        <v>104</v>
      </c>
      <c r="P408" s="45" t="s">
        <v>104</v>
      </c>
    </row>
    <row r="409" spans="1:16" x14ac:dyDescent="0.2">
      <c r="A409" s="44"/>
      <c r="B409" s="48"/>
      <c r="C409" s="51"/>
      <c r="D409" s="45"/>
      <c r="E409" s="45"/>
      <c r="F409" s="45"/>
      <c r="G409" s="45"/>
      <c r="H409" s="45"/>
      <c r="K409" s="48"/>
      <c r="O409" s="45" t="s">
        <v>104</v>
      </c>
      <c r="P409" s="45" t="s">
        <v>104</v>
      </c>
    </row>
    <row r="410" spans="1:16" x14ac:dyDescent="0.2">
      <c r="A410" s="44"/>
      <c r="B410" s="48"/>
      <c r="C410" s="51"/>
      <c r="D410" s="45"/>
      <c r="E410" s="45"/>
      <c r="F410" s="45"/>
      <c r="G410" s="45"/>
      <c r="H410" s="45"/>
      <c r="K410" s="48"/>
      <c r="O410" s="45" t="s">
        <v>104</v>
      </c>
      <c r="P410" s="45" t="s">
        <v>104</v>
      </c>
    </row>
    <row r="411" spans="1:16" x14ac:dyDescent="0.2">
      <c r="A411" s="44"/>
      <c r="B411" s="48"/>
      <c r="C411" s="51"/>
      <c r="D411" s="45"/>
      <c r="E411" s="45"/>
      <c r="F411" s="45"/>
      <c r="G411" s="45"/>
      <c r="H411" s="45"/>
      <c r="K411" s="48"/>
      <c r="O411" s="45" t="s">
        <v>104</v>
      </c>
      <c r="P411" s="45" t="s">
        <v>104</v>
      </c>
    </row>
    <row r="412" spans="1:16" x14ac:dyDescent="0.2">
      <c r="A412" s="44"/>
      <c r="B412" s="48"/>
      <c r="C412" s="51"/>
      <c r="D412" s="45"/>
      <c r="E412" s="45"/>
      <c r="F412" s="45"/>
      <c r="G412" s="45"/>
      <c r="H412" s="45"/>
      <c r="K412" s="48"/>
      <c r="O412" s="45" t="s">
        <v>104</v>
      </c>
      <c r="P412" s="45" t="s">
        <v>104</v>
      </c>
    </row>
    <row r="413" spans="1:16" x14ac:dyDescent="0.2">
      <c r="A413" s="44"/>
      <c r="B413" s="48"/>
      <c r="C413" s="51"/>
      <c r="D413" s="45"/>
      <c r="E413" s="45"/>
      <c r="F413" s="45"/>
      <c r="G413" s="45"/>
      <c r="H413" s="45"/>
      <c r="K413" s="48"/>
      <c r="O413" s="45"/>
      <c r="P413" s="45"/>
    </row>
    <row r="414" spans="1:16" x14ac:dyDescent="0.2">
      <c r="A414" s="44"/>
      <c r="B414" s="48"/>
      <c r="C414" s="51"/>
      <c r="D414" s="45"/>
      <c r="E414" s="45"/>
      <c r="F414" s="45"/>
      <c r="G414" s="45"/>
      <c r="H414" s="45"/>
      <c r="K414" s="48"/>
      <c r="O414" s="45"/>
      <c r="P414" s="45"/>
    </row>
    <row r="415" spans="1:16" x14ac:dyDescent="0.2">
      <c r="A415" s="44"/>
      <c r="B415" s="48"/>
      <c r="C415" s="51"/>
      <c r="D415" s="45"/>
      <c r="E415" s="45"/>
      <c r="F415" s="45"/>
      <c r="G415" s="45"/>
      <c r="H415" s="45"/>
      <c r="K415" s="48"/>
      <c r="O415" s="45"/>
      <c r="P415" s="45"/>
    </row>
    <row r="416" spans="1:16" x14ac:dyDescent="0.2">
      <c r="A416" s="44"/>
      <c r="B416" s="48"/>
      <c r="C416" s="51"/>
      <c r="D416" s="45"/>
      <c r="E416" s="45"/>
      <c r="F416" s="45"/>
      <c r="G416" s="45"/>
      <c r="H416" s="45"/>
      <c r="K416" s="48"/>
      <c r="O416" s="45"/>
      <c r="P416" s="45"/>
    </row>
    <row r="417" spans="1:16" x14ac:dyDescent="0.2">
      <c r="A417" s="44"/>
      <c r="B417" s="48"/>
      <c r="C417" s="51"/>
      <c r="D417" s="45"/>
      <c r="E417" s="45"/>
      <c r="F417" s="45"/>
      <c r="G417" s="45"/>
      <c r="H417" s="45"/>
      <c r="K417" s="48"/>
      <c r="O417" s="45"/>
      <c r="P417" s="45"/>
    </row>
    <row r="418" spans="1:16" x14ac:dyDescent="0.2">
      <c r="A418" s="44"/>
      <c r="B418" s="48"/>
      <c r="C418" s="51"/>
      <c r="D418" s="45"/>
      <c r="E418" s="45"/>
      <c r="F418" s="45"/>
      <c r="G418" s="45"/>
      <c r="H418" s="45"/>
      <c r="K418" s="48"/>
      <c r="O418" s="45"/>
      <c r="P418" s="45"/>
    </row>
    <row r="419" spans="1:16" x14ac:dyDescent="0.2">
      <c r="A419" s="44"/>
      <c r="B419" s="48"/>
      <c r="C419" s="51"/>
      <c r="D419" s="45"/>
      <c r="E419" s="45"/>
      <c r="F419" s="45"/>
      <c r="G419" s="45"/>
      <c r="H419" s="45"/>
      <c r="K419" s="48"/>
      <c r="O419" s="45"/>
      <c r="P419" s="45"/>
    </row>
    <row r="420" spans="1:16" x14ac:dyDescent="0.2">
      <c r="A420" s="44"/>
      <c r="B420" s="48"/>
      <c r="C420" s="51"/>
      <c r="D420" s="45"/>
      <c r="E420" s="45"/>
      <c r="F420" s="45"/>
      <c r="G420" s="45"/>
      <c r="H420" s="45"/>
      <c r="K420" s="48"/>
      <c r="O420" s="45"/>
      <c r="P420" s="45"/>
    </row>
    <row r="421" spans="1:16" x14ac:dyDescent="0.2">
      <c r="A421" s="44"/>
      <c r="B421" s="48"/>
      <c r="C421" s="51"/>
      <c r="D421" s="45"/>
      <c r="E421" s="45"/>
      <c r="F421" s="45"/>
      <c r="G421" s="45"/>
      <c r="H421" s="45"/>
      <c r="K421" s="48"/>
      <c r="O421" s="45"/>
      <c r="P421" s="45"/>
    </row>
    <row r="422" spans="1:16" x14ac:dyDescent="0.2">
      <c r="A422" s="44"/>
      <c r="B422" s="48"/>
      <c r="C422" s="51"/>
      <c r="D422" s="45"/>
      <c r="E422" s="45"/>
      <c r="F422" s="45"/>
      <c r="G422" s="45"/>
      <c r="H422" s="45"/>
      <c r="K422" s="48"/>
      <c r="O422" s="45"/>
      <c r="P422" s="45"/>
    </row>
    <row r="423" spans="1:16" x14ac:dyDescent="0.2">
      <c r="A423" s="44"/>
      <c r="B423" s="48"/>
      <c r="C423" s="51"/>
      <c r="D423" s="45"/>
      <c r="E423" s="45"/>
      <c r="F423" s="45"/>
      <c r="G423" s="45"/>
      <c r="H423" s="45"/>
      <c r="K423" s="48"/>
      <c r="O423" s="45"/>
      <c r="P423" s="45"/>
    </row>
    <row r="424" spans="1:16" x14ac:dyDescent="0.2">
      <c r="A424" s="44"/>
      <c r="B424" s="48"/>
      <c r="C424" s="51"/>
      <c r="D424" s="45"/>
      <c r="E424" s="45"/>
      <c r="F424" s="45"/>
      <c r="G424" s="45"/>
      <c r="H424" s="45"/>
      <c r="K424" s="48"/>
      <c r="O424" s="45"/>
      <c r="P424" s="45"/>
    </row>
    <row r="425" spans="1:16" x14ac:dyDescent="0.2">
      <c r="A425" s="44"/>
      <c r="B425" s="48"/>
      <c r="C425" s="51"/>
      <c r="D425" s="45"/>
      <c r="E425" s="45"/>
      <c r="F425" s="45"/>
      <c r="G425" s="45"/>
      <c r="H425" s="45"/>
      <c r="K425" s="48"/>
      <c r="O425" s="45"/>
      <c r="P425" s="45"/>
    </row>
    <row r="426" spans="1:16" x14ac:dyDescent="0.2">
      <c r="A426" s="44"/>
      <c r="B426" s="48"/>
      <c r="C426" s="51"/>
      <c r="D426" s="45"/>
      <c r="E426" s="45"/>
      <c r="F426" s="45"/>
      <c r="G426" s="45"/>
      <c r="H426" s="45"/>
      <c r="K426" s="48"/>
      <c r="O426" s="45"/>
      <c r="P426" s="45"/>
    </row>
    <row r="427" spans="1:16" x14ac:dyDescent="0.2">
      <c r="A427" s="44"/>
      <c r="B427" s="48"/>
      <c r="C427" s="51"/>
      <c r="G427" s="45"/>
      <c r="H427" s="45"/>
      <c r="K427" s="48"/>
      <c r="O427" s="45"/>
      <c r="P427" s="45"/>
    </row>
    <row r="428" spans="1:16" x14ac:dyDescent="0.2">
      <c r="O428" s="14"/>
      <c r="P428" s="14"/>
    </row>
  </sheetData>
  <sheetProtection algorithmName="SHA-512" hashValue="AkcM855DeBf9Yxp2SI4Zs156Zhx4B6sYHctxVosi3OOjDTi5svqQV7jVOXtoQ7qstuL3mu8N/4rxEbPqB3v28g==" saltValue="Cs/rLgjQ8nu4ygDryFrFbw==" spinCount="100000" sheet="1" objects="1" scenarios="1" formatColumns="0" selectLockedCells="1"/>
  <mergeCells count="1">
    <mergeCell ref="D2:E2"/>
  </mergeCells>
  <hyperlinks>
    <hyperlink ref="B6" location="bank2!A1" display="1000/001" xr:uid="{83148C5A-A996-482F-B1C1-29D32EB2EDF7}"/>
    <hyperlink ref="B14" location="bank2!A1" display="2000/010" xr:uid="{8B825FBE-AB4B-4184-B57E-A4A09432A284}"/>
    <hyperlink ref="B15" location="bank2!A1" display="2000/011" xr:uid="{27BF5E4B-EC80-4791-9FBE-6F8F34941F26}"/>
    <hyperlink ref="C1" location="TrialBalance!A1" display="TrialBalance!A1" xr:uid="{DC1A1368-7AC6-43A4-8190-CDE48DEADF7F}"/>
  </hyperlinks>
  <pageMargins left="0.75" right="0.75" top="1" bottom="1" header="0.5" footer="0.5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62CAD-A86E-468F-9EEB-78097FBBD92E}">
  <dimension ref="A1:M486"/>
  <sheetViews>
    <sheetView view="pageBreakPreview" zoomScale="85" zoomScaleNormal="85" zoomScaleSheetLayoutView="85" workbookViewId="0">
      <pane ySplit="13" topLeftCell="A14" activePane="bottomLeft" state="frozen"/>
      <selection pane="bottomLeft" activeCell="D15" sqref="D15"/>
    </sheetView>
  </sheetViews>
  <sheetFormatPr defaultColWidth="11.28515625" defaultRowHeight="15.75" x14ac:dyDescent="0.25"/>
  <cols>
    <col min="1" max="1" width="12.28515625" style="2" bestFit="1" customWidth="1"/>
    <col min="2" max="2" width="5.85546875" style="5" customWidth="1"/>
    <col min="3" max="3" width="38.42578125" style="2" customWidth="1"/>
    <col min="4" max="4" width="30" style="2" customWidth="1"/>
    <col min="5" max="5" width="35.42578125" style="2" customWidth="1"/>
    <col min="6" max="6" width="16.85546875" style="4" customWidth="1"/>
    <col min="7" max="7" width="16.140625" style="4" bestFit="1" customWidth="1"/>
    <col min="8" max="8" width="15.7109375" style="4" bestFit="1" customWidth="1"/>
    <col min="9" max="9" width="16.140625" style="4" bestFit="1" customWidth="1"/>
    <col min="10" max="10" width="15.7109375" style="2" bestFit="1" customWidth="1"/>
    <col min="11" max="13" width="11.28515625" style="2" bestFit="1" customWidth="1"/>
    <col min="14" max="255" width="11.28515625" bestFit="1" customWidth="1"/>
  </cols>
  <sheetData>
    <row r="1" spans="1:13" x14ac:dyDescent="0.25">
      <c r="H1" s="41"/>
      <c r="I1" s="41"/>
    </row>
    <row r="2" spans="1:13" x14ac:dyDescent="0.25">
      <c r="C2" s="3" t="str">
        <f>Criteria!E9</f>
        <v>ABC TRUST</v>
      </c>
    </row>
    <row r="3" spans="1:13" x14ac:dyDescent="0.25">
      <c r="H3" s="84" t="s">
        <v>90</v>
      </c>
      <c r="I3" s="84"/>
    </row>
    <row r="4" spans="1:13" x14ac:dyDescent="0.25">
      <c r="C4" s="3" t="s">
        <v>89</v>
      </c>
      <c r="D4" s="41" t="str">
        <f>Criteria!E20</f>
        <v>29 FEBRUARY 2024</v>
      </c>
    </row>
    <row r="5" spans="1:13" x14ac:dyDescent="0.25">
      <c r="H5" s="84" t="s">
        <v>91</v>
      </c>
      <c r="I5" s="84"/>
    </row>
    <row r="6" spans="1:13" x14ac:dyDescent="0.25">
      <c r="C6" s="3" t="s">
        <v>178</v>
      </c>
      <c r="H6" s="41"/>
      <c r="I6" s="41"/>
    </row>
    <row r="7" spans="1:13" x14ac:dyDescent="0.25">
      <c r="C7" s="6"/>
      <c r="D7" s="6"/>
      <c r="E7" s="6"/>
      <c r="F7" s="85"/>
      <c r="G7" s="85"/>
      <c r="H7" s="85"/>
      <c r="I7" s="85"/>
    </row>
    <row r="8" spans="1:13" x14ac:dyDescent="0.25">
      <c r="D8" s="8" t="str">
        <f>IF(F8=0," ","OUT OF BALANCE")</f>
        <v xml:space="preserve"> </v>
      </c>
      <c r="E8" s="8"/>
      <c r="F8" s="4">
        <f>ROUND(F484-G484+H484-I484,2)</f>
        <v>0</v>
      </c>
    </row>
    <row r="9" spans="1:13" x14ac:dyDescent="0.25">
      <c r="D9" s="8" t="s">
        <v>296</v>
      </c>
      <c r="E9" s="8"/>
      <c r="F9" s="4">
        <f>F486</f>
        <v>0</v>
      </c>
    </row>
    <row r="10" spans="1:13" x14ac:dyDescent="0.25">
      <c r="D10" s="8"/>
      <c r="E10" s="8"/>
    </row>
    <row r="11" spans="1:13" x14ac:dyDescent="0.25">
      <c r="A11" s="40" t="s">
        <v>271</v>
      </c>
      <c r="F11" s="511"/>
      <c r="G11" s="511"/>
      <c r="H11" s="511"/>
      <c r="I11" s="511"/>
    </row>
    <row r="12" spans="1:13" x14ac:dyDescent="0.25">
      <c r="A12" s="40" t="s">
        <v>628</v>
      </c>
      <c r="F12" s="511" t="s">
        <v>349</v>
      </c>
      <c r="G12" s="511"/>
      <c r="H12" s="511" t="s">
        <v>101</v>
      </c>
      <c r="I12" s="511"/>
    </row>
    <row r="13" spans="1:13" x14ac:dyDescent="0.25">
      <c r="A13" s="40" t="s">
        <v>272</v>
      </c>
      <c r="B13" s="32" t="s">
        <v>177</v>
      </c>
      <c r="C13" s="32" t="s">
        <v>231</v>
      </c>
      <c r="D13" s="32" t="s">
        <v>252</v>
      </c>
      <c r="E13" s="32" t="s">
        <v>421</v>
      </c>
      <c r="F13" s="22" t="s">
        <v>234</v>
      </c>
      <c r="G13" s="22" t="s">
        <v>235</v>
      </c>
      <c r="H13" s="22" t="s">
        <v>234</v>
      </c>
      <c r="I13" s="22" t="s">
        <v>235</v>
      </c>
    </row>
    <row r="14" spans="1:13" x14ac:dyDescent="0.25">
      <c r="A14" s="40"/>
    </row>
    <row r="15" spans="1:13" x14ac:dyDescent="0.25">
      <c r="A15" s="40" t="str">
        <f t="shared" ref="A15:A78" si="0">IF(COUNTIF(K15:M15,"ERROR")&gt;0,"ERROR"," ")</f>
        <v xml:space="preserve"> </v>
      </c>
      <c r="B15" s="5">
        <v>1</v>
      </c>
      <c r="D15" s="39"/>
      <c r="E15" s="39"/>
      <c r="J15" s="15">
        <f>F15-G15+H15-I15</f>
        <v>0</v>
      </c>
      <c r="K15" s="2" t="str">
        <f>IF(COUNTA(D15:E15)=2,"ERROR"," ")</f>
        <v xml:space="preserve"> </v>
      </c>
      <c r="L15" s="2" t="str">
        <f t="shared" ref="L15:L78" si="1">IF(D15=0," ",IF(COUNTIF(ProfitLoss3,D15)&gt;0," ","ERROR"))</f>
        <v xml:space="preserve"> </v>
      </c>
      <c r="M15" s="2" t="str">
        <f t="shared" ref="M15:M78" si="2">IF(E15=0," ",IF(COUNTIF(BalanceSheet3,E15)&gt;0," ","ERROR"))</f>
        <v xml:space="preserve"> </v>
      </c>
    </row>
    <row r="16" spans="1:13" x14ac:dyDescent="0.25">
      <c r="A16" s="40" t="str">
        <f t="shared" si="0"/>
        <v xml:space="preserve"> </v>
      </c>
      <c r="B16" s="25"/>
      <c r="D16" s="39"/>
      <c r="E16" s="39"/>
      <c r="J16" s="15">
        <f t="shared" ref="J16:J79" si="3">F16-G16+H16-I16</f>
        <v>0</v>
      </c>
      <c r="K16" s="2" t="str">
        <f t="shared" ref="K16:K79" si="4">IF(COUNTA(D16:E16)=2,"ERROR"," ")</f>
        <v xml:space="preserve"> </v>
      </c>
      <c r="L16" s="2" t="str">
        <f t="shared" si="1"/>
        <v xml:space="preserve"> </v>
      </c>
      <c r="M16" s="2" t="str">
        <f t="shared" si="2"/>
        <v xml:space="preserve"> </v>
      </c>
    </row>
    <row r="17" spans="1:13" x14ac:dyDescent="0.25">
      <c r="A17" s="40" t="str">
        <f t="shared" si="0"/>
        <v xml:space="preserve"> </v>
      </c>
      <c r="D17" s="39"/>
      <c r="E17" s="39"/>
      <c r="J17" s="15">
        <f t="shared" si="3"/>
        <v>0</v>
      </c>
      <c r="K17" s="2" t="str">
        <f t="shared" si="4"/>
        <v xml:space="preserve"> </v>
      </c>
      <c r="L17" s="2" t="str">
        <f t="shared" si="1"/>
        <v xml:space="preserve"> </v>
      </c>
      <c r="M17" s="2" t="str">
        <f t="shared" si="2"/>
        <v xml:space="preserve"> </v>
      </c>
    </row>
    <row r="18" spans="1:13" x14ac:dyDescent="0.25">
      <c r="A18" s="40" t="str">
        <f t="shared" si="0"/>
        <v xml:space="preserve"> </v>
      </c>
      <c r="D18" s="39"/>
      <c r="E18" s="39"/>
      <c r="J18" s="15">
        <f t="shared" si="3"/>
        <v>0</v>
      </c>
      <c r="K18" s="2" t="str">
        <f t="shared" si="4"/>
        <v xml:space="preserve"> </v>
      </c>
      <c r="L18" s="2" t="str">
        <f t="shared" si="1"/>
        <v xml:space="preserve"> </v>
      </c>
      <c r="M18" s="2" t="str">
        <f t="shared" si="2"/>
        <v xml:space="preserve"> </v>
      </c>
    </row>
    <row r="19" spans="1:13" x14ac:dyDescent="0.25">
      <c r="A19" s="40" t="str">
        <f t="shared" si="0"/>
        <v xml:space="preserve"> </v>
      </c>
      <c r="D19" s="39"/>
      <c r="E19" s="39"/>
      <c r="J19" s="15">
        <f t="shared" si="3"/>
        <v>0</v>
      </c>
      <c r="K19" s="2" t="str">
        <f t="shared" si="4"/>
        <v xml:space="preserve"> </v>
      </c>
      <c r="L19" s="2" t="str">
        <f t="shared" si="1"/>
        <v xml:space="preserve"> </v>
      </c>
      <c r="M19" s="2" t="str">
        <f t="shared" si="2"/>
        <v xml:space="preserve"> </v>
      </c>
    </row>
    <row r="20" spans="1:13" x14ac:dyDescent="0.25">
      <c r="A20" s="40" t="str">
        <f t="shared" si="0"/>
        <v xml:space="preserve"> </v>
      </c>
      <c r="D20" s="39"/>
      <c r="E20" s="39"/>
      <c r="J20" s="15">
        <f t="shared" si="3"/>
        <v>0</v>
      </c>
      <c r="K20" s="2" t="str">
        <f t="shared" si="4"/>
        <v xml:space="preserve"> </v>
      </c>
      <c r="L20" s="2" t="str">
        <f t="shared" si="1"/>
        <v xml:space="preserve"> </v>
      </c>
      <c r="M20" s="2" t="str">
        <f t="shared" si="2"/>
        <v xml:space="preserve"> </v>
      </c>
    </row>
    <row r="21" spans="1:13" x14ac:dyDescent="0.25">
      <c r="A21" s="40" t="str">
        <f t="shared" si="0"/>
        <v xml:space="preserve"> </v>
      </c>
      <c r="D21" s="39"/>
      <c r="E21" s="39"/>
      <c r="J21" s="15">
        <f t="shared" si="3"/>
        <v>0</v>
      </c>
      <c r="K21" s="2" t="str">
        <f t="shared" si="4"/>
        <v xml:space="preserve"> </v>
      </c>
      <c r="L21" s="2" t="str">
        <f t="shared" si="1"/>
        <v xml:space="preserve"> </v>
      </c>
      <c r="M21" s="2" t="str">
        <f t="shared" si="2"/>
        <v xml:space="preserve"> </v>
      </c>
    </row>
    <row r="22" spans="1:13" x14ac:dyDescent="0.25">
      <c r="A22" s="40" t="str">
        <f t="shared" si="0"/>
        <v xml:space="preserve"> </v>
      </c>
      <c r="D22" s="39"/>
      <c r="E22" s="39"/>
      <c r="J22" s="15">
        <f t="shared" si="3"/>
        <v>0</v>
      </c>
      <c r="K22" s="2" t="str">
        <f t="shared" si="4"/>
        <v xml:space="preserve"> </v>
      </c>
      <c r="L22" s="2" t="str">
        <f t="shared" si="1"/>
        <v xml:space="preserve"> </v>
      </c>
      <c r="M22" s="2" t="str">
        <f t="shared" si="2"/>
        <v xml:space="preserve"> </v>
      </c>
    </row>
    <row r="23" spans="1:13" x14ac:dyDescent="0.25">
      <c r="A23" s="40" t="str">
        <f t="shared" si="0"/>
        <v xml:space="preserve"> </v>
      </c>
      <c r="D23" s="39"/>
      <c r="E23" s="39"/>
      <c r="J23" s="15">
        <f t="shared" si="3"/>
        <v>0</v>
      </c>
      <c r="K23" s="2" t="str">
        <f t="shared" si="4"/>
        <v xml:space="preserve"> </v>
      </c>
      <c r="L23" s="2" t="str">
        <f t="shared" si="1"/>
        <v xml:space="preserve"> </v>
      </c>
      <c r="M23" s="2" t="str">
        <f t="shared" si="2"/>
        <v xml:space="preserve"> </v>
      </c>
    </row>
    <row r="24" spans="1:13" x14ac:dyDescent="0.25">
      <c r="A24" s="40" t="str">
        <f t="shared" si="0"/>
        <v xml:space="preserve"> </v>
      </c>
      <c r="D24" s="39"/>
      <c r="E24" s="39"/>
      <c r="J24" s="15">
        <f t="shared" si="3"/>
        <v>0</v>
      </c>
      <c r="K24" s="2" t="str">
        <f t="shared" si="4"/>
        <v xml:space="preserve"> </v>
      </c>
      <c r="L24" s="2" t="str">
        <f t="shared" si="1"/>
        <v xml:space="preserve"> </v>
      </c>
      <c r="M24" s="2" t="str">
        <f t="shared" si="2"/>
        <v xml:space="preserve"> </v>
      </c>
    </row>
    <row r="25" spans="1:13" x14ac:dyDescent="0.25">
      <c r="A25" s="40" t="str">
        <f t="shared" si="0"/>
        <v xml:space="preserve"> </v>
      </c>
      <c r="C25" s="58"/>
      <c r="D25" s="39"/>
      <c r="E25" s="39"/>
      <c r="J25" s="15">
        <f t="shared" si="3"/>
        <v>0</v>
      </c>
      <c r="K25" s="2" t="str">
        <f t="shared" si="4"/>
        <v xml:space="preserve"> </v>
      </c>
      <c r="L25" s="2" t="str">
        <f t="shared" si="1"/>
        <v xml:space="preserve"> </v>
      </c>
      <c r="M25" s="2" t="str">
        <f t="shared" si="2"/>
        <v xml:space="preserve"> </v>
      </c>
    </row>
    <row r="26" spans="1:13" x14ac:dyDescent="0.25">
      <c r="A26" s="40" t="str">
        <f t="shared" si="0"/>
        <v xml:space="preserve"> </v>
      </c>
      <c r="D26" s="39"/>
      <c r="E26" s="39"/>
      <c r="J26" s="15">
        <f t="shared" si="3"/>
        <v>0</v>
      </c>
      <c r="K26" s="2" t="str">
        <f t="shared" si="4"/>
        <v xml:space="preserve"> </v>
      </c>
      <c r="L26" s="2" t="str">
        <f t="shared" si="1"/>
        <v xml:space="preserve"> </v>
      </c>
      <c r="M26" s="2" t="str">
        <f t="shared" si="2"/>
        <v xml:space="preserve"> </v>
      </c>
    </row>
    <row r="27" spans="1:13" x14ac:dyDescent="0.25">
      <c r="A27" s="40" t="str">
        <f t="shared" si="0"/>
        <v xml:space="preserve"> </v>
      </c>
      <c r="D27" s="39"/>
      <c r="E27" s="39"/>
      <c r="J27" s="15">
        <f t="shared" si="3"/>
        <v>0</v>
      </c>
      <c r="K27" s="2" t="str">
        <f t="shared" si="4"/>
        <v xml:space="preserve"> </v>
      </c>
      <c r="L27" s="2" t="str">
        <f t="shared" si="1"/>
        <v xml:space="preserve"> </v>
      </c>
      <c r="M27" s="2" t="str">
        <f t="shared" si="2"/>
        <v xml:space="preserve"> </v>
      </c>
    </row>
    <row r="28" spans="1:13" x14ac:dyDescent="0.25">
      <c r="A28" s="40" t="str">
        <f t="shared" si="0"/>
        <v xml:space="preserve"> </v>
      </c>
      <c r="D28" s="39"/>
      <c r="E28" s="39"/>
      <c r="J28" s="15">
        <f t="shared" si="3"/>
        <v>0</v>
      </c>
      <c r="K28" s="2" t="str">
        <f t="shared" si="4"/>
        <v xml:space="preserve"> </v>
      </c>
      <c r="L28" s="2" t="str">
        <f t="shared" si="1"/>
        <v xml:space="preserve"> </v>
      </c>
      <c r="M28" s="2" t="str">
        <f t="shared" si="2"/>
        <v xml:space="preserve"> </v>
      </c>
    </row>
    <row r="29" spans="1:13" x14ac:dyDescent="0.25">
      <c r="A29" s="40" t="str">
        <f t="shared" si="0"/>
        <v xml:space="preserve"> </v>
      </c>
      <c r="D29" s="39"/>
      <c r="E29" s="39"/>
      <c r="J29" s="15">
        <f t="shared" si="3"/>
        <v>0</v>
      </c>
      <c r="K29" s="2" t="str">
        <f t="shared" si="4"/>
        <v xml:space="preserve"> </v>
      </c>
      <c r="L29" s="2" t="str">
        <f t="shared" si="1"/>
        <v xml:space="preserve"> </v>
      </c>
      <c r="M29" s="2" t="str">
        <f t="shared" si="2"/>
        <v xml:space="preserve"> </v>
      </c>
    </row>
    <row r="30" spans="1:13" x14ac:dyDescent="0.25">
      <c r="A30" s="40" t="str">
        <f t="shared" si="0"/>
        <v xml:space="preserve"> </v>
      </c>
      <c r="D30" s="39"/>
      <c r="E30" s="39"/>
      <c r="J30" s="15">
        <f t="shared" si="3"/>
        <v>0</v>
      </c>
      <c r="K30" s="2" t="str">
        <f t="shared" si="4"/>
        <v xml:space="preserve"> </v>
      </c>
      <c r="L30" s="2" t="str">
        <f t="shared" si="1"/>
        <v xml:space="preserve"> </v>
      </c>
      <c r="M30" s="2" t="str">
        <f t="shared" si="2"/>
        <v xml:space="preserve"> </v>
      </c>
    </row>
    <row r="31" spans="1:13" x14ac:dyDescent="0.25">
      <c r="A31" s="40" t="str">
        <f t="shared" si="0"/>
        <v xml:space="preserve"> </v>
      </c>
      <c r="D31" s="39"/>
      <c r="E31" s="39"/>
      <c r="J31" s="15">
        <f t="shared" si="3"/>
        <v>0</v>
      </c>
      <c r="K31" s="2" t="str">
        <f t="shared" si="4"/>
        <v xml:space="preserve"> </v>
      </c>
      <c r="L31" s="2" t="str">
        <f t="shared" si="1"/>
        <v xml:space="preserve"> </v>
      </c>
      <c r="M31" s="2" t="str">
        <f t="shared" si="2"/>
        <v xml:space="preserve"> </v>
      </c>
    </row>
    <row r="32" spans="1:13" x14ac:dyDescent="0.25">
      <c r="A32" s="40" t="str">
        <f t="shared" si="0"/>
        <v xml:space="preserve"> </v>
      </c>
      <c r="D32" s="39"/>
      <c r="E32" s="39"/>
      <c r="J32" s="15">
        <f t="shared" si="3"/>
        <v>0</v>
      </c>
      <c r="K32" s="2" t="str">
        <f t="shared" si="4"/>
        <v xml:space="preserve"> </v>
      </c>
      <c r="L32" s="2" t="str">
        <f t="shared" si="1"/>
        <v xml:space="preserve"> </v>
      </c>
      <c r="M32" s="2" t="str">
        <f t="shared" si="2"/>
        <v xml:space="preserve"> </v>
      </c>
    </row>
    <row r="33" spans="1:13" x14ac:dyDescent="0.25">
      <c r="A33" s="40" t="str">
        <f t="shared" si="0"/>
        <v xml:space="preserve"> </v>
      </c>
      <c r="D33" s="39"/>
      <c r="E33" s="39"/>
      <c r="J33" s="15">
        <f t="shared" si="3"/>
        <v>0</v>
      </c>
      <c r="K33" s="2" t="str">
        <f t="shared" si="4"/>
        <v xml:space="preserve"> </v>
      </c>
      <c r="L33" s="2" t="str">
        <f t="shared" si="1"/>
        <v xml:space="preserve"> </v>
      </c>
      <c r="M33" s="2" t="str">
        <f t="shared" si="2"/>
        <v xml:space="preserve"> </v>
      </c>
    </row>
    <row r="34" spans="1:13" x14ac:dyDescent="0.25">
      <c r="A34" s="40" t="str">
        <f t="shared" si="0"/>
        <v xml:space="preserve"> </v>
      </c>
      <c r="D34" s="39"/>
      <c r="E34" s="39"/>
      <c r="J34" s="15">
        <f t="shared" si="3"/>
        <v>0</v>
      </c>
      <c r="K34" s="2" t="str">
        <f t="shared" si="4"/>
        <v xml:space="preserve"> </v>
      </c>
      <c r="L34" s="2" t="str">
        <f t="shared" si="1"/>
        <v xml:space="preserve"> </v>
      </c>
      <c r="M34" s="2" t="str">
        <f t="shared" si="2"/>
        <v xml:space="preserve"> </v>
      </c>
    </row>
    <row r="35" spans="1:13" x14ac:dyDescent="0.25">
      <c r="A35" s="40" t="str">
        <f t="shared" si="0"/>
        <v xml:space="preserve"> </v>
      </c>
      <c r="D35" s="39"/>
      <c r="E35" s="39"/>
      <c r="J35" s="15">
        <f t="shared" si="3"/>
        <v>0</v>
      </c>
      <c r="K35" s="2" t="str">
        <f t="shared" si="4"/>
        <v xml:space="preserve"> </v>
      </c>
      <c r="L35" s="2" t="str">
        <f t="shared" si="1"/>
        <v xml:space="preserve"> </v>
      </c>
      <c r="M35" s="2" t="str">
        <f t="shared" si="2"/>
        <v xml:space="preserve"> </v>
      </c>
    </row>
    <row r="36" spans="1:13" x14ac:dyDescent="0.25">
      <c r="A36" s="40" t="str">
        <f t="shared" si="0"/>
        <v xml:space="preserve"> </v>
      </c>
      <c r="D36" s="39"/>
      <c r="E36" s="39"/>
      <c r="J36" s="15">
        <f t="shared" si="3"/>
        <v>0</v>
      </c>
      <c r="K36" s="2" t="str">
        <f t="shared" si="4"/>
        <v xml:space="preserve"> </v>
      </c>
      <c r="L36" s="2" t="str">
        <f t="shared" si="1"/>
        <v xml:space="preserve"> </v>
      </c>
      <c r="M36" s="2" t="str">
        <f t="shared" si="2"/>
        <v xml:space="preserve"> </v>
      </c>
    </row>
    <row r="37" spans="1:13" x14ac:dyDescent="0.25">
      <c r="A37" s="40" t="str">
        <f t="shared" si="0"/>
        <v xml:space="preserve"> </v>
      </c>
      <c r="D37" s="39"/>
      <c r="E37" s="39"/>
      <c r="J37" s="15">
        <f t="shared" si="3"/>
        <v>0</v>
      </c>
      <c r="K37" s="2" t="str">
        <f t="shared" si="4"/>
        <v xml:space="preserve"> </v>
      </c>
      <c r="L37" s="2" t="str">
        <f t="shared" si="1"/>
        <v xml:space="preserve"> </v>
      </c>
      <c r="M37" s="2" t="str">
        <f t="shared" si="2"/>
        <v xml:space="preserve"> </v>
      </c>
    </row>
    <row r="38" spans="1:13" x14ac:dyDescent="0.25">
      <c r="A38" s="40" t="str">
        <f t="shared" si="0"/>
        <v xml:space="preserve"> </v>
      </c>
      <c r="D38" s="39"/>
      <c r="E38" s="39"/>
      <c r="J38" s="15">
        <f t="shared" si="3"/>
        <v>0</v>
      </c>
      <c r="K38" s="2" t="str">
        <f t="shared" si="4"/>
        <v xml:space="preserve"> </v>
      </c>
      <c r="L38" s="2" t="str">
        <f t="shared" si="1"/>
        <v xml:space="preserve"> </v>
      </c>
      <c r="M38" s="2" t="str">
        <f t="shared" si="2"/>
        <v xml:space="preserve"> </v>
      </c>
    </row>
    <row r="39" spans="1:13" x14ac:dyDescent="0.25">
      <c r="A39" s="40" t="str">
        <f t="shared" si="0"/>
        <v xml:space="preserve"> </v>
      </c>
      <c r="D39" s="39"/>
      <c r="E39" s="39"/>
      <c r="J39" s="15">
        <f t="shared" si="3"/>
        <v>0</v>
      </c>
      <c r="K39" s="2" t="str">
        <f t="shared" si="4"/>
        <v xml:space="preserve"> </v>
      </c>
      <c r="L39" s="2" t="str">
        <f t="shared" si="1"/>
        <v xml:space="preserve"> </v>
      </c>
      <c r="M39" s="2" t="str">
        <f t="shared" si="2"/>
        <v xml:space="preserve"> </v>
      </c>
    </row>
    <row r="40" spans="1:13" x14ac:dyDescent="0.25">
      <c r="A40" s="40" t="str">
        <f t="shared" si="0"/>
        <v xml:space="preserve"> </v>
      </c>
      <c r="D40" s="39"/>
      <c r="E40" s="39"/>
      <c r="J40" s="15">
        <f t="shared" si="3"/>
        <v>0</v>
      </c>
      <c r="K40" s="2" t="str">
        <f t="shared" si="4"/>
        <v xml:space="preserve"> </v>
      </c>
      <c r="L40" s="2" t="str">
        <f t="shared" si="1"/>
        <v xml:space="preserve"> </v>
      </c>
      <c r="M40" s="2" t="str">
        <f t="shared" si="2"/>
        <v xml:space="preserve"> </v>
      </c>
    </row>
    <row r="41" spans="1:13" x14ac:dyDescent="0.25">
      <c r="A41" s="40" t="str">
        <f t="shared" si="0"/>
        <v xml:space="preserve"> </v>
      </c>
      <c r="D41" s="39"/>
      <c r="E41" s="39"/>
      <c r="J41" s="15">
        <f t="shared" si="3"/>
        <v>0</v>
      </c>
      <c r="K41" s="2" t="str">
        <f t="shared" si="4"/>
        <v xml:space="preserve"> </v>
      </c>
      <c r="L41" s="2" t="str">
        <f t="shared" si="1"/>
        <v xml:space="preserve"> </v>
      </c>
      <c r="M41" s="2" t="str">
        <f t="shared" si="2"/>
        <v xml:space="preserve"> </v>
      </c>
    </row>
    <row r="42" spans="1:13" x14ac:dyDescent="0.25">
      <c r="A42" s="40" t="str">
        <f t="shared" si="0"/>
        <v xml:space="preserve"> </v>
      </c>
      <c r="D42" s="39"/>
      <c r="E42" s="39"/>
      <c r="J42" s="15">
        <f t="shared" si="3"/>
        <v>0</v>
      </c>
      <c r="K42" s="2" t="str">
        <f t="shared" si="4"/>
        <v xml:space="preserve"> </v>
      </c>
      <c r="L42" s="2" t="str">
        <f t="shared" si="1"/>
        <v xml:space="preserve"> </v>
      </c>
      <c r="M42" s="2" t="str">
        <f t="shared" si="2"/>
        <v xml:space="preserve"> </v>
      </c>
    </row>
    <row r="43" spans="1:13" x14ac:dyDescent="0.25">
      <c r="A43" s="40" t="str">
        <f t="shared" si="0"/>
        <v xml:space="preserve"> </v>
      </c>
      <c r="D43" s="39"/>
      <c r="E43" s="39"/>
      <c r="J43" s="15">
        <f t="shared" si="3"/>
        <v>0</v>
      </c>
      <c r="K43" s="2" t="str">
        <f t="shared" si="4"/>
        <v xml:space="preserve"> </v>
      </c>
      <c r="L43" s="2" t="str">
        <f t="shared" si="1"/>
        <v xml:space="preserve"> </v>
      </c>
      <c r="M43" s="2" t="str">
        <f t="shared" si="2"/>
        <v xml:space="preserve"> </v>
      </c>
    </row>
    <row r="44" spans="1:13" x14ac:dyDescent="0.25">
      <c r="A44" s="40" t="str">
        <f t="shared" si="0"/>
        <v xml:space="preserve"> </v>
      </c>
      <c r="D44" s="39"/>
      <c r="E44" s="39"/>
      <c r="J44" s="15">
        <f t="shared" si="3"/>
        <v>0</v>
      </c>
      <c r="K44" s="2" t="str">
        <f t="shared" si="4"/>
        <v xml:space="preserve"> </v>
      </c>
      <c r="L44" s="2" t="str">
        <f t="shared" si="1"/>
        <v xml:space="preserve"> </v>
      </c>
      <c r="M44" s="2" t="str">
        <f t="shared" si="2"/>
        <v xml:space="preserve"> </v>
      </c>
    </row>
    <row r="45" spans="1:13" x14ac:dyDescent="0.25">
      <c r="A45" s="40" t="str">
        <f t="shared" si="0"/>
        <v xml:space="preserve"> </v>
      </c>
      <c r="D45" s="39"/>
      <c r="E45" s="39"/>
      <c r="J45" s="15">
        <f t="shared" si="3"/>
        <v>0</v>
      </c>
      <c r="K45" s="2" t="str">
        <f t="shared" si="4"/>
        <v xml:space="preserve"> </v>
      </c>
      <c r="L45" s="2" t="str">
        <f t="shared" si="1"/>
        <v xml:space="preserve"> </v>
      </c>
      <c r="M45" s="2" t="str">
        <f t="shared" si="2"/>
        <v xml:space="preserve"> </v>
      </c>
    </row>
    <row r="46" spans="1:13" x14ac:dyDescent="0.25">
      <c r="A46" s="40" t="str">
        <f t="shared" si="0"/>
        <v xml:space="preserve"> </v>
      </c>
      <c r="D46" s="39"/>
      <c r="E46" s="39"/>
      <c r="J46" s="15">
        <f t="shared" si="3"/>
        <v>0</v>
      </c>
      <c r="K46" s="2" t="str">
        <f t="shared" si="4"/>
        <v xml:space="preserve"> </v>
      </c>
      <c r="L46" s="2" t="str">
        <f t="shared" si="1"/>
        <v xml:space="preserve"> </v>
      </c>
      <c r="M46" s="2" t="str">
        <f t="shared" si="2"/>
        <v xml:space="preserve"> </v>
      </c>
    </row>
    <row r="47" spans="1:13" x14ac:dyDescent="0.25">
      <c r="A47" s="40" t="str">
        <f t="shared" si="0"/>
        <v xml:space="preserve"> </v>
      </c>
      <c r="D47" s="39"/>
      <c r="E47" s="39"/>
      <c r="J47" s="15">
        <f t="shared" si="3"/>
        <v>0</v>
      </c>
      <c r="K47" s="2" t="str">
        <f t="shared" si="4"/>
        <v xml:space="preserve"> </v>
      </c>
      <c r="L47" s="2" t="str">
        <f t="shared" si="1"/>
        <v xml:space="preserve"> </v>
      </c>
      <c r="M47" s="2" t="str">
        <f t="shared" si="2"/>
        <v xml:space="preserve"> </v>
      </c>
    </row>
    <row r="48" spans="1:13" x14ac:dyDescent="0.25">
      <c r="A48" s="40" t="str">
        <f t="shared" si="0"/>
        <v xml:space="preserve"> </v>
      </c>
      <c r="D48" s="39"/>
      <c r="E48" s="39"/>
      <c r="J48" s="15">
        <f t="shared" si="3"/>
        <v>0</v>
      </c>
      <c r="K48" s="2" t="str">
        <f t="shared" si="4"/>
        <v xml:space="preserve"> </v>
      </c>
      <c r="L48" s="2" t="str">
        <f t="shared" si="1"/>
        <v xml:space="preserve"> </v>
      </c>
      <c r="M48" s="2" t="str">
        <f t="shared" si="2"/>
        <v xml:space="preserve"> </v>
      </c>
    </row>
    <row r="49" spans="1:13" x14ac:dyDescent="0.25">
      <c r="A49" s="40" t="str">
        <f t="shared" si="0"/>
        <v xml:space="preserve"> </v>
      </c>
      <c r="D49" s="39"/>
      <c r="E49" s="39"/>
      <c r="J49" s="15">
        <f t="shared" si="3"/>
        <v>0</v>
      </c>
      <c r="K49" s="2" t="str">
        <f t="shared" si="4"/>
        <v xml:space="preserve"> </v>
      </c>
      <c r="L49" s="2" t="str">
        <f t="shared" si="1"/>
        <v xml:space="preserve"> </v>
      </c>
      <c r="M49" s="2" t="str">
        <f t="shared" si="2"/>
        <v xml:space="preserve"> </v>
      </c>
    </row>
    <row r="50" spans="1:13" x14ac:dyDescent="0.25">
      <c r="A50" s="40" t="str">
        <f t="shared" si="0"/>
        <v xml:space="preserve"> </v>
      </c>
      <c r="D50" s="39"/>
      <c r="E50" s="39"/>
      <c r="J50" s="15">
        <f t="shared" si="3"/>
        <v>0</v>
      </c>
      <c r="K50" s="2" t="str">
        <f t="shared" si="4"/>
        <v xml:space="preserve"> </v>
      </c>
      <c r="L50" s="2" t="str">
        <f t="shared" si="1"/>
        <v xml:space="preserve"> </v>
      </c>
      <c r="M50" s="2" t="str">
        <f t="shared" si="2"/>
        <v xml:space="preserve"> </v>
      </c>
    </row>
    <row r="51" spans="1:13" x14ac:dyDescent="0.25">
      <c r="A51" s="40" t="str">
        <f t="shared" si="0"/>
        <v xml:space="preserve"> </v>
      </c>
      <c r="D51" s="39"/>
      <c r="E51" s="39"/>
      <c r="J51" s="15">
        <f t="shared" si="3"/>
        <v>0</v>
      </c>
      <c r="K51" s="2" t="str">
        <f t="shared" si="4"/>
        <v xml:space="preserve"> </v>
      </c>
      <c r="L51" s="2" t="str">
        <f t="shared" si="1"/>
        <v xml:space="preserve"> </v>
      </c>
      <c r="M51" s="2" t="str">
        <f t="shared" si="2"/>
        <v xml:space="preserve"> </v>
      </c>
    </row>
    <row r="52" spans="1:13" x14ac:dyDescent="0.25">
      <c r="A52" s="40" t="str">
        <f t="shared" si="0"/>
        <v xml:space="preserve"> </v>
      </c>
      <c r="D52" s="39"/>
      <c r="E52" s="39"/>
      <c r="J52" s="15">
        <f t="shared" si="3"/>
        <v>0</v>
      </c>
      <c r="K52" s="2" t="str">
        <f t="shared" si="4"/>
        <v xml:space="preserve"> </v>
      </c>
      <c r="L52" s="2" t="str">
        <f t="shared" si="1"/>
        <v xml:space="preserve"> </v>
      </c>
      <c r="M52" s="2" t="str">
        <f t="shared" si="2"/>
        <v xml:space="preserve"> </v>
      </c>
    </row>
    <row r="53" spans="1:13" x14ac:dyDescent="0.25">
      <c r="A53" s="40" t="str">
        <f t="shared" si="0"/>
        <v xml:space="preserve"> </v>
      </c>
      <c r="D53" s="39"/>
      <c r="E53" s="39"/>
      <c r="J53" s="15">
        <f t="shared" si="3"/>
        <v>0</v>
      </c>
      <c r="K53" s="2" t="str">
        <f t="shared" si="4"/>
        <v xml:space="preserve"> </v>
      </c>
      <c r="L53" s="2" t="str">
        <f t="shared" si="1"/>
        <v xml:space="preserve"> </v>
      </c>
      <c r="M53" s="2" t="str">
        <f t="shared" si="2"/>
        <v xml:space="preserve"> </v>
      </c>
    </row>
    <row r="54" spans="1:13" x14ac:dyDescent="0.25">
      <c r="A54" s="40" t="str">
        <f t="shared" si="0"/>
        <v xml:space="preserve"> </v>
      </c>
      <c r="D54" s="39"/>
      <c r="E54" s="39"/>
      <c r="J54" s="15">
        <f t="shared" si="3"/>
        <v>0</v>
      </c>
      <c r="K54" s="2" t="str">
        <f t="shared" si="4"/>
        <v xml:space="preserve"> </v>
      </c>
      <c r="L54" s="2" t="str">
        <f t="shared" si="1"/>
        <v xml:space="preserve"> </v>
      </c>
      <c r="M54" s="2" t="str">
        <f t="shared" si="2"/>
        <v xml:space="preserve"> </v>
      </c>
    </row>
    <row r="55" spans="1:13" x14ac:dyDescent="0.25">
      <c r="A55" s="40" t="str">
        <f t="shared" si="0"/>
        <v xml:space="preserve"> </v>
      </c>
      <c r="D55" s="39"/>
      <c r="E55" s="39"/>
      <c r="J55" s="15">
        <f t="shared" si="3"/>
        <v>0</v>
      </c>
      <c r="K55" s="2" t="str">
        <f t="shared" si="4"/>
        <v xml:space="preserve"> </v>
      </c>
      <c r="L55" s="2" t="str">
        <f t="shared" si="1"/>
        <v xml:space="preserve"> </v>
      </c>
      <c r="M55" s="2" t="str">
        <f t="shared" si="2"/>
        <v xml:space="preserve"> </v>
      </c>
    </row>
    <row r="56" spans="1:13" x14ac:dyDescent="0.25">
      <c r="A56" s="40" t="str">
        <f t="shared" si="0"/>
        <v xml:space="preserve"> </v>
      </c>
      <c r="D56" s="39"/>
      <c r="E56" s="39"/>
      <c r="J56" s="15">
        <f t="shared" si="3"/>
        <v>0</v>
      </c>
      <c r="K56" s="2" t="str">
        <f t="shared" si="4"/>
        <v xml:space="preserve"> </v>
      </c>
      <c r="L56" s="2" t="str">
        <f t="shared" si="1"/>
        <v xml:space="preserve"> </v>
      </c>
      <c r="M56" s="2" t="str">
        <f t="shared" si="2"/>
        <v xml:space="preserve"> </v>
      </c>
    </row>
    <row r="57" spans="1:13" x14ac:dyDescent="0.25">
      <c r="A57" s="40" t="str">
        <f t="shared" si="0"/>
        <v xml:space="preserve"> </v>
      </c>
      <c r="D57" s="39"/>
      <c r="E57" s="39"/>
      <c r="J57" s="15">
        <f t="shared" si="3"/>
        <v>0</v>
      </c>
      <c r="K57" s="2" t="str">
        <f t="shared" si="4"/>
        <v xml:space="preserve"> </v>
      </c>
      <c r="L57" s="2" t="str">
        <f t="shared" si="1"/>
        <v xml:space="preserve"> </v>
      </c>
      <c r="M57" s="2" t="str">
        <f t="shared" si="2"/>
        <v xml:space="preserve"> </v>
      </c>
    </row>
    <row r="58" spans="1:13" x14ac:dyDescent="0.25">
      <c r="A58" s="40" t="str">
        <f t="shared" si="0"/>
        <v xml:space="preserve"> </v>
      </c>
      <c r="D58" s="39"/>
      <c r="E58" s="39"/>
      <c r="J58" s="15">
        <f t="shared" si="3"/>
        <v>0</v>
      </c>
      <c r="K58" s="2" t="str">
        <f t="shared" si="4"/>
        <v xml:space="preserve"> </v>
      </c>
      <c r="L58" s="2" t="str">
        <f t="shared" si="1"/>
        <v xml:space="preserve"> </v>
      </c>
      <c r="M58" s="2" t="str">
        <f t="shared" si="2"/>
        <v xml:space="preserve"> </v>
      </c>
    </row>
    <row r="59" spans="1:13" x14ac:dyDescent="0.25">
      <c r="A59" s="40" t="str">
        <f t="shared" si="0"/>
        <v xml:space="preserve"> </v>
      </c>
      <c r="D59" s="39"/>
      <c r="E59" s="39"/>
      <c r="J59" s="15">
        <f t="shared" si="3"/>
        <v>0</v>
      </c>
      <c r="K59" s="2" t="str">
        <f t="shared" si="4"/>
        <v xml:space="preserve"> </v>
      </c>
      <c r="L59" s="2" t="str">
        <f t="shared" si="1"/>
        <v xml:space="preserve"> </v>
      </c>
      <c r="M59" s="2" t="str">
        <f t="shared" si="2"/>
        <v xml:space="preserve"> </v>
      </c>
    </row>
    <row r="60" spans="1:13" x14ac:dyDescent="0.25">
      <c r="A60" s="40" t="str">
        <f t="shared" si="0"/>
        <v xml:space="preserve"> </v>
      </c>
      <c r="D60" s="39"/>
      <c r="E60" s="39"/>
      <c r="J60" s="15">
        <f t="shared" si="3"/>
        <v>0</v>
      </c>
      <c r="K60" s="2" t="str">
        <f t="shared" si="4"/>
        <v xml:space="preserve"> </v>
      </c>
      <c r="L60" s="2" t="str">
        <f t="shared" si="1"/>
        <v xml:space="preserve"> </v>
      </c>
      <c r="M60" s="2" t="str">
        <f t="shared" si="2"/>
        <v xml:space="preserve"> </v>
      </c>
    </row>
    <row r="61" spans="1:13" x14ac:dyDescent="0.25">
      <c r="A61" s="40" t="str">
        <f t="shared" si="0"/>
        <v xml:space="preserve"> </v>
      </c>
      <c r="D61" s="39"/>
      <c r="E61" s="39"/>
      <c r="J61" s="15">
        <f t="shared" si="3"/>
        <v>0</v>
      </c>
      <c r="K61" s="2" t="str">
        <f t="shared" si="4"/>
        <v xml:space="preserve"> </v>
      </c>
      <c r="L61" s="2" t="str">
        <f t="shared" si="1"/>
        <v xml:space="preserve"> </v>
      </c>
      <c r="M61" s="2" t="str">
        <f t="shared" si="2"/>
        <v xml:space="preserve"> </v>
      </c>
    </row>
    <row r="62" spans="1:13" x14ac:dyDescent="0.25">
      <c r="A62" s="40" t="str">
        <f t="shared" si="0"/>
        <v xml:space="preserve"> </v>
      </c>
      <c r="D62" s="39"/>
      <c r="E62" s="39"/>
      <c r="J62" s="15">
        <f t="shared" si="3"/>
        <v>0</v>
      </c>
      <c r="K62" s="2" t="str">
        <f t="shared" si="4"/>
        <v xml:space="preserve"> </v>
      </c>
      <c r="L62" s="2" t="str">
        <f t="shared" si="1"/>
        <v xml:space="preserve"> </v>
      </c>
      <c r="M62" s="2" t="str">
        <f t="shared" si="2"/>
        <v xml:space="preserve"> </v>
      </c>
    </row>
    <row r="63" spans="1:13" x14ac:dyDescent="0.25">
      <c r="A63" s="40" t="str">
        <f t="shared" si="0"/>
        <v xml:space="preserve"> </v>
      </c>
      <c r="D63" s="39"/>
      <c r="E63" s="39"/>
      <c r="J63" s="15">
        <f t="shared" si="3"/>
        <v>0</v>
      </c>
      <c r="K63" s="2" t="str">
        <f t="shared" si="4"/>
        <v xml:space="preserve"> </v>
      </c>
      <c r="L63" s="2" t="str">
        <f t="shared" si="1"/>
        <v xml:space="preserve"> </v>
      </c>
      <c r="M63" s="2" t="str">
        <f t="shared" si="2"/>
        <v xml:space="preserve"> </v>
      </c>
    </row>
    <row r="64" spans="1:13" x14ac:dyDescent="0.25">
      <c r="A64" s="40" t="str">
        <f t="shared" si="0"/>
        <v xml:space="preserve"> </v>
      </c>
      <c r="D64" s="39"/>
      <c r="E64" s="39"/>
      <c r="J64" s="15">
        <f t="shared" si="3"/>
        <v>0</v>
      </c>
      <c r="K64" s="2" t="str">
        <f t="shared" si="4"/>
        <v xml:space="preserve"> </v>
      </c>
      <c r="L64" s="2" t="str">
        <f t="shared" si="1"/>
        <v xml:space="preserve"> </v>
      </c>
      <c r="M64" s="2" t="str">
        <f t="shared" si="2"/>
        <v xml:space="preserve"> </v>
      </c>
    </row>
    <row r="65" spans="1:13" x14ac:dyDescent="0.25">
      <c r="A65" s="40" t="str">
        <f t="shared" si="0"/>
        <v xml:space="preserve"> </v>
      </c>
      <c r="D65" s="39"/>
      <c r="E65" s="39"/>
      <c r="J65" s="15">
        <f t="shared" si="3"/>
        <v>0</v>
      </c>
      <c r="K65" s="2" t="str">
        <f t="shared" si="4"/>
        <v xml:space="preserve"> </v>
      </c>
      <c r="L65" s="2" t="str">
        <f t="shared" si="1"/>
        <v xml:space="preserve"> </v>
      </c>
      <c r="M65" s="2" t="str">
        <f t="shared" si="2"/>
        <v xml:space="preserve"> </v>
      </c>
    </row>
    <row r="66" spans="1:13" x14ac:dyDescent="0.25">
      <c r="A66" s="40" t="str">
        <f t="shared" si="0"/>
        <v xml:space="preserve"> </v>
      </c>
      <c r="D66" s="39"/>
      <c r="E66" s="39"/>
      <c r="J66" s="15">
        <f t="shared" si="3"/>
        <v>0</v>
      </c>
      <c r="K66" s="2" t="str">
        <f t="shared" si="4"/>
        <v xml:space="preserve"> </v>
      </c>
      <c r="L66" s="2" t="str">
        <f t="shared" si="1"/>
        <v xml:space="preserve"> </v>
      </c>
      <c r="M66" s="2" t="str">
        <f t="shared" si="2"/>
        <v xml:space="preserve"> </v>
      </c>
    </row>
    <row r="67" spans="1:13" x14ac:dyDescent="0.25">
      <c r="A67" s="40" t="str">
        <f t="shared" si="0"/>
        <v xml:space="preserve"> </v>
      </c>
      <c r="D67" s="39"/>
      <c r="E67" s="39"/>
      <c r="J67" s="15">
        <f t="shared" si="3"/>
        <v>0</v>
      </c>
      <c r="K67" s="2" t="str">
        <f t="shared" si="4"/>
        <v xml:space="preserve"> </v>
      </c>
      <c r="L67" s="2" t="str">
        <f t="shared" si="1"/>
        <v xml:space="preserve"> </v>
      </c>
      <c r="M67" s="2" t="str">
        <f t="shared" si="2"/>
        <v xml:space="preserve"> </v>
      </c>
    </row>
    <row r="68" spans="1:13" x14ac:dyDescent="0.25">
      <c r="A68" s="40" t="str">
        <f t="shared" si="0"/>
        <v xml:space="preserve"> </v>
      </c>
      <c r="D68" s="39"/>
      <c r="E68" s="39"/>
      <c r="J68" s="15">
        <f t="shared" si="3"/>
        <v>0</v>
      </c>
      <c r="K68" s="2" t="str">
        <f t="shared" si="4"/>
        <v xml:space="preserve"> </v>
      </c>
      <c r="L68" s="2" t="str">
        <f t="shared" si="1"/>
        <v xml:space="preserve"> </v>
      </c>
      <c r="M68" s="2" t="str">
        <f t="shared" si="2"/>
        <v xml:space="preserve"> </v>
      </c>
    </row>
    <row r="69" spans="1:13" x14ac:dyDescent="0.25">
      <c r="A69" s="40" t="str">
        <f t="shared" si="0"/>
        <v xml:space="preserve"> </v>
      </c>
      <c r="D69" s="39"/>
      <c r="E69" s="39"/>
      <c r="J69" s="15">
        <f t="shared" si="3"/>
        <v>0</v>
      </c>
      <c r="K69" s="2" t="str">
        <f t="shared" si="4"/>
        <v xml:space="preserve"> </v>
      </c>
      <c r="L69" s="2" t="str">
        <f t="shared" si="1"/>
        <v xml:space="preserve"> </v>
      </c>
      <c r="M69" s="2" t="str">
        <f t="shared" si="2"/>
        <v xml:space="preserve"> </v>
      </c>
    </row>
    <row r="70" spans="1:13" x14ac:dyDescent="0.25">
      <c r="A70" s="40" t="str">
        <f t="shared" si="0"/>
        <v xml:space="preserve"> </v>
      </c>
      <c r="D70" s="39"/>
      <c r="E70" s="39"/>
      <c r="J70" s="15">
        <f t="shared" si="3"/>
        <v>0</v>
      </c>
      <c r="K70" s="2" t="str">
        <f t="shared" si="4"/>
        <v xml:space="preserve"> </v>
      </c>
      <c r="L70" s="2" t="str">
        <f t="shared" si="1"/>
        <v xml:space="preserve"> </v>
      </c>
      <c r="M70" s="2" t="str">
        <f t="shared" si="2"/>
        <v xml:space="preserve"> </v>
      </c>
    </row>
    <row r="71" spans="1:13" x14ac:dyDescent="0.25">
      <c r="A71" s="40" t="str">
        <f t="shared" si="0"/>
        <v xml:space="preserve"> </v>
      </c>
      <c r="D71" s="39"/>
      <c r="E71" s="39"/>
      <c r="J71" s="15">
        <f t="shared" si="3"/>
        <v>0</v>
      </c>
      <c r="K71" s="2" t="str">
        <f t="shared" si="4"/>
        <v xml:space="preserve"> </v>
      </c>
      <c r="L71" s="2" t="str">
        <f t="shared" si="1"/>
        <v xml:space="preserve"> </v>
      </c>
      <c r="M71" s="2" t="str">
        <f t="shared" si="2"/>
        <v xml:space="preserve"> </v>
      </c>
    </row>
    <row r="72" spans="1:13" x14ac:dyDescent="0.25">
      <c r="A72" s="40" t="str">
        <f t="shared" si="0"/>
        <v xml:space="preserve"> </v>
      </c>
      <c r="D72" s="39"/>
      <c r="E72" s="39"/>
      <c r="J72" s="15">
        <f t="shared" si="3"/>
        <v>0</v>
      </c>
      <c r="K72" s="2" t="str">
        <f t="shared" si="4"/>
        <v xml:space="preserve"> </v>
      </c>
      <c r="L72" s="2" t="str">
        <f t="shared" si="1"/>
        <v xml:space="preserve"> </v>
      </c>
      <c r="M72" s="2" t="str">
        <f t="shared" si="2"/>
        <v xml:space="preserve"> </v>
      </c>
    </row>
    <row r="73" spans="1:13" x14ac:dyDescent="0.25">
      <c r="A73" s="40" t="str">
        <f t="shared" si="0"/>
        <v xml:space="preserve"> </v>
      </c>
      <c r="D73" s="39"/>
      <c r="E73" s="39"/>
      <c r="J73" s="15">
        <f t="shared" si="3"/>
        <v>0</v>
      </c>
      <c r="K73" s="2" t="str">
        <f t="shared" si="4"/>
        <v xml:space="preserve"> </v>
      </c>
      <c r="L73" s="2" t="str">
        <f t="shared" si="1"/>
        <v xml:space="preserve"> </v>
      </c>
      <c r="M73" s="2" t="str">
        <f t="shared" si="2"/>
        <v xml:space="preserve"> </v>
      </c>
    </row>
    <row r="74" spans="1:13" x14ac:dyDescent="0.25">
      <c r="A74" s="40" t="str">
        <f t="shared" si="0"/>
        <v xml:space="preserve"> </v>
      </c>
      <c r="D74" s="39"/>
      <c r="E74" s="39"/>
      <c r="J74" s="15">
        <f t="shared" si="3"/>
        <v>0</v>
      </c>
      <c r="K74" s="2" t="str">
        <f t="shared" si="4"/>
        <v xml:space="preserve"> </v>
      </c>
      <c r="L74" s="2" t="str">
        <f t="shared" si="1"/>
        <v xml:space="preserve"> </v>
      </c>
      <c r="M74" s="2" t="str">
        <f t="shared" si="2"/>
        <v xml:space="preserve"> </v>
      </c>
    </row>
    <row r="75" spans="1:13" x14ac:dyDescent="0.25">
      <c r="A75" s="40" t="str">
        <f t="shared" si="0"/>
        <v xml:space="preserve"> </v>
      </c>
      <c r="D75" s="39"/>
      <c r="E75" s="39"/>
      <c r="J75" s="15">
        <f t="shared" si="3"/>
        <v>0</v>
      </c>
      <c r="K75" s="2" t="str">
        <f t="shared" si="4"/>
        <v xml:space="preserve"> </v>
      </c>
      <c r="L75" s="2" t="str">
        <f t="shared" si="1"/>
        <v xml:space="preserve"> </v>
      </c>
      <c r="M75" s="2" t="str">
        <f t="shared" si="2"/>
        <v xml:space="preserve"> </v>
      </c>
    </row>
    <row r="76" spans="1:13" x14ac:dyDescent="0.25">
      <c r="A76" s="40" t="str">
        <f t="shared" si="0"/>
        <v xml:space="preserve"> </v>
      </c>
      <c r="D76" s="39"/>
      <c r="E76" s="39"/>
      <c r="J76" s="15">
        <f t="shared" si="3"/>
        <v>0</v>
      </c>
      <c r="K76" s="2" t="str">
        <f t="shared" si="4"/>
        <v xml:space="preserve"> </v>
      </c>
      <c r="L76" s="2" t="str">
        <f t="shared" si="1"/>
        <v xml:space="preserve"> </v>
      </c>
      <c r="M76" s="2" t="str">
        <f t="shared" si="2"/>
        <v xml:space="preserve"> </v>
      </c>
    </row>
    <row r="77" spans="1:13" x14ac:dyDescent="0.25">
      <c r="A77" s="40" t="str">
        <f t="shared" si="0"/>
        <v xml:space="preserve"> </v>
      </c>
      <c r="D77" s="39"/>
      <c r="E77" s="39"/>
      <c r="J77" s="15">
        <f t="shared" si="3"/>
        <v>0</v>
      </c>
      <c r="K77" s="2" t="str">
        <f t="shared" si="4"/>
        <v xml:space="preserve"> </v>
      </c>
      <c r="L77" s="2" t="str">
        <f t="shared" si="1"/>
        <v xml:space="preserve"> </v>
      </c>
      <c r="M77" s="2" t="str">
        <f t="shared" si="2"/>
        <v xml:space="preserve"> </v>
      </c>
    </row>
    <row r="78" spans="1:13" x14ac:dyDescent="0.25">
      <c r="A78" s="40" t="str">
        <f t="shared" si="0"/>
        <v xml:space="preserve"> </v>
      </c>
      <c r="D78" s="39"/>
      <c r="E78" s="39"/>
      <c r="J78" s="15">
        <f t="shared" si="3"/>
        <v>0</v>
      </c>
      <c r="K78" s="2" t="str">
        <f t="shared" si="4"/>
        <v xml:space="preserve"> </v>
      </c>
      <c r="L78" s="2" t="str">
        <f t="shared" si="1"/>
        <v xml:space="preserve"> </v>
      </c>
      <c r="M78" s="2" t="str">
        <f t="shared" si="2"/>
        <v xml:space="preserve"> </v>
      </c>
    </row>
    <row r="79" spans="1:13" x14ac:dyDescent="0.25">
      <c r="A79" s="40" t="str">
        <f t="shared" ref="A79:A142" si="5">IF(COUNTIF(K79:M79,"ERROR")&gt;0,"ERROR"," ")</f>
        <v xml:space="preserve"> </v>
      </c>
      <c r="D79" s="39"/>
      <c r="E79" s="39"/>
      <c r="J79" s="15">
        <f t="shared" si="3"/>
        <v>0</v>
      </c>
      <c r="K79" s="2" t="str">
        <f t="shared" si="4"/>
        <v xml:space="preserve"> </v>
      </c>
      <c r="L79" s="2" t="str">
        <f t="shared" ref="L79:L142" si="6">IF(D79=0," ",IF(COUNTIF(ProfitLoss3,D79)&gt;0," ","ERROR"))</f>
        <v xml:space="preserve"> </v>
      </c>
      <c r="M79" s="2" t="str">
        <f t="shared" ref="M79:M142" si="7">IF(E79=0," ",IF(COUNTIF(BalanceSheet3,E79)&gt;0," ","ERROR"))</f>
        <v xml:space="preserve"> </v>
      </c>
    </row>
    <row r="80" spans="1:13" x14ac:dyDescent="0.25">
      <c r="A80" s="40" t="str">
        <f t="shared" si="5"/>
        <v xml:space="preserve"> </v>
      </c>
      <c r="D80" s="39"/>
      <c r="E80" s="39"/>
      <c r="J80" s="15">
        <f t="shared" ref="J80:J143" si="8">F80-G80+H80-I80</f>
        <v>0</v>
      </c>
      <c r="K80" s="2" t="str">
        <f t="shared" ref="K80:K143" si="9">IF(COUNTA(D80:E80)=2,"ERROR"," ")</f>
        <v xml:space="preserve"> </v>
      </c>
      <c r="L80" s="2" t="str">
        <f t="shared" si="6"/>
        <v xml:space="preserve"> </v>
      </c>
      <c r="M80" s="2" t="str">
        <f t="shared" si="7"/>
        <v xml:space="preserve"> </v>
      </c>
    </row>
    <row r="81" spans="1:13" x14ac:dyDescent="0.25">
      <c r="A81" s="40" t="str">
        <f t="shared" si="5"/>
        <v xml:space="preserve"> </v>
      </c>
      <c r="D81" s="39"/>
      <c r="E81" s="39"/>
      <c r="J81" s="15">
        <f t="shared" si="8"/>
        <v>0</v>
      </c>
      <c r="K81" s="2" t="str">
        <f t="shared" si="9"/>
        <v xml:space="preserve"> </v>
      </c>
      <c r="L81" s="2" t="str">
        <f t="shared" si="6"/>
        <v xml:space="preserve"> </v>
      </c>
      <c r="M81" s="2" t="str">
        <f t="shared" si="7"/>
        <v xml:space="preserve"> </v>
      </c>
    </row>
    <row r="82" spans="1:13" x14ac:dyDescent="0.25">
      <c r="A82" s="40" t="str">
        <f t="shared" si="5"/>
        <v xml:space="preserve"> </v>
      </c>
      <c r="D82" s="39"/>
      <c r="E82" s="39"/>
      <c r="J82" s="15">
        <f t="shared" si="8"/>
        <v>0</v>
      </c>
      <c r="K82" s="2" t="str">
        <f t="shared" si="9"/>
        <v xml:space="preserve"> </v>
      </c>
      <c r="L82" s="2" t="str">
        <f t="shared" si="6"/>
        <v xml:space="preserve"> </v>
      </c>
      <c r="M82" s="2" t="str">
        <f t="shared" si="7"/>
        <v xml:space="preserve"> </v>
      </c>
    </row>
    <row r="83" spans="1:13" x14ac:dyDescent="0.25">
      <c r="A83" s="40" t="str">
        <f t="shared" si="5"/>
        <v xml:space="preserve"> </v>
      </c>
      <c r="D83" s="39"/>
      <c r="E83" s="39"/>
      <c r="J83" s="15">
        <f t="shared" si="8"/>
        <v>0</v>
      </c>
      <c r="K83" s="2" t="str">
        <f t="shared" si="9"/>
        <v xml:space="preserve"> </v>
      </c>
      <c r="L83" s="2" t="str">
        <f t="shared" si="6"/>
        <v xml:space="preserve"> </v>
      </c>
      <c r="M83" s="2" t="str">
        <f t="shared" si="7"/>
        <v xml:space="preserve"> </v>
      </c>
    </row>
    <row r="84" spans="1:13" x14ac:dyDescent="0.25">
      <c r="A84" s="40" t="str">
        <f t="shared" si="5"/>
        <v xml:space="preserve"> </v>
      </c>
      <c r="D84" s="39"/>
      <c r="E84" s="39"/>
      <c r="J84" s="15">
        <f t="shared" si="8"/>
        <v>0</v>
      </c>
      <c r="K84" s="2" t="str">
        <f t="shared" si="9"/>
        <v xml:space="preserve"> </v>
      </c>
      <c r="L84" s="2" t="str">
        <f t="shared" si="6"/>
        <v xml:space="preserve"> </v>
      </c>
      <c r="M84" s="2" t="str">
        <f t="shared" si="7"/>
        <v xml:space="preserve"> </v>
      </c>
    </row>
    <row r="85" spans="1:13" x14ac:dyDescent="0.25">
      <c r="A85" s="40" t="str">
        <f t="shared" si="5"/>
        <v xml:space="preserve"> </v>
      </c>
      <c r="D85" s="39"/>
      <c r="E85" s="39"/>
      <c r="J85" s="15">
        <f t="shared" si="8"/>
        <v>0</v>
      </c>
      <c r="K85" s="2" t="str">
        <f t="shared" si="9"/>
        <v xml:space="preserve"> </v>
      </c>
      <c r="L85" s="2" t="str">
        <f t="shared" si="6"/>
        <v xml:space="preserve"> </v>
      </c>
      <c r="M85" s="2" t="str">
        <f t="shared" si="7"/>
        <v xml:space="preserve"> </v>
      </c>
    </row>
    <row r="86" spans="1:13" x14ac:dyDescent="0.25">
      <c r="A86" s="40" t="str">
        <f t="shared" si="5"/>
        <v xml:space="preserve"> </v>
      </c>
      <c r="D86" s="39"/>
      <c r="E86" s="39"/>
      <c r="J86" s="15">
        <f t="shared" si="8"/>
        <v>0</v>
      </c>
      <c r="K86" s="2" t="str">
        <f t="shared" si="9"/>
        <v xml:space="preserve"> </v>
      </c>
      <c r="L86" s="2" t="str">
        <f t="shared" si="6"/>
        <v xml:space="preserve"> </v>
      </c>
      <c r="M86" s="2" t="str">
        <f t="shared" si="7"/>
        <v xml:space="preserve"> </v>
      </c>
    </row>
    <row r="87" spans="1:13" x14ac:dyDescent="0.25">
      <c r="A87" s="40" t="str">
        <f t="shared" si="5"/>
        <v xml:space="preserve"> </v>
      </c>
      <c r="D87" s="39"/>
      <c r="E87" s="39"/>
      <c r="J87" s="15">
        <f t="shared" si="8"/>
        <v>0</v>
      </c>
      <c r="K87" s="2" t="str">
        <f t="shared" si="9"/>
        <v xml:space="preserve"> </v>
      </c>
      <c r="L87" s="2" t="str">
        <f t="shared" si="6"/>
        <v xml:space="preserve"> </v>
      </c>
      <c r="M87" s="2" t="str">
        <f t="shared" si="7"/>
        <v xml:space="preserve"> </v>
      </c>
    </row>
    <row r="88" spans="1:13" x14ac:dyDescent="0.25">
      <c r="A88" s="40" t="str">
        <f t="shared" si="5"/>
        <v xml:space="preserve"> </v>
      </c>
      <c r="D88" s="39"/>
      <c r="E88" s="39"/>
      <c r="J88" s="15">
        <f t="shared" si="8"/>
        <v>0</v>
      </c>
      <c r="K88" s="2" t="str">
        <f t="shared" si="9"/>
        <v xml:space="preserve"> </v>
      </c>
      <c r="L88" s="2" t="str">
        <f t="shared" si="6"/>
        <v xml:space="preserve"> </v>
      </c>
      <c r="M88" s="2" t="str">
        <f t="shared" si="7"/>
        <v xml:space="preserve"> </v>
      </c>
    </row>
    <row r="89" spans="1:13" x14ac:dyDescent="0.25">
      <c r="A89" s="40" t="str">
        <f t="shared" si="5"/>
        <v xml:space="preserve"> </v>
      </c>
      <c r="D89" s="39"/>
      <c r="E89" s="39"/>
      <c r="J89" s="15">
        <f t="shared" si="8"/>
        <v>0</v>
      </c>
      <c r="K89" s="2" t="str">
        <f t="shared" si="9"/>
        <v xml:space="preserve"> </v>
      </c>
      <c r="L89" s="2" t="str">
        <f t="shared" si="6"/>
        <v xml:space="preserve"> </v>
      </c>
      <c r="M89" s="2" t="str">
        <f t="shared" si="7"/>
        <v xml:space="preserve"> </v>
      </c>
    </row>
    <row r="90" spans="1:13" x14ac:dyDescent="0.25">
      <c r="A90" s="40" t="str">
        <f t="shared" si="5"/>
        <v xml:space="preserve"> </v>
      </c>
      <c r="D90" s="39"/>
      <c r="E90" s="39"/>
      <c r="J90" s="15">
        <f t="shared" si="8"/>
        <v>0</v>
      </c>
      <c r="K90" s="2" t="str">
        <f t="shared" si="9"/>
        <v xml:space="preserve"> </v>
      </c>
      <c r="L90" s="2" t="str">
        <f t="shared" si="6"/>
        <v xml:space="preserve"> </v>
      </c>
      <c r="M90" s="2" t="str">
        <f t="shared" si="7"/>
        <v xml:space="preserve"> </v>
      </c>
    </row>
    <row r="91" spans="1:13" x14ac:dyDescent="0.25">
      <c r="A91" s="40" t="str">
        <f t="shared" si="5"/>
        <v xml:space="preserve"> </v>
      </c>
      <c r="D91" s="39"/>
      <c r="E91" s="39"/>
      <c r="J91" s="15">
        <f t="shared" si="8"/>
        <v>0</v>
      </c>
      <c r="K91" s="2" t="str">
        <f t="shared" si="9"/>
        <v xml:space="preserve"> </v>
      </c>
      <c r="L91" s="2" t="str">
        <f t="shared" si="6"/>
        <v xml:space="preserve"> </v>
      </c>
      <c r="M91" s="2" t="str">
        <f t="shared" si="7"/>
        <v xml:space="preserve"> </v>
      </c>
    </row>
    <row r="92" spans="1:13" x14ac:dyDescent="0.25">
      <c r="A92" s="40" t="str">
        <f t="shared" si="5"/>
        <v xml:space="preserve"> </v>
      </c>
      <c r="D92" s="39"/>
      <c r="E92" s="39"/>
      <c r="J92" s="15">
        <f t="shared" si="8"/>
        <v>0</v>
      </c>
      <c r="K92" s="2" t="str">
        <f t="shared" si="9"/>
        <v xml:space="preserve"> </v>
      </c>
      <c r="L92" s="2" t="str">
        <f t="shared" si="6"/>
        <v xml:space="preserve"> </v>
      </c>
      <c r="M92" s="2" t="str">
        <f t="shared" si="7"/>
        <v xml:space="preserve"> </v>
      </c>
    </row>
    <row r="93" spans="1:13" x14ac:dyDescent="0.25">
      <c r="A93" s="40" t="str">
        <f t="shared" si="5"/>
        <v xml:space="preserve"> </v>
      </c>
      <c r="D93" s="39"/>
      <c r="E93" s="39"/>
      <c r="J93" s="15">
        <f t="shared" si="8"/>
        <v>0</v>
      </c>
      <c r="K93" s="2" t="str">
        <f t="shared" si="9"/>
        <v xml:space="preserve"> </v>
      </c>
      <c r="L93" s="2" t="str">
        <f t="shared" si="6"/>
        <v xml:space="preserve"> </v>
      </c>
      <c r="M93" s="2" t="str">
        <f t="shared" si="7"/>
        <v xml:space="preserve"> </v>
      </c>
    </row>
    <row r="94" spans="1:13" x14ac:dyDescent="0.25">
      <c r="A94" s="40" t="str">
        <f t="shared" si="5"/>
        <v xml:space="preserve"> </v>
      </c>
      <c r="D94" s="39"/>
      <c r="E94" s="39"/>
      <c r="J94" s="15">
        <f t="shared" si="8"/>
        <v>0</v>
      </c>
      <c r="K94" s="2" t="str">
        <f t="shared" si="9"/>
        <v xml:space="preserve"> </v>
      </c>
      <c r="L94" s="2" t="str">
        <f t="shared" si="6"/>
        <v xml:space="preserve"> </v>
      </c>
      <c r="M94" s="2" t="str">
        <f t="shared" si="7"/>
        <v xml:space="preserve"> </v>
      </c>
    </row>
    <row r="95" spans="1:13" x14ac:dyDescent="0.25">
      <c r="A95" s="40" t="str">
        <f t="shared" si="5"/>
        <v xml:space="preserve"> </v>
      </c>
      <c r="D95" s="39"/>
      <c r="E95" s="39"/>
      <c r="J95" s="15">
        <f t="shared" si="8"/>
        <v>0</v>
      </c>
      <c r="K95" s="2" t="str">
        <f t="shared" si="9"/>
        <v xml:space="preserve"> </v>
      </c>
      <c r="L95" s="2" t="str">
        <f t="shared" si="6"/>
        <v xml:space="preserve"> </v>
      </c>
      <c r="M95" s="2" t="str">
        <f t="shared" si="7"/>
        <v xml:space="preserve"> </v>
      </c>
    </row>
    <row r="96" spans="1:13" x14ac:dyDescent="0.25">
      <c r="A96" s="40" t="str">
        <f t="shared" si="5"/>
        <v xml:space="preserve"> </v>
      </c>
      <c r="D96" s="39"/>
      <c r="E96" s="39"/>
      <c r="J96" s="15">
        <f t="shared" si="8"/>
        <v>0</v>
      </c>
      <c r="K96" s="2" t="str">
        <f t="shared" si="9"/>
        <v xml:space="preserve"> </v>
      </c>
      <c r="L96" s="2" t="str">
        <f t="shared" si="6"/>
        <v xml:space="preserve"> </v>
      </c>
      <c r="M96" s="2" t="str">
        <f t="shared" si="7"/>
        <v xml:space="preserve"> </v>
      </c>
    </row>
    <row r="97" spans="1:13" x14ac:dyDescent="0.25">
      <c r="A97" s="40" t="str">
        <f t="shared" si="5"/>
        <v xml:space="preserve"> </v>
      </c>
      <c r="D97" s="39"/>
      <c r="E97" s="39"/>
      <c r="J97" s="15">
        <f t="shared" si="8"/>
        <v>0</v>
      </c>
      <c r="K97" s="2" t="str">
        <f t="shared" si="9"/>
        <v xml:space="preserve"> </v>
      </c>
      <c r="L97" s="2" t="str">
        <f t="shared" si="6"/>
        <v xml:space="preserve"> </v>
      </c>
      <c r="M97" s="2" t="str">
        <f t="shared" si="7"/>
        <v xml:space="preserve"> </v>
      </c>
    </row>
    <row r="98" spans="1:13" x14ac:dyDescent="0.25">
      <c r="A98" s="40" t="str">
        <f t="shared" si="5"/>
        <v xml:space="preserve"> </v>
      </c>
      <c r="D98" s="39"/>
      <c r="E98" s="39"/>
      <c r="J98" s="15">
        <f t="shared" si="8"/>
        <v>0</v>
      </c>
      <c r="K98" s="2" t="str">
        <f t="shared" si="9"/>
        <v xml:space="preserve"> </v>
      </c>
      <c r="L98" s="2" t="str">
        <f t="shared" si="6"/>
        <v xml:space="preserve"> </v>
      </c>
      <c r="M98" s="2" t="str">
        <f t="shared" si="7"/>
        <v xml:space="preserve"> </v>
      </c>
    </row>
    <row r="99" spans="1:13" x14ac:dyDescent="0.25">
      <c r="A99" s="40" t="str">
        <f t="shared" si="5"/>
        <v xml:space="preserve"> </v>
      </c>
      <c r="D99" s="39"/>
      <c r="E99" s="39"/>
      <c r="J99" s="15">
        <f t="shared" si="8"/>
        <v>0</v>
      </c>
      <c r="K99" s="2" t="str">
        <f t="shared" si="9"/>
        <v xml:space="preserve"> </v>
      </c>
      <c r="L99" s="2" t="str">
        <f t="shared" si="6"/>
        <v xml:space="preserve"> </v>
      </c>
      <c r="M99" s="2" t="str">
        <f t="shared" si="7"/>
        <v xml:space="preserve"> </v>
      </c>
    </row>
    <row r="100" spans="1:13" x14ac:dyDescent="0.25">
      <c r="A100" s="40" t="str">
        <f t="shared" si="5"/>
        <v xml:space="preserve"> </v>
      </c>
      <c r="D100" s="39"/>
      <c r="E100" s="39"/>
      <c r="J100" s="15">
        <f t="shared" si="8"/>
        <v>0</v>
      </c>
      <c r="K100" s="2" t="str">
        <f t="shared" si="9"/>
        <v xml:space="preserve"> </v>
      </c>
      <c r="L100" s="2" t="str">
        <f t="shared" si="6"/>
        <v xml:space="preserve"> </v>
      </c>
      <c r="M100" s="2" t="str">
        <f t="shared" si="7"/>
        <v xml:space="preserve"> </v>
      </c>
    </row>
    <row r="101" spans="1:13" x14ac:dyDescent="0.25">
      <c r="A101" s="40" t="str">
        <f t="shared" si="5"/>
        <v xml:space="preserve"> </v>
      </c>
      <c r="D101" s="39"/>
      <c r="E101" s="39"/>
      <c r="J101" s="15">
        <f t="shared" si="8"/>
        <v>0</v>
      </c>
      <c r="K101" s="2" t="str">
        <f t="shared" si="9"/>
        <v xml:space="preserve"> </v>
      </c>
      <c r="L101" s="2" t="str">
        <f t="shared" si="6"/>
        <v xml:space="preserve"> </v>
      </c>
      <c r="M101" s="2" t="str">
        <f t="shared" si="7"/>
        <v xml:space="preserve"> </v>
      </c>
    </row>
    <row r="102" spans="1:13" x14ac:dyDescent="0.25">
      <c r="A102" s="40" t="str">
        <f t="shared" si="5"/>
        <v xml:space="preserve"> </v>
      </c>
      <c r="D102" s="39"/>
      <c r="E102" s="39"/>
      <c r="J102" s="15">
        <f t="shared" si="8"/>
        <v>0</v>
      </c>
      <c r="K102" s="2" t="str">
        <f t="shared" si="9"/>
        <v xml:space="preserve"> </v>
      </c>
      <c r="L102" s="2" t="str">
        <f t="shared" si="6"/>
        <v xml:space="preserve"> </v>
      </c>
      <c r="M102" s="2" t="str">
        <f t="shared" si="7"/>
        <v xml:space="preserve"> </v>
      </c>
    </row>
    <row r="103" spans="1:13" x14ac:dyDescent="0.25">
      <c r="A103" s="40" t="str">
        <f t="shared" si="5"/>
        <v xml:space="preserve"> </v>
      </c>
      <c r="D103" s="39"/>
      <c r="E103" s="39"/>
      <c r="J103" s="15">
        <f t="shared" si="8"/>
        <v>0</v>
      </c>
      <c r="K103" s="2" t="str">
        <f t="shared" si="9"/>
        <v xml:space="preserve"> </v>
      </c>
      <c r="L103" s="2" t="str">
        <f t="shared" si="6"/>
        <v xml:space="preserve"> </v>
      </c>
      <c r="M103" s="2" t="str">
        <f t="shared" si="7"/>
        <v xml:space="preserve"> </v>
      </c>
    </row>
    <row r="104" spans="1:13" x14ac:dyDescent="0.25">
      <c r="A104" s="40" t="str">
        <f t="shared" si="5"/>
        <v xml:space="preserve"> </v>
      </c>
      <c r="D104" s="39"/>
      <c r="E104" s="39"/>
      <c r="J104" s="15">
        <f t="shared" si="8"/>
        <v>0</v>
      </c>
      <c r="K104" s="2" t="str">
        <f t="shared" si="9"/>
        <v xml:space="preserve"> </v>
      </c>
      <c r="L104" s="2" t="str">
        <f t="shared" si="6"/>
        <v xml:space="preserve"> </v>
      </c>
      <c r="M104" s="2" t="str">
        <f t="shared" si="7"/>
        <v xml:space="preserve"> </v>
      </c>
    </row>
    <row r="105" spans="1:13" x14ac:dyDescent="0.25">
      <c r="A105" s="40" t="str">
        <f t="shared" si="5"/>
        <v xml:space="preserve"> </v>
      </c>
      <c r="D105" s="39"/>
      <c r="E105" s="39"/>
      <c r="J105" s="15">
        <f t="shared" si="8"/>
        <v>0</v>
      </c>
      <c r="K105" s="2" t="str">
        <f t="shared" si="9"/>
        <v xml:space="preserve"> </v>
      </c>
      <c r="L105" s="2" t="str">
        <f t="shared" si="6"/>
        <v xml:space="preserve"> </v>
      </c>
      <c r="M105" s="2" t="str">
        <f t="shared" si="7"/>
        <v xml:space="preserve"> </v>
      </c>
    </row>
    <row r="106" spans="1:13" x14ac:dyDescent="0.25">
      <c r="A106" s="40" t="str">
        <f t="shared" si="5"/>
        <v xml:space="preserve"> </v>
      </c>
      <c r="D106" s="39"/>
      <c r="E106" s="39"/>
      <c r="J106" s="15">
        <f t="shared" si="8"/>
        <v>0</v>
      </c>
      <c r="K106" s="2" t="str">
        <f t="shared" si="9"/>
        <v xml:space="preserve"> </v>
      </c>
      <c r="L106" s="2" t="str">
        <f t="shared" si="6"/>
        <v xml:space="preserve"> </v>
      </c>
      <c r="M106" s="2" t="str">
        <f t="shared" si="7"/>
        <v xml:space="preserve"> </v>
      </c>
    </row>
    <row r="107" spans="1:13" x14ac:dyDescent="0.25">
      <c r="A107" s="40" t="str">
        <f t="shared" si="5"/>
        <v xml:space="preserve"> </v>
      </c>
      <c r="D107" s="39"/>
      <c r="E107" s="39"/>
      <c r="J107" s="15">
        <f t="shared" si="8"/>
        <v>0</v>
      </c>
      <c r="K107" s="2" t="str">
        <f t="shared" si="9"/>
        <v xml:space="preserve"> </v>
      </c>
      <c r="L107" s="2" t="str">
        <f t="shared" si="6"/>
        <v xml:space="preserve"> </v>
      </c>
      <c r="M107" s="2" t="str">
        <f t="shared" si="7"/>
        <v xml:space="preserve"> </v>
      </c>
    </row>
    <row r="108" spans="1:13" x14ac:dyDescent="0.25">
      <c r="A108" s="40" t="str">
        <f t="shared" si="5"/>
        <v xml:space="preserve"> </v>
      </c>
      <c r="D108" s="39"/>
      <c r="E108" s="39"/>
      <c r="J108" s="15">
        <f t="shared" si="8"/>
        <v>0</v>
      </c>
      <c r="K108" s="2" t="str">
        <f t="shared" si="9"/>
        <v xml:space="preserve"> </v>
      </c>
      <c r="L108" s="2" t="str">
        <f t="shared" si="6"/>
        <v xml:space="preserve"> </v>
      </c>
      <c r="M108" s="2" t="str">
        <f t="shared" si="7"/>
        <v xml:space="preserve"> </v>
      </c>
    </row>
    <row r="109" spans="1:13" x14ac:dyDescent="0.25">
      <c r="A109" s="40" t="str">
        <f t="shared" si="5"/>
        <v xml:space="preserve"> </v>
      </c>
      <c r="D109" s="39"/>
      <c r="E109" s="39"/>
      <c r="J109" s="15">
        <f t="shared" si="8"/>
        <v>0</v>
      </c>
      <c r="K109" s="2" t="str">
        <f t="shared" si="9"/>
        <v xml:space="preserve"> </v>
      </c>
      <c r="L109" s="2" t="str">
        <f t="shared" si="6"/>
        <v xml:space="preserve"> </v>
      </c>
      <c r="M109" s="2" t="str">
        <f t="shared" si="7"/>
        <v xml:space="preserve"> </v>
      </c>
    </row>
    <row r="110" spans="1:13" x14ac:dyDescent="0.25">
      <c r="A110" s="40" t="str">
        <f t="shared" si="5"/>
        <v xml:space="preserve"> </v>
      </c>
      <c r="B110" s="18"/>
      <c r="D110" s="39"/>
      <c r="E110" s="39"/>
      <c r="J110" s="15">
        <f t="shared" si="8"/>
        <v>0</v>
      </c>
      <c r="K110" s="2" t="str">
        <f t="shared" si="9"/>
        <v xml:space="preserve"> </v>
      </c>
      <c r="L110" s="2" t="str">
        <f t="shared" si="6"/>
        <v xml:space="preserve"> </v>
      </c>
      <c r="M110" s="2" t="str">
        <f t="shared" si="7"/>
        <v xml:space="preserve"> </v>
      </c>
    </row>
    <row r="111" spans="1:13" x14ac:dyDescent="0.25">
      <c r="A111" s="40" t="str">
        <f t="shared" si="5"/>
        <v xml:space="preserve"> </v>
      </c>
      <c r="D111" s="39"/>
      <c r="E111" s="39"/>
      <c r="J111" s="15">
        <f t="shared" si="8"/>
        <v>0</v>
      </c>
      <c r="K111" s="2" t="str">
        <f t="shared" si="9"/>
        <v xml:space="preserve"> </v>
      </c>
      <c r="L111" s="2" t="str">
        <f t="shared" si="6"/>
        <v xml:space="preserve"> </v>
      </c>
      <c r="M111" s="2" t="str">
        <f t="shared" si="7"/>
        <v xml:space="preserve"> </v>
      </c>
    </row>
    <row r="112" spans="1:13" x14ac:dyDescent="0.25">
      <c r="A112" s="40" t="str">
        <f t="shared" si="5"/>
        <v xml:space="preserve"> </v>
      </c>
      <c r="D112" s="39"/>
      <c r="E112" s="39"/>
      <c r="J112" s="15">
        <f t="shared" si="8"/>
        <v>0</v>
      </c>
      <c r="K112" s="2" t="str">
        <f t="shared" si="9"/>
        <v xml:space="preserve"> </v>
      </c>
      <c r="L112" s="2" t="str">
        <f t="shared" si="6"/>
        <v xml:space="preserve"> </v>
      </c>
      <c r="M112" s="2" t="str">
        <f t="shared" si="7"/>
        <v xml:space="preserve"> </v>
      </c>
    </row>
    <row r="113" spans="1:13" x14ac:dyDescent="0.25">
      <c r="A113" s="40" t="str">
        <f t="shared" si="5"/>
        <v xml:space="preserve"> </v>
      </c>
      <c r="D113" s="39"/>
      <c r="E113" s="39"/>
      <c r="J113" s="15">
        <f t="shared" si="8"/>
        <v>0</v>
      </c>
      <c r="K113" s="2" t="str">
        <f t="shared" si="9"/>
        <v xml:space="preserve"> </v>
      </c>
      <c r="L113" s="2" t="str">
        <f t="shared" si="6"/>
        <v xml:space="preserve"> </v>
      </c>
      <c r="M113" s="2" t="str">
        <f t="shared" si="7"/>
        <v xml:space="preserve"> </v>
      </c>
    </row>
    <row r="114" spans="1:13" x14ac:dyDescent="0.25">
      <c r="A114" s="40" t="str">
        <f t="shared" si="5"/>
        <v xml:space="preserve"> </v>
      </c>
      <c r="D114" s="39"/>
      <c r="E114" s="39"/>
      <c r="J114" s="15">
        <f t="shared" si="8"/>
        <v>0</v>
      </c>
      <c r="K114" s="2" t="str">
        <f t="shared" si="9"/>
        <v xml:space="preserve"> </v>
      </c>
      <c r="L114" s="2" t="str">
        <f t="shared" si="6"/>
        <v xml:space="preserve"> </v>
      </c>
      <c r="M114" s="2" t="str">
        <f t="shared" si="7"/>
        <v xml:space="preserve"> </v>
      </c>
    </row>
    <row r="115" spans="1:13" x14ac:dyDescent="0.25">
      <c r="A115" s="40" t="str">
        <f t="shared" si="5"/>
        <v xml:space="preserve"> </v>
      </c>
      <c r="D115" s="39"/>
      <c r="E115" s="39"/>
      <c r="J115" s="15">
        <f t="shared" si="8"/>
        <v>0</v>
      </c>
      <c r="K115" s="2" t="str">
        <f t="shared" si="9"/>
        <v xml:space="preserve"> </v>
      </c>
      <c r="L115" s="2" t="str">
        <f t="shared" si="6"/>
        <v xml:space="preserve"> </v>
      </c>
      <c r="M115" s="2" t="str">
        <f t="shared" si="7"/>
        <v xml:space="preserve"> </v>
      </c>
    </row>
    <row r="116" spans="1:13" x14ac:dyDescent="0.25">
      <c r="A116" s="40" t="str">
        <f t="shared" si="5"/>
        <v xml:space="preserve"> </v>
      </c>
      <c r="D116" s="39"/>
      <c r="E116" s="39"/>
      <c r="J116" s="15">
        <f t="shared" si="8"/>
        <v>0</v>
      </c>
      <c r="K116" s="2" t="str">
        <f t="shared" si="9"/>
        <v xml:space="preserve"> </v>
      </c>
      <c r="L116" s="2" t="str">
        <f t="shared" si="6"/>
        <v xml:space="preserve"> </v>
      </c>
      <c r="M116" s="2" t="str">
        <f t="shared" si="7"/>
        <v xml:space="preserve"> </v>
      </c>
    </row>
    <row r="117" spans="1:13" x14ac:dyDescent="0.25">
      <c r="A117" s="40" t="str">
        <f t="shared" si="5"/>
        <v xml:space="preserve"> </v>
      </c>
      <c r="D117" s="39"/>
      <c r="E117" s="39"/>
      <c r="J117" s="15">
        <f t="shared" si="8"/>
        <v>0</v>
      </c>
      <c r="K117" s="2" t="str">
        <f t="shared" si="9"/>
        <v xml:space="preserve"> </v>
      </c>
      <c r="L117" s="2" t="str">
        <f t="shared" si="6"/>
        <v xml:space="preserve"> </v>
      </c>
      <c r="M117" s="2" t="str">
        <f t="shared" si="7"/>
        <v xml:space="preserve"> </v>
      </c>
    </row>
    <row r="118" spans="1:13" x14ac:dyDescent="0.25">
      <c r="A118" s="40" t="str">
        <f t="shared" si="5"/>
        <v xml:space="preserve"> </v>
      </c>
      <c r="D118" s="39"/>
      <c r="E118" s="39"/>
      <c r="J118" s="15">
        <f t="shared" si="8"/>
        <v>0</v>
      </c>
      <c r="K118" s="2" t="str">
        <f t="shared" si="9"/>
        <v xml:space="preserve"> </v>
      </c>
      <c r="L118" s="2" t="str">
        <f t="shared" si="6"/>
        <v xml:space="preserve"> </v>
      </c>
      <c r="M118" s="2" t="str">
        <f t="shared" si="7"/>
        <v xml:space="preserve"> </v>
      </c>
    </row>
    <row r="119" spans="1:13" x14ac:dyDescent="0.25">
      <c r="A119" s="40" t="str">
        <f t="shared" si="5"/>
        <v xml:space="preserve"> </v>
      </c>
      <c r="D119" s="39"/>
      <c r="E119" s="39"/>
      <c r="J119" s="15">
        <f t="shared" si="8"/>
        <v>0</v>
      </c>
      <c r="K119" s="2" t="str">
        <f t="shared" si="9"/>
        <v xml:space="preserve"> </v>
      </c>
      <c r="L119" s="2" t="str">
        <f t="shared" si="6"/>
        <v xml:space="preserve"> </v>
      </c>
      <c r="M119" s="2" t="str">
        <f t="shared" si="7"/>
        <v xml:space="preserve"> </v>
      </c>
    </row>
    <row r="120" spans="1:13" x14ac:dyDescent="0.25">
      <c r="A120" s="40" t="str">
        <f t="shared" si="5"/>
        <v xml:space="preserve"> </v>
      </c>
      <c r="D120" s="39"/>
      <c r="E120" s="39"/>
      <c r="J120" s="15">
        <f t="shared" si="8"/>
        <v>0</v>
      </c>
      <c r="K120" s="2" t="str">
        <f t="shared" si="9"/>
        <v xml:space="preserve"> </v>
      </c>
      <c r="L120" s="2" t="str">
        <f t="shared" si="6"/>
        <v xml:space="preserve"> </v>
      </c>
      <c r="M120" s="2" t="str">
        <f t="shared" si="7"/>
        <v xml:space="preserve"> </v>
      </c>
    </row>
    <row r="121" spans="1:13" x14ac:dyDescent="0.25">
      <c r="A121" s="40" t="str">
        <f t="shared" si="5"/>
        <v xml:space="preserve"> </v>
      </c>
      <c r="D121" s="39"/>
      <c r="E121" s="39"/>
      <c r="J121" s="15">
        <f t="shared" si="8"/>
        <v>0</v>
      </c>
      <c r="K121" s="2" t="str">
        <f t="shared" si="9"/>
        <v xml:space="preserve"> </v>
      </c>
      <c r="L121" s="2" t="str">
        <f t="shared" si="6"/>
        <v xml:space="preserve"> </v>
      </c>
      <c r="M121" s="2" t="str">
        <f t="shared" si="7"/>
        <v xml:space="preserve"> </v>
      </c>
    </row>
    <row r="122" spans="1:13" x14ac:dyDescent="0.25">
      <c r="A122" s="40" t="str">
        <f t="shared" si="5"/>
        <v xml:space="preserve"> </v>
      </c>
      <c r="D122" s="39"/>
      <c r="E122" s="39"/>
      <c r="J122" s="15">
        <f t="shared" si="8"/>
        <v>0</v>
      </c>
      <c r="K122" s="2" t="str">
        <f t="shared" si="9"/>
        <v xml:space="preserve"> </v>
      </c>
      <c r="L122" s="2" t="str">
        <f t="shared" si="6"/>
        <v xml:space="preserve"> </v>
      </c>
      <c r="M122" s="2" t="str">
        <f t="shared" si="7"/>
        <v xml:space="preserve"> </v>
      </c>
    </row>
    <row r="123" spans="1:13" x14ac:dyDescent="0.25">
      <c r="A123" s="40" t="str">
        <f t="shared" si="5"/>
        <v xml:space="preserve"> </v>
      </c>
      <c r="D123" s="39"/>
      <c r="E123" s="39"/>
      <c r="J123" s="15">
        <f t="shared" si="8"/>
        <v>0</v>
      </c>
      <c r="K123" s="2" t="str">
        <f t="shared" si="9"/>
        <v xml:space="preserve"> </v>
      </c>
      <c r="L123" s="2" t="str">
        <f t="shared" si="6"/>
        <v xml:space="preserve"> </v>
      </c>
      <c r="M123" s="2" t="str">
        <f t="shared" si="7"/>
        <v xml:space="preserve"> </v>
      </c>
    </row>
    <row r="124" spans="1:13" x14ac:dyDescent="0.25">
      <c r="A124" s="40" t="str">
        <f t="shared" si="5"/>
        <v xml:space="preserve"> </v>
      </c>
      <c r="C124" s="46"/>
      <c r="D124" s="39"/>
      <c r="E124" s="39"/>
      <c r="J124" s="15">
        <f t="shared" si="8"/>
        <v>0</v>
      </c>
      <c r="K124" s="2" t="str">
        <f t="shared" si="9"/>
        <v xml:space="preserve"> </v>
      </c>
      <c r="L124" s="2" t="str">
        <f t="shared" si="6"/>
        <v xml:space="preserve"> </v>
      </c>
      <c r="M124" s="2" t="str">
        <f t="shared" si="7"/>
        <v xml:space="preserve"> </v>
      </c>
    </row>
    <row r="125" spans="1:13" x14ac:dyDescent="0.25">
      <c r="A125" s="40" t="str">
        <f t="shared" si="5"/>
        <v xml:space="preserve"> </v>
      </c>
      <c r="D125" s="39"/>
      <c r="E125" s="39"/>
      <c r="J125" s="15">
        <f t="shared" si="8"/>
        <v>0</v>
      </c>
      <c r="K125" s="2" t="str">
        <f t="shared" si="9"/>
        <v xml:space="preserve"> </v>
      </c>
      <c r="L125" s="2" t="str">
        <f t="shared" si="6"/>
        <v xml:space="preserve"> </v>
      </c>
      <c r="M125" s="2" t="str">
        <f t="shared" si="7"/>
        <v xml:space="preserve"> </v>
      </c>
    </row>
    <row r="126" spans="1:13" x14ac:dyDescent="0.25">
      <c r="A126" s="40" t="str">
        <f t="shared" si="5"/>
        <v xml:space="preserve"> </v>
      </c>
      <c r="D126" s="39"/>
      <c r="E126" s="39"/>
      <c r="J126" s="15">
        <f t="shared" si="8"/>
        <v>0</v>
      </c>
      <c r="K126" s="2" t="str">
        <f t="shared" si="9"/>
        <v xml:space="preserve"> </v>
      </c>
      <c r="L126" s="2" t="str">
        <f t="shared" si="6"/>
        <v xml:space="preserve"> </v>
      </c>
      <c r="M126" s="2" t="str">
        <f t="shared" si="7"/>
        <v xml:space="preserve"> </v>
      </c>
    </row>
    <row r="127" spans="1:13" x14ac:dyDescent="0.25">
      <c r="A127" s="40" t="str">
        <f t="shared" si="5"/>
        <v xml:space="preserve"> </v>
      </c>
      <c r="D127" s="39"/>
      <c r="E127" s="39"/>
      <c r="J127" s="15">
        <f t="shared" si="8"/>
        <v>0</v>
      </c>
      <c r="K127" s="2" t="str">
        <f t="shared" si="9"/>
        <v xml:space="preserve"> </v>
      </c>
      <c r="L127" s="2" t="str">
        <f t="shared" si="6"/>
        <v xml:space="preserve"> </v>
      </c>
      <c r="M127" s="2" t="str">
        <f t="shared" si="7"/>
        <v xml:space="preserve"> </v>
      </c>
    </row>
    <row r="128" spans="1:13" x14ac:dyDescent="0.25">
      <c r="A128" s="40" t="str">
        <f t="shared" si="5"/>
        <v xml:space="preserve"> </v>
      </c>
      <c r="D128" s="39"/>
      <c r="E128" s="39"/>
      <c r="J128" s="15">
        <f t="shared" si="8"/>
        <v>0</v>
      </c>
      <c r="K128" s="2" t="str">
        <f t="shared" si="9"/>
        <v xml:space="preserve"> </v>
      </c>
      <c r="L128" s="2" t="str">
        <f t="shared" si="6"/>
        <v xml:space="preserve"> </v>
      </c>
      <c r="M128" s="2" t="str">
        <f t="shared" si="7"/>
        <v xml:space="preserve"> </v>
      </c>
    </row>
    <row r="129" spans="1:13" x14ac:dyDescent="0.25">
      <c r="A129" s="40" t="str">
        <f t="shared" si="5"/>
        <v xml:space="preserve"> </v>
      </c>
      <c r="D129" s="39"/>
      <c r="E129" s="39"/>
      <c r="J129" s="15">
        <f t="shared" si="8"/>
        <v>0</v>
      </c>
      <c r="K129" s="2" t="str">
        <f t="shared" si="9"/>
        <v xml:space="preserve"> </v>
      </c>
      <c r="L129" s="2" t="str">
        <f t="shared" si="6"/>
        <v xml:space="preserve"> </v>
      </c>
      <c r="M129" s="2" t="str">
        <f t="shared" si="7"/>
        <v xml:space="preserve"> </v>
      </c>
    </row>
    <row r="130" spans="1:13" x14ac:dyDescent="0.25">
      <c r="A130" s="40" t="str">
        <f t="shared" si="5"/>
        <v xml:space="preserve"> </v>
      </c>
      <c r="D130" s="39"/>
      <c r="E130" s="39"/>
      <c r="J130" s="15">
        <f t="shared" si="8"/>
        <v>0</v>
      </c>
      <c r="K130" s="2" t="str">
        <f t="shared" si="9"/>
        <v xml:space="preserve"> </v>
      </c>
      <c r="L130" s="2" t="str">
        <f t="shared" si="6"/>
        <v xml:space="preserve"> </v>
      </c>
      <c r="M130" s="2" t="str">
        <f t="shared" si="7"/>
        <v xml:space="preserve"> </v>
      </c>
    </row>
    <row r="131" spans="1:13" x14ac:dyDescent="0.25">
      <c r="A131" s="40" t="str">
        <f t="shared" si="5"/>
        <v xml:space="preserve"> </v>
      </c>
      <c r="D131" s="39"/>
      <c r="E131" s="39"/>
      <c r="J131" s="15">
        <f t="shared" si="8"/>
        <v>0</v>
      </c>
      <c r="K131" s="2" t="str">
        <f t="shared" si="9"/>
        <v xml:space="preserve"> </v>
      </c>
      <c r="L131" s="2" t="str">
        <f t="shared" si="6"/>
        <v xml:space="preserve"> </v>
      </c>
      <c r="M131" s="2" t="str">
        <f t="shared" si="7"/>
        <v xml:space="preserve"> </v>
      </c>
    </row>
    <row r="132" spans="1:13" x14ac:dyDescent="0.25">
      <c r="A132" s="40" t="str">
        <f t="shared" si="5"/>
        <v xml:space="preserve"> </v>
      </c>
      <c r="D132" s="39"/>
      <c r="E132" s="39"/>
      <c r="J132" s="15">
        <f t="shared" si="8"/>
        <v>0</v>
      </c>
      <c r="K132" s="2" t="str">
        <f t="shared" si="9"/>
        <v xml:space="preserve"> </v>
      </c>
      <c r="L132" s="2" t="str">
        <f t="shared" si="6"/>
        <v xml:space="preserve"> </v>
      </c>
      <c r="M132" s="2" t="str">
        <f t="shared" si="7"/>
        <v xml:space="preserve"> </v>
      </c>
    </row>
    <row r="133" spans="1:13" x14ac:dyDescent="0.25">
      <c r="A133" s="40" t="str">
        <f t="shared" si="5"/>
        <v xml:space="preserve"> </v>
      </c>
      <c r="D133" s="39"/>
      <c r="E133" s="39"/>
      <c r="J133" s="15">
        <f t="shared" si="8"/>
        <v>0</v>
      </c>
      <c r="K133" s="2" t="str">
        <f t="shared" si="9"/>
        <v xml:space="preserve"> </v>
      </c>
      <c r="L133" s="2" t="str">
        <f t="shared" si="6"/>
        <v xml:space="preserve"> </v>
      </c>
      <c r="M133" s="2" t="str">
        <f t="shared" si="7"/>
        <v xml:space="preserve"> </v>
      </c>
    </row>
    <row r="134" spans="1:13" x14ac:dyDescent="0.25">
      <c r="A134" s="40" t="str">
        <f t="shared" si="5"/>
        <v xml:space="preserve"> </v>
      </c>
      <c r="D134" s="39"/>
      <c r="E134" s="39"/>
      <c r="J134" s="15">
        <f t="shared" si="8"/>
        <v>0</v>
      </c>
      <c r="K134" s="2" t="str">
        <f t="shared" si="9"/>
        <v xml:space="preserve"> </v>
      </c>
      <c r="L134" s="2" t="str">
        <f t="shared" si="6"/>
        <v xml:space="preserve"> </v>
      </c>
      <c r="M134" s="2" t="str">
        <f t="shared" si="7"/>
        <v xml:space="preserve"> </v>
      </c>
    </row>
    <row r="135" spans="1:13" x14ac:dyDescent="0.25">
      <c r="A135" s="40" t="str">
        <f t="shared" si="5"/>
        <v xml:space="preserve"> </v>
      </c>
      <c r="D135" s="39"/>
      <c r="E135" s="39"/>
      <c r="J135" s="15">
        <f t="shared" si="8"/>
        <v>0</v>
      </c>
      <c r="K135" s="2" t="str">
        <f t="shared" si="9"/>
        <v xml:space="preserve"> </v>
      </c>
      <c r="L135" s="2" t="str">
        <f t="shared" si="6"/>
        <v xml:space="preserve"> </v>
      </c>
      <c r="M135" s="2" t="str">
        <f t="shared" si="7"/>
        <v xml:space="preserve"> </v>
      </c>
    </row>
    <row r="136" spans="1:13" x14ac:dyDescent="0.25">
      <c r="A136" s="40" t="str">
        <f t="shared" si="5"/>
        <v xml:space="preserve"> </v>
      </c>
      <c r="D136" s="39"/>
      <c r="E136" s="39"/>
      <c r="J136" s="15">
        <f t="shared" si="8"/>
        <v>0</v>
      </c>
      <c r="K136" s="2" t="str">
        <f t="shared" si="9"/>
        <v xml:space="preserve"> </v>
      </c>
      <c r="L136" s="2" t="str">
        <f t="shared" si="6"/>
        <v xml:space="preserve"> </v>
      </c>
      <c r="M136" s="2" t="str">
        <f t="shared" si="7"/>
        <v xml:space="preserve"> </v>
      </c>
    </row>
    <row r="137" spans="1:13" x14ac:dyDescent="0.25">
      <c r="A137" s="40" t="str">
        <f t="shared" si="5"/>
        <v xml:space="preserve"> </v>
      </c>
      <c r="D137" s="39"/>
      <c r="E137" s="39"/>
      <c r="J137" s="15">
        <f t="shared" si="8"/>
        <v>0</v>
      </c>
      <c r="K137" s="2" t="str">
        <f t="shared" si="9"/>
        <v xml:space="preserve"> </v>
      </c>
      <c r="L137" s="2" t="str">
        <f t="shared" si="6"/>
        <v xml:space="preserve"> </v>
      </c>
      <c r="M137" s="2" t="str">
        <f t="shared" si="7"/>
        <v xml:space="preserve"> </v>
      </c>
    </row>
    <row r="138" spans="1:13" x14ac:dyDescent="0.25">
      <c r="A138" s="40" t="str">
        <f t="shared" si="5"/>
        <v xml:space="preserve"> </v>
      </c>
      <c r="D138" s="39"/>
      <c r="E138" s="39"/>
      <c r="J138" s="15">
        <f t="shared" si="8"/>
        <v>0</v>
      </c>
      <c r="K138" s="2" t="str">
        <f t="shared" si="9"/>
        <v xml:space="preserve"> </v>
      </c>
      <c r="L138" s="2" t="str">
        <f t="shared" si="6"/>
        <v xml:space="preserve"> </v>
      </c>
      <c r="M138" s="2" t="str">
        <f t="shared" si="7"/>
        <v xml:space="preserve"> </v>
      </c>
    </row>
    <row r="139" spans="1:13" x14ac:dyDescent="0.25">
      <c r="A139" s="40" t="str">
        <f t="shared" si="5"/>
        <v xml:space="preserve"> </v>
      </c>
      <c r="D139" s="39"/>
      <c r="E139" s="39"/>
      <c r="J139" s="15">
        <f t="shared" si="8"/>
        <v>0</v>
      </c>
      <c r="K139" s="2" t="str">
        <f t="shared" si="9"/>
        <v xml:space="preserve"> </v>
      </c>
      <c r="L139" s="2" t="str">
        <f t="shared" si="6"/>
        <v xml:space="preserve"> </v>
      </c>
      <c r="M139" s="2" t="str">
        <f t="shared" si="7"/>
        <v xml:space="preserve"> </v>
      </c>
    </row>
    <row r="140" spans="1:13" x14ac:dyDescent="0.25">
      <c r="A140" s="40" t="str">
        <f t="shared" si="5"/>
        <v xml:space="preserve"> </v>
      </c>
      <c r="D140" s="39"/>
      <c r="E140" s="39"/>
      <c r="J140" s="15">
        <f t="shared" si="8"/>
        <v>0</v>
      </c>
      <c r="K140" s="2" t="str">
        <f t="shared" si="9"/>
        <v xml:space="preserve"> </v>
      </c>
      <c r="L140" s="2" t="str">
        <f t="shared" si="6"/>
        <v xml:space="preserve"> </v>
      </c>
      <c r="M140" s="2" t="str">
        <f t="shared" si="7"/>
        <v xml:space="preserve"> </v>
      </c>
    </row>
    <row r="141" spans="1:13" x14ac:dyDescent="0.25">
      <c r="A141" s="40" t="str">
        <f t="shared" si="5"/>
        <v xml:space="preserve"> </v>
      </c>
      <c r="D141" s="39"/>
      <c r="E141" s="39"/>
      <c r="J141" s="15">
        <f t="shared" si="8"/>
        <v>0</v>
      </c>
      <c r="K141" s="2" t="str">
        <f t="shared" si="9"/>
        <v xml:space="preserve"> </v>
      </c>
      <c r="L141" s="2" t="str">
        <f t="shared" si="6"/>
        <v xml:space="preserve"> </v>
      </c>
      <c r="M141" s="2" t="str">
        <f t="shared" si="7"/>
        <v xml:space="preserve"> </v>
      </c>
    </row>
    <row r="142" spans="1:13" x14ac:dyDescent="0.25">
      <c r="A142" s="40" t="str">
        <f t="shared" si="5"/>
        <v xml:space="preserve"> </v>
      </c>
      <c r="D142" s="39"/>
      <c r="E142" s="39"/>
      <c r="J142" s="15">
        <f t="shared" si="8"/>
        <v>0</v>
      </c>
      <c r="K142" s="2" t="str">
        <f t="shared" si="9"/>
        <v xml:space="preserve"> </v>
      </c>
      <c r="L142" s="2" t="str">
        <f t="shared" si="6"/>
        <v xml:space="preserve"> </v>
      </c>
      <c r="M142" s="2" t="str">
        <f t="shared" si="7"/>
        <v xml:space="preserve"> </v>
      </c>
    </row>
    <row r="143" spans="1:13" x14ac:dyDescent="0.25">
      <c r="A143" s="40" t="str">
        <f t="shared" ref="A143:A206" si="10">IF(COUNTIF(K143:M143,"ERROR")&gt;0,"ERROR"," ")</f>
        <v xml:space="preserve"> </v>
      </c>
      <c r="D143" s="39"/>
      <c r="E143" s="39"/>
      <c r="J143" s="15">
        <f t="shared" si="8"/>
        <v>0</v>
      </c>
      <c r="K143" s="2" t="str">
        <f t="shared" si="9"/>
        <v xml:space="preserve"> </v>
      </c>
      <c r="L143" s="2" t="str">
        <f t="shared" ref="L143:L206" si="11">IF(D143=0," ",IF(COUNTIF(ProfitLoss3,D143)&gt;0," ","ERROR"))</f>
        <v xml:space="preserve"> </v>
      </c>
      <c r="M143" s="2" t="str">
        <f t="shared" ref="M143:M206" si="12">IF(E143=0," ",IF(COUNTIF(BalanceSheet3,E143)&gt;0," ","ERROR"))</f>
        <v xml:space="preserve"> </v>
      </c>
    </row>
    <row r="144" spans="1:13" x14ac:dyDescent="0.25">
      <c r="A144" s="40" t="str">
        <f t="shared" si="10"/>
        <v xml:space="preserve"> </v>
      </c>
      <c r="D144" s="39"/>
      <c r="E144" s="39"/>
      <c r="J144" s="15">
        <f t="shared" ref="J144:J207" si="13">F144-G144+H144-I144</f>
        <v>0</v>
      </c>
      <c r="K144" s="2" t="str">
        <f t="shared" ref="K144:K207" si="14">IF(COUNTA(D144:E144)=2,"ERROR"," ")</f>
        <v xml:space="preserve"> </v>
      </c>
      <c r="L144" s="2" t="str">
        <f t="shared" si="11"/>
        <v xml:space="preserve"> </v>
      </c>
      <c r="M144" s="2" t="str">
        <f t="shared" si="12"/>
        <v xml:space="preserve"> </v>
      </c>
    </row>
    <row r="145" spans="1:13" x14ac:dyDescent="0.25">
      <c r="A145" s="40" t="str">
        <f t="shared" si="10"/>
        <v xml:space="preserve"> </v>
      </c>
      <c r="D145" s="39"/>
      <c r="E145" s="39"/>
      <c r="J145" s="15">
        <f t="shared" si="13"/>
        <v>0</v>
      </c>
      <c r="K145" s="2" t="str">
        <f t="shared" si="14"/>
        <v xml:space="preserve"> </v>
      </c>
      <c r="L145" s="2" t="str">
        <f t="shared" si="11"/>
        <v xml:space="preserve"> </v>
      </c>
      <c r="M145" s="2" t="str">
        <f t="shared" si="12"/>
        <v xml:space="preserve"> </v>
      </c>
    </row>
    <row r="146" spans="1:13" x14ac:dyDescent="0.25">
      <c r="A146" s="40" t="str">
        <f t="shared" si="10"/>
        <v xml:space="preserve"> </v>
      </c>
      <c r="D146" s="39"/>
      <c r="E146" s="39"/>
      <c r="J146" s="15">
        <f t="shared" si="13"/>
        <v>0</v>
      </c>
      <c r="K146" s="2" t="str">
        <f t="shared" si="14"/>
        <v xml:space="preserve"> </v>
      </c>
      <c r="L146" s="2" t="str">
        <f t="shared" si="11"/>
        <v xml:space="preserve"> </v>
      </c>
      <c r="M146" s="2" t="str">
        <f t="shared" si="12"/>
        <v xml:space="preserve"> </v>
      </c>
    </row>
    <row r="147" spans="1:13" x14ac:dyDescent="0.25">
      <c r="A147" s="40" t="str">
        <f t="shared" si="10"/>
        <v xml:space="preserve"> </v>
      </c>
      <c r="D147" s="39"/>
      <c r="E147" s="39"/>
      <c r="J147" s="15">
        <f t="shared" si="13"/>
        <v>0</v>
      </c>
      <c r="K147" s="2" t="str">
        <f t="shared" si="14"/>
        <v xml:space="preserve"> </v>
      </c>
      <c r="L147" s="2" t="str">
        <f t="shared" si="11"/>
        <v xml:space="preserve"> </v>
      </c>
      <c r="M147" s="2" t="str">
        <f t="shared" si="12"/>
        <v xml:space="preserve"> </v>
      </c>
    </row>
    <row r="148" spans="1:13" x14ac:dyDescent="0.25">
      <c r="A148" s="40" t="str">
        <f t="shared" si="10"/>
        <v xml:space="preserve"> </v>
      </c>
      <c r="D148" s="39"/>
      <c r="E148" s="39"/>
      <c r="J148" s="15">
        <f t="shared" si="13"/>
        <v>0</v>
      </c>
      <c r="K148" s="2" t="str">
        <f t="shared" si="14"/>
        <v xml:space="preserve"> </v>
      </c>
      <c r="L148" s="2" t="str">
        <f t="shared" si="11"/>
        <v xml:space="preserve"> </v>
      </c>
      <c r="M148" s="2" t="str">
        <f t="shared" si="12"/>
        <v xml:space="preserve"> </v>
      </c>
    </row>
    <row r="149" spans="1:13" x14ac:dyDescent="0.25">
      <c r="A149" s="40" t="str">
        <f t="shared" si="10"/>
        <v xml:space="preserve"> </v>
      </c>
      <c r="D149" s="39"/>
      <c r="E149" s="39"/>
      <c r="J149" s="15">
        <f t="shared" si="13"/>
        <v>0</v>
      </c>
      <c r="K149" s="2" t="str">
        <f t="shared" si="14"/>
        <v xml:space="preserve"> </v>
      </c>
      <c r="L149" s="2" t="str">
        <f t="shared" si="11"/>
        <v xml:space="preserve"> </v>
      </c>
      <c r="M149" s="2" t="str">
        <f t="shared" si="12"/>
        <v xml:space="preserve"> </v>
      </c>
    </row>
    <row r="150" spans="1:13" x14ac:dyDescent="0.25">
      <c r="A150" s="40" t="str">
        <f t="shared" si="10"/>
        <v xml:space="preserve"> </v>
      </c>
      <c r="D150" s="39"/>
      <c r="E150" s="39"/>
      <c r="J150" s="15">
        <f t="shared" si="13"/>
        <v>0</v>
      </c>
      <c r="K150" s="2" t="str">
        <f t="shared" si="14"/>
        <v xml:space="preserve"> </v>
      </c>
      <c r="L150" s="2" t="str">
        <f t="shared" si="11"/>
        <v xml:space="preserve"> </v>
      </c>
      <c r="M150" s="2" t="str">
        <f t="shared" si="12"/>
        <v xml:space="preserve"> </v>
      </c>
    </row>
    <row r="151" spans="1:13" x14ac:dyDescent="0.25">
      <c r="A151" s="40" t="str">
        <f t="shared" si="10"/>
        <v xml:space="preserve"> </v>
      </c>
      <c r="D151" s="39"/>
      <c r="E151" s="39"/>
      <c r="J151" s="15">
        <f t="shared" si="13"/>
        <v>0</v>
      </c>
      <c r="K151" s="2" t="str">
        <f t="shared" si="14"/>
        <v xml:space="preserve"> </v>
      </c>
      <c r="L151" s="2" t="str">
        <f t="shared" si="11"/>
        <v xml:space="preserve"> </v>
      </c>
      <c r="M151" s="2" t="str">
        <f t="shared" si="12"/>
        <v xml:space="preserve"> </v>
      </c>
    </row>
    <row r="152" spans="1:13" x14ac:dyDescent="0.25">
      <c r="A152" s="40" t="str">
        <f t="shared" si="10"/>
        <v xml:space="preserve"> </v>
      </c>
      <c r="D152" s="39"/>
      <c r="E152" s="39"/>
      <c r="J152" s="15">
        <f t="shared" si="13"/>
        <v>0</v>
      </c>
      <c r="K152" s="2" t="str">
        <f t="shared" si="14"/>
        <v xml:space="preserve"> </v>
      </c>
      <c r="L152" s="2" t="str">
        <f t="shared" si="11"/>
        <v xml:space="preserve"> </v>
      </c>
      <c r="M152" s="2" t="str">
        <f t="shared" si="12"/>
        <v xml:space="preserve"> </v>
      </c>
    </row>
    <row r="153" spans="1:13" x14ac:dyDescent="0.25">
      <c r="A153" s="40" t="str">
        <f t="shared" si="10"/>
        <v xml:space="preserve"> </v>
      </c>
      <c r="D153" s="39"/>
      <c r="E153" s="39"/>
      <c r="J153" s="15">
        <f t="shared" si="13"/>
        <v>0</v>
      </c>
      <c r="K153" s="2" t="str">
        <f t="shared" si="14"/>
        <v xml:space="preserve"> </v>
      </c>
      <c r="L153" s="2" t="str">
        <f t="shared" si="11"/>
        <v xml:space="preserve"> </v>
      </c>
      <c r="M153" s="2" t="str">
        <f t="shared" si="12"/>
        <v xml:space="preserve"> </v>
      </c>
    </row>
    <row r="154" spans="1:13" x14ac:dyDescent="0.25">
      <c r="A154" s="40" t="str">
        <f t="shared" si="10"/>
        <v xml:space="preserve"> </v>
      </c>
      <c r="D154" s="39"/>
      <c r="E154" s="39"/>
      <c r="J154" s="15">
        <f t="shared" si="13"/>
        <v>0</v>
      </c>
      <c r="K154" s="2" t="str">
        <f t="shared" si="14"/>
        <v xml:space="preserve"> </v>
      </c>
      <c r="L154" s="2" t="str">
        <f t="shared" si="11"/>
        <v xml:space="preserve"> </v>
      </c>
      <c r="M154" s="2" t="str">
        <f t="shared" si="12"/>
        <v xml:space="preserve"> </v>
      </c>
    </row>
    <row r="155" spans="1:13" x14ac:dyDescent="0.25">
      <c r="A155" s="40" t="str">
        <f t="shared" si="10"/>
        <v xml:space="preserve"> </v>
      </c>
      <c r="D155" s="39"/>
      <c r="E155" s="39"/>
      <c r="J155" s="15">
        <f t="shared" si="13"/>
        <v>0</v>
      </c>
      <c r="K155" s="2" t="str">
        <f t="shared" si="14"/>
        <v xml:space="preserve"> </v>
      </c>
      <c r="L155" s="2" t="str">
        <f t="shared" si="11"/>
        <v xml:space="preserve"> </v>
      </c>
      <c r="M155" s="2" t="str">
        <f t="shared" si="12"/>
        <v xml:space="preserve"> </v>
      </c>
    </row>
    <row r="156" spans="1:13" x14ac:dyDescent="0.25">
      <c r="A156" s="40" t="str">
        <f t="shared" si="10"/>
        <v xml:space="preserve"> </v>
      </c>
      <c r="D156" s="39"/>
      <c r="E156" s="39"/>
      <c r="J156" s="15">
        <f t="shared" si="13"/>
        <v>0</v>
      </c>
      <c r="K156" s="2" t="str">
        <f t="shared" si="14"/>
        <v xml:space="preserve"> </v>
      </c>
      <c r="L156" s="2" t="str">
        <f t="shared" si="11"/>
        <v xml:space="preserve"> </v>
      </c>
      <c r="M156" s="2" t="str">
        <f t="shared" si="12"/>
        <v xml:space="preserve"> </v>
      </c>
    </row>
    <row r="157" spans="1:13" x14ac:dyDescent="0.25">
      <c r="A157" s="40" t="str">
        <f t="shared" si="10"/>
        <v xml:space="preserve"> </v>
      </c>
      <c r="D157" s="39"/>
      <c r="E157" s="39"/>
      <c r="J157" s="15">
        <f t="shared" si="13"/>
        <v>0</v>
      </c>
      <c r="K157" s="2" t="str">
        <f t="shared" si="14"/>
        <v xml:space="preserve"> </v>
      </c>
      <c r="L157" s="2" t="str">
        <f t="shared" si="11"/>
        <v xml:space="preserve"> </v>
      </c>
      <c r="M157" s="2" t="str">
        <f t="shared" si="12"/>
        <v xml:space="preserve"> </v>
      </c>
    </row>
    <row r="158" spans="1:13" x14ac:dyDescent="0.25">
      <c r="A158" s="40" t="str">
        <f t="shared" si="10"/>
        <v xml:space="preserve"> </v>
      </c>
      <c r="D158" s="39"/>
      <c r="E158" s="39"/>
      <c r="J158" s="15">
        <f t="shared" si="13"/>
        <v>0</v>
      </c>
      <c r="K158" s="2" t="str">
        <f t="shared" si="14"/>
        <v xml:space="preserve"> </v>
      </c>
      <c r="L158" s="2" t="str">
        <f t="shared" si="11"/>
        <v xml:space="preserve"> </v>
      </c>
      <c r="M158" s="2" t="str">
        <f t="shared" si="12"/>
        <v xml:space="preserve"> </v>
      </c>
    </row>
    <row r="159" spans="1:13" x14ac:dyDescent="0.25">
      <c r="A159" s="40" t="str">
        <f t="shared" si="10"/>
        <v xml:space="preserve"> </v>
      </c>
      <c r="D159" s="39"/>
      <c r="E159" s="39"/>
      <c r="J159" s="15">
        <f t="shared" si="13"/>
        <v>0</v>
      </c>
      <c r="K159" s="2" t="str">
        <f t="shared" si="14"/>
        <v xml:space="preserve"> </v>
      </c>
      <c r="L159" s="2" t="str">
        <f t="shared" si="11"/>
        <v xml:space="preserve"> </v>
      </c>
      <c r="M159" s="2" t="str">
        <f t="shared" si="12"/>
        <v xml:space="preserve"> </v>
      </c>
    </row>
    <row r="160" spans="1:13" x14ac:dyDescent="0.25">
      <c r="A160" s="40" t="str">
        <f t="shared" si="10"/>
        <v xml:space="preserve"> </v>
      </c>
      <c r="D160" s="39"/>
      <c r="E160" s="39"/>
      <c r="J160" s="15">
        <f t="shared" si="13"/>
        <v>0</v>
      </c>
      <c r="K160" s="2" t="str">
        <f t="shared" si="14"/>
        <v xml:space="preserve"> </v>
      </c>
      <c r="L160" s="2" t="str">
        <f t="shared" si="11"/>
        <v xml:space="preserve"> </v>
      </c>
      <c r="M160" s="2" t="str">
        <f t="shared" si="12"/>
        <v xml:space="preserve"> </v>
      </c>
    </row>
    <row r="161" spans="1:13" x14ac:dyDescent="0.25">
      <c r="A161" s="40" t="str">
        <f t="shared" si="10"/>
        <v xml:space="preserve"> </v>
      </c>
      <c r="D161" s="39"/>
      <c r="E161" s="39"/>
      <c r="J161" s="15">
        <f t="shared" si="13"/>
        <v>0</v>
      </c>
      <c r="K161" s="2" t="str">
        <f t="shared" si="14"/>
        <v xml:space="preserve"> </v>
      </c>
      <c r="L161" s="2" t="str">
        <f t="shared" si="11"/>
        <v xml:space="preserve"> </v>
      </c>
      <c r="M161" s="2" t="str">
        <f t="shared" si="12"/>
        <v xml:space="preserve"> </v>
      </c>
    </row>
    <row r="162" spans="1:13" x14ac:dyDescent="0.25">
      <c r="A162" s="40" t="str">
        <f t="shared" si="10"/>
        <v xml:space="preserve"> </v>
      </c>
      <c r="D162" s="39"/>
      <c r="E162" s="39"/>
      <c r="J162" s="15">
        <f t="shared" si="13"/>
        <v>0</v>
      </c>
      <c r="K162" s="2" t="str">
        <f t="shared" si="14"/>
        <v xml:space="preserve"> </v>
      </c>
      <c r="L162" s="2" t="str">
        <f t="shared" si="11"/>
        <v xml:space="preserve"> </v>
      </c>
      <c r="M162" s="2" t="str">
        <f t="shared" si="12"/>
        <v xml:space="preserve"> </v>
      </c>
    </row>
    <row r="163" spans="1:13" x14ac:dyDescent="0.25">
      <c r="A163" s="40" t="str">
        <f t="shared" si="10"/>
        <v xml:space="preserve"> </v>
      </c>
      <c r="D163" s="39"/>
      <c r="E163" s="39"/>
      <c r="J163" s="15">
        <f t="shared" si="13"/>
        <v>0</v>
      </c>
      <c r="K163" s="2" t="str">
        <f t="shared" si="14"/>
        <v xml:space="preserve"> </v>
      </c>
      <c r="L163" s="2" t="str">
        <f t="shared" si="11"/>
        <v xml:space="preserve"> </v>
      </c>
      <c r="M163" s="2" t="str">
        <f t="shared" si="12"/>
        <v xml:space="preserve"> </v>
      </c>
    </row>
    <row r="164" spans="1:13" x14ac:dyDescent="0.25">
      <c r="A164" s="40" t="str">
        <f t="shared" si="10"/>
        <v xml:space="preserve"> </v>
      </c>
      <c r="D164" s="39"/>
      <c r="E164" s="39"/>
      <c r="J164" s="15">
        <f t="shared" si="13"/>
        <v>0</v>
      </c>
      <c r="K164" s="2" t="str">
        <f t="shared" si="14"/>
        <v xml:space="preserve"> </v>
      </c>
      <c r="L164" s="2" t="str">
        <f t="shared" si="11"/>
        <v xml:space="preserve"> </v>
      </c>
      <c r="M164" s="2" t="str">
        <f t="shared" si="12"/>
        <v xml:space="preserve"> </v>
      </c>
    </row>
    <row r="165" spans="1:13" x14ac:dyDescent="0.25">
      <c r="A165" s="40" t="str">
        <f t="shared" si="10"/>
        <v xml:space="preserve"> </v>
      </c>
      <c r="D165" s="39"/>
      <c r="E165" s="39"/>
      <c r="J165" s="15">
        <f t="shared" si="13"/>
        <v>0</v>
      </c>
      <c r="K165" s="2" t="str">
        <f t="shared" si="14"/>
        <v xml:space="preserve"> </v>
      </c>
      <c r="L165" s="2" t="str">
        <f t="shared" si="11"/>
        <v xml:space="preserve"> </v>
      </c>
      <c r="M165" s="2" t="str">
        <f t="shared" si="12"/>
        <v xml:space="preserve"> </v>
      </c>
    </row>
    <row r="166" spans="1:13" x14ac:dyDescent="0.25">
      <c r="A166" s="40" t="str">
        <f t="shared" si="10"/>
        <v xml:space="preserve"> </v>
      </c>
      <c r="D166" s="39"/>
      <c r="E166" s="39"/>
      <c r="J166" s="15">
        <f t="shared" si="13"/>
        <v>0</v>
      </c>
      <c r="K166" s="2" t="str">
        <f t="shared" si="14"/>
        <v xml:space="preserve"> </v>
      </c>
      <c r="L166" s="2" t="str">
        <f t="shared" si="11"/>
        <v xml:space="preserve"> </v>
      </c>
      <c r="M166" s="2" t="str">
        <f t="shared" si="12"/>
        <v xml:space="preserve"> </v>
      </c>
    </row>
    <row r="167" spans="1:13" x14ac:dyDescent="0.25">
      <c r="A167" s="40" t="str">
        <f t="shared" si="10"/>
        <v xml:space="preserve"> </v>
      </c>
      <c r="D167" s="39"/>
      <c r="E167" s="39"/>
      <c r="J167" s="15">
        <f t="shared" si="13"/>
        <v>0</v>
      </c>
      <c r="K167" s="2" t="str">
        <f t="shared" si="14"/>
        <v xml:space="preserve"> </v>
      </c>
      <c r="L167" s="2" t="str">
        <f t="shared" si="11"/>
        <v xml:space="preserve"> </v>
      </c>
      <c r="M167" s="2" t="str">
        <f t="shared" si="12"/>
        <v xml:space="preserve"> </v>
      </c>
    </row>
    <row r="168" spans="1:13" x14ac:dyDescent="0.25">
      <c r="A168" s="40" t="str">
        <f t="shared" si="10"/>
        <v xml:space="preserve"> </v>
      </c>
      <c r="D168" s="39"/>
      <c r="E168" s="39"/>
      <c r="J168" s="15">
        <f t="shared" si="13"/>
        <v>0</v>
      </c>
      <c r="K168" s="2" t="str">
        <f t="shared" si="14"/>
        <v xml:space="preserve"> </v>
      </c>
      <c r="L168" s="2" t="str">
        <f t="shared" si="11"/>
        <v xml:space="preserve"> </v>
      </c>
      <c r="M168" s="2" t="str">
        <f t="shared" si="12"/>
        <v xml:space="preserve"> </v>
      </c>
    </row>
    <row r="169" spans="1:13" x14ac:dyDescent="0.25">
      <c r="A169" s="40" t="str">
        <f t="shared" si="10"/>
        <v xml:space="preserve"> </v>
      </c>
      <c r="D169" s="39"/>
      <c r="E169" s="39"/>
      <c r="J169" s="15">
        <f t="shared" si="13"/>
        <v>0</v>
      </c>
      <c r="K169" s="2" t="str">
        <f t="shared" si="14"/>
        <v xml:space="preserve"> </v>
      </c>
      <c r="L169" s="2" t="str">
        <f t="shared" si="11"/>
        <v xml:space="preserve"> </v>
      </c>
      <c r="M169" s="2" t="str">
        <f t="shared" si="12"/>
        <v xml:space="preserve"> </v>
      </c>
    </row>
    <row r="170" spans="1:13" x14ac:dyDescent="0.25">
      <c r="A170" s="40" t="str">
        <f t="shared" si="10"/>
        <v xml:space="preserve"> </v>
      </c>
      <c r="D170" s="39"/>
      <c r="E170" s="39"/>
      <c r="J170" s="15">
        <f t="shared" si="13"/>
        <v>0</v>
      </c>
      <c r="K170" s="2" t="str">
        <f t="shared" si="14"/>
        <v xml:space="preserve"> </v>
      </c>
      <c r="L170" s="2" t="str">
        <f t="shared" si="11"/>
        <v xml:space="preserve"> </v>
      </c>
      <c r="M170" s="2" t="str">
        <f t="shared" si="12"/>
        <v xml:space="preserve"> </v>
      </c>
    </row>
    <row r="171" spans="1:13" x14ac:dyDescent="0.25">
      <c r="A171" s="40" t="str">
        <f t="shared" si="10"/>
        <v xml:space="preserve"> </v>
      </c>
      <c r="D171" s="39"/>
      <c r="E171" s="39"/>
      <c r="J171" s="15">
        <f t="shared" si="13"/>
        <v>0</v>
      </c>
      <c r="K171" s="2" t="str">
        <f t="shared" si="14"/>
        <v xml:space="preserve"> </v>
      </c>
      <c r="L171" s="2" t="str">
        <f t="shared" si="11"/>
        <v xml:space="preserve"> </v>
      </c>
      <c r="M171" s="2" t="str">
        <f t="shared" si="12"/>
        <v xml:space="preserve"> </v>
      </c>
    </row>
    <row r="172" spans="1:13" x14ac:dyDescent="0.25">
      <c r="A172" s="40" t="str">
        <f t="shared" si="10"/>
        <v xml:space="preserve"> </v>
      </c>
      <c r="D172" s="39"/>
      <c r="E172" s="39"/>
      <c r="J172" s="15">
        <f t="shared" si="13"/>
        <v>0</v>
      </c>
      <c r="K172" s="2" t="str">
        <f t="shared" si="14"/>
        <v xml:space="preserve"> </v>
      </c>
      <c r="L172" s="2" t="str">
        <f t="shared" si="11"/>
        <v xml:space="preserve"> </v>
      </c>
      <c r="M172" s="2" t="str">
        <f t="shared" si="12"/>
        <v xml:space="preserve"> </v>
      </c>
    </row>
    <row r="173" spans="1:13" x14ac:dyDescent="0.25">
      <c r="A173" s="40" t="str">
        <f t="shared" si="10"/>
        <v xml:space="preserve"> </v>
      </c>
      <c r="D173" s="39"/>
      <c r="E173" s="39"/>
      <c r="J173" s="15">
        <f t="shared" si="13"/>
        <v>0</v>
      </c>
      <c r="K173" s="2" t="str">
        <f t="shared" si="14"/>
        <v xml:space="preserve"> </v>
      </c>
      <c r="L173" s="2" t="str">
        <f t="shared" si="11"/>
        <v xml:space="preserve"> </v>
      </c>
      <c r="M173" s="2" t="str">
        <f t="shared" si="12"/>
        <v xml:space="preserve"> </v>
      </c>
    </row>
    <row r="174" spans="1:13" x14ac:dyDescent="0.25">
      <c r="A174" s="40" t="str">
        <f t="shared" si="10"/>
        <v xml:space="preserve"> </v>
      </c>
      <c r="D174" s="39"/>
      <c r="E174" s="39"/>
      <c r="J174" s="15">
        <f t="shared" si="13"/>
        <v>0</v>
      </c>
      <c r="K174" s="2" t="str">
        <f t="shared" si="14"/>
        <v xml:space="preserve"> </v>
      </c>
      <c r="L174" s="2" t="str">
        <f t="shared" si="11"/>
        <v xml:space="preserve"> </v>
      </c>
      <c r="M174" s="2" t="str">
        <f t="shared" si="12"/>
        <v xml:space="preserve"> </v>
      </c>
    </row>
    <row r="175" spans="1:13" x14ac:dyDescent="0.25">
      <c r="A175" s="40" t="str">
        <f t="shared" si="10"/>
        <v xml:space="preserve"> </v>
      </c>
      <c r="D175" s="39"/>
      <c r="E175" s="39"/>
      <c r="J175" s="15">
        <f t="shared" si="13"/>
        <v>0</v>
      </c>
      <c r="K175" s="2" t="str">
        <f t="shared" si="14"/>
        <v xml:space="preserve"> </v>
      </c>
      <c r="L175" s="2" t="str">
        <f t="shared" si="11"/>
        <v xml:space="preserve"> </v>
      </c>
      <c r="M175" s="2" t="str">
        <f t="shared" si="12"/>
        <v xml:space="preserve"> </v>
      </c>
    </row>
    <row r="176" spans="1:13" x14ac:dyDescent="0.25">
      <c r="A176" s="40" t="str">
        <f t="shared" si="10"/>
        <v xml:space="preserve"> </v>
      </c>
      <c r="D176" s="39"/>
      <c r="E176" s="39"/>
      <c r="J176" s="15">
        <f t="shared" si="13"/>
        <v>0</v>
      </c>
      <c r="K176" s="2" t="str">
        <f t="shared" si="14"/>
        <v xml:space="preserve"> </v>
      </c>
      <c r="L176" s="2" t="str">
        <f t="shared" si="11"/>
        <v xml:space="preserve"> </v>
      </c>
      <c r="M176" s="2" t="str">
        <f t="shared" si="12"/>
        <v xml:space="preserve"> </v>
      </c>
    </row>
    <row r="177" spans="1:13" x14ac:dyDescent="0.25">
      <c r="A177" s="40" t="str">
        <f t="shared" si="10"/>
        <v xml:space="preserve"> </v>
      </c>
      <c r="D177" s="39"/>
      <c r="E177" s="39"/>
      <c r="J177" s="15">
        <f t="shared" si="13"/>
        <v>0</v>
      </c>
      <c r="K177" s="2" t="str">
        <f t="shared" si="14"/>
        <v xml:space="preserve"> </v>
      </c>
      <c r="L177" s="2" t="str">
        <f t="shared" si="11"/>
        <v xml:space="preserve"> </v>
      </c>
      <c r="M177" s="2" t="str">
        <f t="shared" si="12"/>
        <v xml:space="preserve"> </v>
      </c>
    </row>
    <row r="178" spans="1:13" x14ac:dyDescent="0.25">
      <c r="A178" s="40" t="str">
        <f t="shared" si="10"/>
        <v xml:space="preserve"> </v>
      </c>
      <c r="D178" s="39"/>
      <c r="E178" s="39"/>
      <c r="J178" s="15">
        <f t="shared" si="13"/>
        <v>0</v>
      </c>
      <c r="K178" s="2" t="str">
        <f t="shared" si="14"/>
        <v xml:space="preserve"> </v>
      </c>
      <c r="L178" s="2" t="str">
        <f t="shared" si="11"/>
        <v xml:space="preserve"> </v>
      </c>
      <c r="M178" s="2" t="str">
        <f t="shared" si="12"/>
        <v xml:space="preserve"> </v>
      </c>
    </row>
    <row r="179" spans="1:13" x14ac:dyDescent="0.25">
      <c r="A179" s="40" t="str">
        <f t="shared" si="10"/>
        <v xml:space="preserve"> </v>
      </c>
      <c r="D179" s="39"/>
      <c r="E179" s="39"/>
      <c r="J179" s="15">
        <f t="shared" si="13"/>
        <v>0</v>
      </c>
      <c r="K179" s="2" t="str">
        <f t="shared" si="14"/>
        <v xml:space="preserve"> </v>
      </c>
      <c r="L179" s="2" t="str">
        <f t="shared" si="11"/>
        <v xml:space="preserve"> </v>
      </c>
      <c r="M179" s="2" t="str">
        <f t="shared" si="12"/>
        <v xml:space="preserve"> </v>
      </c>
    </row>
    <row r="180" spans="1:13" x14ac:dyDescent="0.25">
      <c r="A180" s="40" t="str">
        <f t="shared" si="10"/>
        <v xml:space="preserve"> </v>
      </c>
      <c r="D180" s="39"/>
      <c r="E180" s="39"/>
      <c r="J180" s="15">
        <f t="shared" si="13"/>
        <v>0</v>
      </c>
      <c r="K180" s="2" t="str">
        <f t="shared" si="14"/>
        <v xml:space="preserve"> </v>
      </c>
      <c r="L180" s="2" t="str">
        <f t="shared" si="11"/>
        <v xml:space="preserve"> </v>
      </c>
      <c r="M180" s="2" t="str">
        <f t="shared" si="12"/>
        <v xml:space="preserve"> </v>
      </c>
    </row>
    <row r="181" spans="1:13" x14ac:dyDescent="0.25">
      <c r="A181" s="40" t="str">
        <f t="shared" si="10"/>
        <v xml:space="preserve"> </v>
      </c>
      <c r="D181" s="39"/>
      <c r="E181" s="39"/>
      <c r="J181" s="15">
        <f t="shared" si="13"/>
        <v>0</v>
      </c>
      <c r="K181" s="2" t="str">
        <f t="shared" si="14"/>
        <v xml:space="preserve"> </v>
      </c>
      <c r="L181" s="2" t="str">
        <f t="shared" si="11"/>
        <v xml:space="preserve"> </v>
      </c>
      <c r="M181" s="2" t="str">
        <f t="shared" si="12"/>
        <v xml:space="preserve"> </v>
      </c>
    </row>
    <row r="182" spans="1:13" x14ac:dyDescent="0.25">
      <c r="A182" s="40" t="str">
        <f t="shared" si="10"/>
        <v xml:space="preserve"> </v>
      </c>
      <c r="D182" s="39"/>
      <c r="E182" s="39"/>
      <c r="J182" s="15">
        <f t="shared" si="13"/>
        <v>0</v>
      </c>
      <c r="K182" s="2" t="str">
        <f t="shared" si="14"/>
        <v xml:space="preserve"> </v>
      </c>
      <c r="L182" s="2" t="str">
        <f t="shared" si="11"/>
        <v xml:space="preserve"> </v>
      </c>
      <c r="M182" s="2" t="str">
        <f t="shared" si="12"/>
        <v xml:space="preserve"> </v>
      </c>
    </row>
    <row r="183" spans="1:13" x14ac:dyDescent="0.25">
      <c r="A183" s="40" t="str">
        <f t="shared" si="10"/>
        <v xml:space="preserve"> </v>
      </c>
      <c r="D183" s="39"/>
      <c r="E183" s="39"/>
      <c r="J183" s="15">
        <f t="shared" si="13"/>
        <v>0</v>
      </c>
      <c r="K183" s="2" t="str">
        <f t="shared" si="14"/>
        <v xml:space="preserve"> </v>
      </c>
      <c r="L183" s="2" t="str">
        <f t="shared" si="11"/>
        <v xml:space="preserve"> </v>
      </c>
      <c r="M183" s="2" t="str">
        <f t="shared" si="12"/>
        <v xml:space="preserve"> </v>
      </c>
    </row>
    <row r="184" spans="1:13" x14ac:dyDescent="0.25">
      <c r="A184" s="40" t="str">
        <f t="shared" si="10"/>
        <v xml:space="preserve"> </v>
      </c>
      <c r="D184" s="39"/>
      <c r="E184" s="39"/>
      <c r="J184" s="15">
        <f t="shared" si="13"/>
        <v>0</v>
      </c>
      <c r="K184" s="2" t="str">
        <f t="shared" si="14"/>
        <v xml:space="preserve"> </v>
      </c>
      <c r="L184" s="2" t="str">
        <f t="shared" si="11"/>
        <v xml:space="preserve"> </v>
      </c>
      <c r="M184" s="2" t="str">
        <f t="shared" si="12"/>
        <v xml:space="preserve"> </v>
      </c>
    </row>
    <row r="185" spans="1:13" x14ac:dyDescent="0.25">
      <c r="A185" s="40" t="str">
        <f t="shared" si="10"/>
        <v xml:space="preserve"> </v>
      </c>
      <c r="D185" s="39"/>
      <c r="E185" s="39"/>
      <c r="J185" s="15">
        <f t="shared" si="13"/>
        <v>0</v>
      </c>
      <c r="K185" s="2" t="str">
        <f t="shared" si="14"/>
        <v xml:space="preserve"> </v>
      </c>
      <c r="L185" s="2" t="str">
        <f t="shared" si="11"/>
        <v xml:space="preserve"> </v>
      </c>
      <c r="M185" s="2" t="str">
        <f t="shared" si="12"/>
        <v xml:space="preserve"> </v>
      </c>
    </row>
    <row r="186" spans="1:13" x14ac:dyDescent="0.25">
      <c r="A186" s="40" t="str">
        <f t="shared" si="10"/>
        <v xml:space="preserve"> </v>
      </c>
      <c r="D186" s="39"/>
      <c r="E186" s="39"/>
      <c r="J186" s="15">
        <f t="shared" si="13"/>
        <v>0</v>
      </c>
      <c r="K186" s="2" t="str">
        <f t="shared" si="14"/>
        <v xml:space="preserve"> </v>
      </c>
      <c r="L186" s="2" t="str">
        <f t="shared" si="11"/>
        <v xml:space="preserve"> </v>
      </c>
      <c r="M186" s="2" t="str">
        <f t="shared" si="12"/>
        <v xml:space="preserve"> </v>
      </c>
    </row>
    <row r="187" spans="1:13" x14ac:dyDescent="0.25">
      <c r="A187" s="40" t="str">
        <f t="shared" si="10"/>
        <v xml:space="preserve"> </v>
      </c>
      <c r="D187" s="39"/>
      <c r="E187" s="39"/>
      <c r="J187" s="15">
        <f t="shared" si="13"/>
        <v>0</v>
      </c>
      <c r="K187" s="2" t="str">
        <f t="shared" si="14"/>
        <v xml:space="preserve"> </v>
      </c>
      <c r="L187" s="2" t="str">
        <f t="shared" si="11"/>
        <v xml:space="preserve"> </v>
      </c>
      <c r="M187" s="2" t="str">
        <f t="shared" si="12"/>
        <v xml:space="preserve"> </v>
      </c>
    </row>
    <row r="188" spans="1:13" x14ac:dyDescent="0.25">
      <c r="A188" s="40" t="str">
        <f t="shared" si="10"/>
        <v xml:space="preserve"> </v>
      </c>
      <c r="D188" s="39"/>
      <c r="E188" s="39"/>
      <c r="J188" s="15">
        <f t="shared" si="13"/>
        <v>0</v>
      </c>
      <c r="K188" s="2" t="str">
        <f t="shared" si="14"/>
        <v xml:space="preserve"> </v>
      </c>
      <c r="L188" s="2" t="str">
        <f t="shared" si="11"/>
        <v xml:space="preserve"> </v>
      </c>
      <c r="M188" s="2" t="str">
        <f t="shared" si="12"/>
        <v xml:space="preserve"> </v>
      </c>
    </row>
    <row r="189" spans="1:13" x14ac:dyDescent="0.25">
      <c r="A189" s="40" t="str">
        <f t="shared" si="10"/>
        <v xml:space="preserve"> </v>
      </c>
      <c r="D189" s="39"/>
      <c r="E189" s="39"/>
      <c r="J189" s="15">
        <f t="shared" si="13"/>
        <v>0</v>
      </c>
      <c r="K189" s="2" t="str">
        <f t="shared" si="14"/>
        <v xml:space="preserve"> </v>
      </c>
      <c r="L189" s="2" t="str">
        <f t="shared" si="11"/>
        <v xml:space="preserve"> </v>
      </c>
      <c r="M189" s="2" t="str">
        <f t="shared" si="12"/>
        <v xml:space="preserve"> </v>
      </c>
    </row>
    <row r="190" spans="1:13" x14ac:dyDescent="0.25">
      <c r="A190" s="40" t="str">
        <f t="shared" si="10"/>
        <v xml:space="preserve"> </v>
      </c>
      <c r="D190" s="39"/>
      <c r="E190" s="39"/>
      <c r="J190" s="15">
        <f t="shared" si="13"/>
        <v>0</v>
      </c>
      <c r="K190" s="2" t="str">
        <f t="shared" si="14"/>
        <v xml:space="preserve"> </v>
      </c>
      <c r="L190" s="2" t="str">
        <f t="shared" si="11"/>
        <v xml:space="preserve"> </v>
      </c>
      <c r="M190" s="2" t="str">
        <f t="shared" si="12"/>
        <v xml:space="preserve"> </v>
      </c>
    </row>
    <row r="191" spans="1:13" x14ac:dyDescent="0.25">
      <c r="A191" s="40" t="str">
        <f t="shared" si="10"/>
        <v xml:space="preserve"> </v>
      </c>
      <c r="D191" s="39"/>
      <c r="E191" s="39"/>
      <c r="J191" s="15">
        <f t="shared" si="13"/>
        <v>0</v>
      </c>
      <c r="K191" s="2" t="str">
        <f t="shared" si="14"/>
        <v xml:space="preserve"> </v>
      </c>
      <c r="L191" s="2" t="str">
        <f t="shared" si="11"/>
        <v xml:space="preserve"> </v>
      </c>
      <c r="M191" s="2" t="str">
        <f t="shared" si="12"/>
        <v xml:space="preserve"> </v>
      </c>
    </row>
    <row r="192" spans="1:13" x14ac:dyDescent="0.25">
      <c r="A192" s="40" t="str">
        <f t="shared" si="10"/>
        <v xml:space="preserve"> </v>
      </c>
      <c r="D192" s="39"/>
      <c r="E192" s="39"/>
      <c r="J192" s="15">
        <f t="shared" si="13"/>
        <v>0</v>
      </c>
      <c r="K192" s="2" t="str">
        <f t="shared" si="14"/>
        <v xml:space="preserve"> </v>
      </c>
      <c r="L192" s="2" t="str">
        <f t="shared" si="11"/>
        <v xml:space="preserve"> </v>
      </c>
      <c r="M192" s="2" t="str">
        <f t="shared" si="12"/>
        <v xml:space="preserve"> </v>
      </c>
    </row>
    <row r="193" spans="1:13" x14ac:dyDescent="0.25">
      <c r="A193" s="40" t="str">
        <f t="shared" si="10"/>
        <v xml:space="preserve"> </v>
      </c>
      <c r="D193" s="39"/>
      <c r="E193" s="39"/>
      <c r="J193" s="15">
        <f t="shared" si="13"/>
        <v>0</v>
      </c>
      <c r="K193" s="2" t="str">
        <f t="shared" si="14"/>
        <v xml:space="preserve"> </v>
      </c>
      <c r="L193" s="2" t="str">
        <f t="shared" si="11"/>
        <v xml:space="preserve"> </v>
      </c>
      <c r="M193" s="2" t="str">
        <f t="shared" si="12"/>
        <v xml:space="preserve"> </v>
      </c>
    </row>
    <row r="194" spans="1:13" x14ac:dyDescent="0.25">
      <c r="A194" s="40" t="str">
        <f t="shared" si="10"/>
        <v xml:space="preserve"> </v>
      </c>
      <c r="D194" s="39"/>
      <c r="E194" s="39"/>
      <c r="J194" s="15">
        <f t="shared" si="13"/>
        <v>0</v>
      </c>
      <c r="K194" s="2" t="str">
        <f t="shared" si="14"/>
        <v xml:space="preserve"> </v>
      </c>
      <c r="L194" s="2" t="str">
        <f t="shared" si="11"/>
        <v xml:space="preserve"> </v>
      </c>
      <c r="M194" s="2" t="str">
        <f t="shared" si="12"/>
        <v xml:space="preserve"> </v>
      </c>
    </row>
    <row r="195" spans="1:13" x14ac:dyDescent="0.25">
      <c r="A195" s="40" t="str">
        <f t="shared" si="10"/>
        <v xml:space="preserve"> </v>
      </c>
      <c r="D195" s="39"/>
      <c r="E195" s="39"/>
      <c r="J195" s="15">
        <f t="shared" si="13"/>
        <v>0</v>
      </c>
      <c r="K195" s="2" t="str">
        <f t="shared" si="14"/>
        <v xml:space="preserve"> </v>
      </c>
      <c r="L195" s="2" t="str">
        <f t="shared" si="11"/>
        <v xml:space="preserve"> </v>
      </c>
      <c r="M195" s="2" t="str">
        <f t="shared" si="12"/>
        <v xml:space="preserve"> </v>
      </c>
    </row>
    <row r="196" spans="1:13" x14ac:dyDescent="0.25">
      <c r="A196" s="40" t="str">
        <f t="shared" si="10"/>
        <v xml:space="preserve"> </v>
      </c>
      <c r="D196" s="39"/>
      <c r="E196" s="39"/>
      <c r="J196" s="15">
        <f t="shared" si="13"/>
        <v>0</v>
      </c>
      <c r="K196" s="2" t="str">
        <f t="shared" si="14"/>
        <v xml:space="preserve"> </v>
      </c>
      <c r="L196" s="2" t="str">
        <f t="shared" si="11"/>
        <v xml:space="preserve"> </v>
      </c>
      <c r="M196" s="2" t="str">
        <f t="shared" si="12"/>
        <v xml:space="preserve"> </v>
      </c>
    </row>
    <row r="197" spans="1:13" x14ac:dyDescent="0.25">
      <c r="A197" s="40" t="str">
        <f t="shared" si="10"/>
        <v xml:space="preserve"> </v>
      </c>
      <c r="D197" s="39"/>
      <c r="E197" s="39"/>
      <c r="J197" s="15">
        <f t="shared" si="13"/>
        <v>0</v>
      </c>
      <c r="K197" s="2" t="str">
        <f t="shared" si="14"/>
        <v xml:space="preserve"> </v>
      </c>
      <c r="L197" s="2" t="str">
        <f t="shared" si="11"/>
        <v xml:space="preserve"> </v>
      </c>
      <c r="M197" s="2" t="str">
        <f t="shared" si="12"/>
        <v xml:space="preserve"> </v>
      </c>
    </row>
    <row r="198" spans="1:13" x14ac:dyDescent="0.25">
      <c r="A198" s="40" t="str">
        <f t="shared" si="10"/>
        <v xml:space="preserve"> </v>
      </c>
      <c r="D198" s="39"/>
      <c r="E198" s="39"/>
      <c r="J198" s="15">
        <f t="shared" si="13"/>
        <v>0</v>
      </c>
      <c r="K198" s="2" t="str">
        <f t="shared" si="14"/>
        <v xml:space="preserve"> </v>
      </c>
      <c r="L198" s="2" t="str">
        <f t="shared" si="11"/>
        <v xml:space="preserve"> </v>
      </c>
      <c r="M198" s="2" t="str">
        <f t="shared" si="12"/>
        <v xml:space="preserve"> </v>
      </c>
    </row>
    <row r="199" spans="1:13" x14ac:dyDescent="0.25">
      <c r="A199" s="40" t="str">
        <f t="shared" si="10"/>
        <v xml:space="preserve"> </v>
      </c>
      <c r="D199" s="39"/>
      <c r="E199" s="39"/>
      <c r="J199" s="15">
        <f t="shared" si="13"/>
        <v>0</v>
      </c>
      <c r="K199" s="2" t="str">
        <f t="shared" si="14"/>
        <v xml:space="preserve"> </v>
      </c>
      <c r="L199" s="2" t="str">
        <f t="shared" si="11"/>
        <v xml:space="preserve"> </v>
      </c>
      <c r="M199" s="2" t="str">
        <f t="shared" si="12"/>
        <v xml:space="preserve"> </v>
      </c>
    </row>
    <row r="200" spans="1:13" x14ac:dyDescent="0.25">
      <c r="A200" s="40" t="str">
        <f t="shared" si="10"/>
        <v xml:space="preserve"> </v>
      </c>
      <c r="D200" s="39"/>
      <c r="E200" s="39"/>
      <c r="J200" s="15">
        <f t="shared" si="13"/>
        <v>0</v>
      </c>
      <c r="K200" s="2" t="str">
        <f t="shared" si="14"/>
        <v xml:space="preserve"> </v>
      </c>
      <c r="L200" s="2" t="str">
        <f t="shared" si="11"/>
        <v xml:space="preserve"> </v>
      </c>
      <c r="M200" s="2" t="str">
        <f t="shared" si="12"/>
        <v xml:space="preserve"> </v>
      </c>
    </row>
    <row r="201" spans="1:13" x14ac:dyDescent="0.25">
      <c r="A201" s="40" t="str">
        <f t="shared" si="10"/>
        <v xml:space="preserve"> </v>
      </c>
      <c r="D201" s="39"/>
      <c r="E201" s="39"/>
      <c r="J201" s="15">
        <f t="shared" si="13"/>
        <v>0</v>
      </c>
      <c r="K201" s="2" t="str">
        <f t="shared" si="14"/>
        <v xml:space="preserve"> </v>
      </c>
      <c r="L201" s="2" t="str">
        <f t="shared" si="11"/>
        <v xml:space="preserve"> </v>
      </c>
      <c r="M201" s="2" t="str">
        <f t="shared" si="12"/>
        <v xml:space="preserve"> </v>
      </c>
    </row>
    <row r="202" spans="1:13" x14ac:dyDescent="0.25">
      <c r="A202" s="40" t="str">
        <f t="shared" si="10"/>
        <v xml:space="preserve"> </v>
      </c>
      <c r="D202" s="39"/>
      <c r="E202" s="39"/>
      <c r="J202" s="15">
        <f t="shared" si="13"/>
        <v>0</v>
      </c>
      <c r="K202" s="2" t="str">
        <f t="shared" si="14"/>
        <v xml:space="preserve"> </v>
      </c>
      <c r="L202" s="2" t="str">
        <f t="shared" si="11"/>
        <v xml:space="preserve"> </v>
      </c>
      <c r="M202" s="2" t="str">
        <f t="shared" si="12"/>
        <v xml:space="preserve"> </v>
      </c>
    </row>
    <row r="203" spans="1:13" x14ac:dyDescent="0.25">
      <c r="A203" s="40" t="str">
        <f t="shared" si="10"/>
        <v xml:space="preserve"> </v>
      </c>
      <c r="D203" s="39"/>
      <c r="E203" s="39"/>
      <c r="J203" s="15">
        <f t="shared" si="13"/>
        <v>0</v>
      </c>
      <c r="K203" s="2" t="str">
        <f t="shared" si="14"/>
        <v xml:space="preserve"> </v>
      </c>
      <c r="L203" s="2" t="str">
        <f t="shared" si="11"/>
        <v xml:space="preserve"> </v>
      </c>
      <c r="M203" s="2" t="str">
        <f t="shared" si="12"/>
        <v xml:space="preserve"> </v>
      </c>
    </row>
    <row r="204" spans="1:13" x14ac:dyDescent="0.25">
      <c r="A204" s="40" t="str">
        <f t="shared" si="10"/>
        <v xml:space="preserve"> </v>
      </c>
      <c r="D204" s="39"/>
      <c r="E204" s="39"/>
      <c r="J204" s="15">
        <f t="shared" si="13"/>
        <v>0</v>
      </c>
      <c r="K204" s="2" t="str">
        <f t="shared" si="14"/>
        <v xml:space="preserve"> </v>
      </c>
      <c r="L204" s="2" t="str">
        <f t="shared" si="11"/>
        <v xml:space="preserve"> </v>
      </c>
      <c r="M204" s="2" t="str">
        <f t="shared" si="12"/>
        <v xml:space="preserve"> </v>
      </c>
    </row>
    <row r="205" spans="1:13" x14ac:dyDescent="0.25">
      <c r="A205" s="40" t="str">
        <f t="shared" si="10"/>
        <v xml:space="preserve"> </v>
      </c>
      <c r="D205" s="39"/>
      <c r="E205" s="39"/>
      <c r="J205" s="15">
        <f t="shared" si="13"/>
        <v>0</v>
      </c>
      <c r="K205" s="2" t="str">
        <f t="shared" si="14"/>
        <v xml:space="preserve"> </v>
      </c>
      <c r="L205" s="2" t="str">
        <f t="shared" si="11"/>
        <v xml:space="preserve"> </v>
      </c>
      <c r="M205" s="2" t="str">
        <f t="shared" si="12"/>
        <v xml:space="preserve"> </v>
      </c>
    </row>
    <row r="206" spans="1:13" x14ac:dyDescent="0.25">
      <c r="A206" s="40" t="str">
        <f t="shared" si="10"/>
        <v xml:space="preserve"> </v>
      </c>
      <c r="D206" s="39"/>
      <c r="E206" s="39"/>
      <c r="J206" s="15">
        <f t="shared" si="13"/>
        <v>0</v>
      </c>
      <c r="K206" s="2" t="str">
        <f t="shared" si="14"/>
        <v xml:space="preserve"> </v>
      </c>
      <c r="L206" s="2" t="str">
        <f t="shared" si="11"/>
        <v xml:space="preserve"> </v>
      </c>
      <c r="M206" s="2" t="str">
        <f t="shared" si="12"/>
        <v xml:space="preserve"> </v>
      </c>
    </row>
    <row r="207" spans="1:13" x14ac:dyDescent="0.25">
      <c r="A207" s="40" t="str">
        <f t="shared" ref="A207:A270" si="15">IF(COUNTIF(K207:M207,"ERROR")&gt;0,"ERROR"," ")</f>
        <v xml:space="preserve"> </v>
      </c>
      <c r="D207" s="39"/>
      <c r="E207" s="39"/>
      <c r="J207" s="15">
        <f t="shared" si="13"/>
        <v>0</v>
      </c>
      <c r="K207" s="2" t="str">
        <f t="shared" si="14"/>
        <v xml:space="preserve"> </v>
      </c>
      <c r="L207" s="2" t="str">
        <f t="shared" ref="L207:L270" si="16">IF(D207=0," ",IF(COUNTIF(ProfitLoss3,D207)&gt;0," ","ERROR"))</f>
        <v xml:space="preserve"> </v>
      </c>
      <c r="M207" s="2" t="str">
        <f t="shared" ref="M207:M270" si="17">IF(E207=0," ",IF(COUNTIF(BalanceSheet3,E207)&gt;0," ","ERROR"))</f>
        <v xml:space="preserve"> </v>
      </c>
    </row>
    <row r="208" spans="1:13" x14ac:dyDescent="0.25">
      <c r="A208" s="40" t="str">
        <f t="shared" si="15"/>
        <v xml:space="preserve"> </v>
      </c>
      <c r="D208" s="39"/>
      <c r="E208" s="39"/>
      <c r="J208" s="15">
        <f t="shared" ref="J208:J271" si="18">F208-G208+H208-I208</f>
        <v>0</v>
      </c>
      <c r="K208" s="2" t="str">
        <f t="shared" ref="K208:K271" si="19">IF(COUNTA(D208:E208)=2,"ERROR"," ")</f>
        <v xml:space="preserve"> </v>
      </c>
      <c r="L208" s="2" t="str">
        <f t="shared" si="16"/>
        <v xml:space="preserve"> </v>
      </c>
      <c r="M208" s="2" t="str">
        <f t="shared" si="17"/>
        <v xml:space="preserve"> </v>
      </c>
    </row>
    <row r="209" spans="1:13" x14ac:dyDescent="0.25">
      <c r="A209" s="40" t="str">
        <f t="shared" si="15"/>
        <v xml:space="preserve"> </v>
      </c>
      <c r="D209" s="39"/>
      <c r="E209" s="39"/>
      <c r="J209" s="15">
        <f t="shared" si="18"/>
        <v>0</v>
      </c>
      <c r="K209" s="2" t="str">
        <f t="shared" si="19"/>
        <v xml:space="preserve"> </v>
      </c>
      <c r="L209" s="2" t="str">
        <f t="shared" si="16"/>
        <v xml:space="preserve"> </v>
      </c>
      <c r="M209" s="2" t="str">
        <f t="shared" si="17"/>
        <v xml:space="preserve"> </v>
      </c>
    </row>
    <row r="210" spans="1:13" x14ac:dyDescent="0.25">
      <c r="A210" s="40" t="str">
        <f t="shared" si="15"/>
        <v xml:space="preserve"> </v>
      </c>
      <c r="D210" s="39"/>
      <c r="E210" s="39"/>
      <c r="J210" s="15">
        <f t="shared" si="18"/>
        <v>0</v>
      </c>
      <c r="K210" s="2" t="str">
        <f t="shared" si="19"/>
        <v xml:space="preserve"> </v>
      </c>
      <c r="L210" s="2" t="str">
        <f t="shared" si="16"/>
        <v xml:space="preserve"> </v>
      </c>
      <c r="M210" s="2" t="str">
        <f t="shared" si="17"/>
        <v xml:space="preserve"> </v>
      </c>
    </row>
    <row r="211" spans="1:13" x14ac:dyDescent="0.25">
      <c r="A211" s="40" t="str">
        <f t="shared" si="15"/>
        <v xml:space="preserve"> </v>
      </c>
      <c r="D211" s="39"/>
      <c r="E211" s="39"/>
      <c r="J211" s="15">
        <f t="shared" si="18"/>
        <v>0</v>
      </c>
      <c r="K211" s="2" t="str">
        <f t="shared" si="19"/>
        <v xml:space="preserve"> </v>
      </c>
      <c r="L211" s="2" t="str">
        <f t="shared" si="16"/>
        <v xml:space="preserve"> </v>
      </c>
      <c r="M211" s="2" t="str">
        <f t="shared" si="17"/>
        <v xml:space="preserve"> </v>
      </c>
    </row>
    <row r="212" spans="1:13" x14ac:dyDescent="0.25">
      <c r="A212" s="40" t="str">
        <f t="shared" si="15"/>
        <v xml:space="preserve"> </v>
      </c>
      <c r="D212" s="39"/>
      <c r="E212" s="39"/>
      <c r="J212" s="15">
        <f t="shared" si="18"/>
        <v>0</v>
      </c>
      <c r="K212" s="2" t="str">
        <f t="shared" si="19"/>
        <v xml:space="preserve"> </v>
      </c>
      <c r="L212" s="2" t="str">
        <f t="shared" si="16"/>
        <v xml:space="preserve"> </v>
      </c>
      <c r="M212" s="2" t="str">
        <f t="shared" si="17"/>
        <v xml:space="preserve"> </v>
      </c>
    </row>
    <row r="213" spans="1:13" x14ac:dyDescent="0.25">
      <c r="A213" s="40" t="str">
        <f t="shared" si="15"/>
        <v xml:space="preserve"> </v>
      </c>
      <c r="D213" s="39"/>
      <c r="E213" s="39"/>
      <c r="J213" s="15">
        <f t="shared" si="18"/>
        <v>0</v>
      </c>
      <c r="K213" s="2" t="str">
        <f t="shared" si="19"/>
        <v xml:space="preserve"> </v>
      </c>
      <c r="L213" s="2" t="str">
        <f t="shared" si="16"/>
        <v xml:space="preserve"> </v>
      </c>
      <c r="M213" s="2" t="str">
        <f t="shared" si="17"/>
        <v xml:space="preserve"> </v>
      </c>
    </row>
    <row r="214" spans="1:13" x14ac:dyDescent="0.25">
      <c r="A214" s="40" t="str">
        <f t="shared" si="15"/>
        <v xml:space="preserve"> </v>
      </c>
      <c r="D214" s="39"/>
      <c r="E214" s="39"/>
      <c r="J214" s="15">
        <f t="shared" si="18"/>
        <v>0</v>
      </c>
      <c r="K214" s="2" t="str">
        <f t="shared" si="19"/>
        <v xml:space="preserve"> </v>
      </c>
      <c r="L214" s="2" t="str">
        <f t="shared" si="16"/>
        <v xml:space="preserve"> </v>
      </c>
      <c r="M214" s="2" t="str">
        <f t="shared" si="17"/>
        <v xml:space="preserve"> </v>
      </c>
    </row>
    <row r="215" spans="1:13" x14ac:dyDescent="0.25">
      <c r="A215" s="40" t="str">
        <f t="shared" si="15"/>
        <v xml:space="preserve"> </v>
      </c>
      <c r="D215" s="39"/>
      <c r="E215" s="39"/>
      <c r="J215" s="15">
        <f t="shared" si="18"/>
        <v>0</v>
      </c>
      <c r="K215" s="2" t="str">
        <f t="shared" si="19"/>
        <v xml:space="preserve"> </v>
      </c>
      <c r="L215" s="2" t="str">
        <f t="shared" si="16"/>
        <v xml:space="preserve"> </v>
      </c>
      <c r="M215" s="2" t="str">
        <f t="shared" si="17"/>
        <v xml:space="preserve"> </v>
      </c>
    </row>
    <row r="216" spans="1:13" x14ac:dyDescent="0.25">
      <c r="A216" s="40" t="str">
        <f t="shared" si="15"/>
        <v xml:space="preserve"> </v>
      </c>
      <c r="D216" s="39"/>
      <c r="E216" s="39"/>
      <c r="J216" s="15">
        <f t="shared" si="18"/>
        <v>0</v>
      </c>
      <c r="K216" s="2" t="str">
        <f t="shared" si="19"/>
        <v xml:space="preserve"> </v>
      </c>
      <c r="L216" s="2" t="str">
        <f t="shared" si="16"/>
        <v xml:space="preserve"> </v>
      </c>
      <c r="M216" s="2" t="str">
        <f t="shared" si="17"/>
        <v xml:space="preserve"> </v>
      </c>
    </row>
    <row r="217" spans="1:13" x14ac:dyDescent="0.25">
      <c r="A217" s="40" t="str">
        <f t="shared" si="15"/>
        <v xml:space="preserve"> </v>
      </c>
      <c r="D217" s="39"/>
      <c r="E217" s="39"/>
      <c r="J217" s="15">
        <f t="shared" si="18"/>
        <v>0</v>
      </c>
      <c r="K217" s="2" t="str">
        <f t="shared" si="19"/>
        <v xml:space="preserve"> </v>
      </c>
      <c r="L217" s="2" t="str">
        <f t="shared" si="16"/>
        <v xml:space="preserve"> </v>
      </c>
      <c r="M217" s="2" t="str">
        <f t="shared" si="17"/>
        <v xml:space="preserve"> </v>
      </c>
    </row>
    <row r="218" spans="1:13" x14ac:dyDescent="0.25">
      <c r="A218" s="40" t="str">
        <f t="shared" si="15"/>
        <v xml:space="preserve"> </v>
      </c>
      <c r="D218" s="39"/>
      <c r="E218" s="39"/>
      <c r="J218" s="15">
        <f t="shared" si="18"/>
        <v>0</v>
      </c>
      <c r="K218" s="2" t="str">
        <f t="shared" si="19"/>
        <v xml:space="preserve"> </v>
      </c>
      <c r="L218" s="2" t="str">
        <f t="shared" si="16"/>
        <v xml:space="preserve"> </v>
      </c>
      <c r="M218" s="2" t="str">
        <f t="shared" si="17"/>
        <v xml:space="preserve"> </v>
      </c>
    </row>
    <row r="219" spans="1:13" x14ac:dyDescent="0.25">
      <c r="A219" s="40" t="str">
        <f t="shared" si="15"/>
        <v xml:space="preserve"> </v>
      </c>
      <c r="D219" s="39"/>
      <c r="E219" s="39"/>
      <c r="J219" s="15">
        <f t="shared" si="18"/>
        <v>0</v>
      </c>
      <c r="K219" s="2" t="str">
        <f t="shared" si="19"/>
        <v xml:space="preserve"> </v>
      </c>
      <c r="L219" s="2" t="str">
        <f t="shared" si="16"/>
        <v xml:space="preserve"> </v>
      </c>
      <c r="M219" s="2" t="str">
        <f t="shared" si="17"/>
        <v xml:space="preserve"> </v>
      </c>
    </row>
    <row r="220" spans="1:13" x14ac:dyDescent="0.25">
      <c r="A220" s="40" t="str">
        <f t="shared" si="15"/>
        <v xml:space="preserve"> </v>
      </c>
      <c r="D220" s="39"/>
      <c r="E220" s="39"/>
      <c r="J220" s="15">
        <f t="shared" si="18"/>
        <v>0</v>
      </c>
      <c r="K220" s="2" t="str">
        <f t="shared" si="19"/>
        <v xml:space="preserve"> </v>
      </c>
      <c r="L220" s="2" t="str">
        <f t="shared" si="16"/>
        <v xml:space="preserve"> </v>
      </c>
      <c r="M220" s="2" t="str">
        <f t="shared" si="17"/>
        <v xml:space="preserve"> </v>
      </c>
    </row>
    <row r="221" spans="1:13" x14ac:dyDescent="0.25">
      <c r="A221" s="40" t="str">
        <f t="shared" si="15"/>
        <v xml:space="preserve"> </v>
      </c>
      <c r="D221" s="39"/>
      <c r="E221" s="39"/>
      <c r="J221" s="15">
        <f t="shared" si="18"/>
        <v>0</v>
      </c>
      <c r="K221" s="2" t="str">
        <f t="shared" si="19"/>
        <v xml:space="preserve"> </v>
      </c>
      <c r="L221" s="2" t="str">
        <f t="shared" si="16"/>
        <v xml:space="preserve"> </v>
      </c>
      <c r="M221" s="2" t="str">
        <f t="shared" si="17"/>
        <v xml:space="preserve"> </v>
      </c>
    </row>
    <row r="222" spans="1:13" x14ac:dyDescent="0.25">
      <c r="A222" s="40" t="str">
        <f t="shared" si="15"/>
        <v xml:space="preserve"> </v>
      </c>
      <c r="D222" s="39"/>
      <c r="E222" s="39"/>
      <c r="J222" s="15">
        <f t="shared" si="18"/>
        <v>0</v>
      </c>
      <c r="K222" s="2" t="str">
        <f t="shared" si="19"/>
        <v xml:space="preserve"> </v>
      </c>
      <c r="L222" s="2" t="str">
        <f t="shared" si="16"/>
        <v xml:space="preserve"> </v>
      </c>
      <c r="M222" s="2" t="str">
        <f t="shared" si="17"/>
        <v xml:space="preserve"> </v>
      </c>
    </row>
    <row r="223" spans="1:13" x14ac:dyDescent="0.25">
      <c r="A223" s="40" t="str">
        <f t="shared" si="15"/>
        <v xml:space="preserve"> </v>
      </c>
      <c r="D223" s="39"/>
      <c r="E223" s="39"/>
      <c r="J223" s="15">
        <f t="shared" si="18"/>
        <v>0</v>
      </c>
      <c r="K223" s="2" t="str">
        <f t="shared" si="19"/>
        <v xml:space="preserve"> </v>
      </c>
      <c r="L223" s="2" t="str">
        <f t="shared" si="16"/>
        <v xml:space="preserve"> </v>
      </c>
      <c r="M223" s="2" t="str">
        <f t="shared" si="17"/>
        <v xml:space="preserve"> </v>
      </c>
    </row>
    <row r="224" spans="1:13" x14ac:dyDescent="0.25">
      <c r="A224" s="40" t="str">
        <f t="shared" si="15"/>
        <v xml:space="preserve"> </v>
      </c>
      <c r="D224" s="39"/>
      <c r="E224" s="39"/>
      <c r="J224" s="15">
        <f t="shared" si="18"/>
        <v>0</v>
      </c>
      <c r="K224" s="2" t="str">
        <f t="shared" si="19"/>
        <v xml:space="preserve"> </v>
      </c>
      <c r="L224" s="2" t="str">
        <f t="shared" si="16"/>
        <v xml:space="preserve"> </v>
      </c>
      <c r="M224" s="2" t="str">
        <f t="shared" si="17"/>
        <v xml:space="preserve"> </v>
      </c>
    </row>
    <row r="225" spans="1:13" x14ac:dyDescent="0.25">
      <c r="A225" s="40" t="str">
        <f t="shared" si="15"/>
        <v xml:space="preserve"> </v>
      </c>
      <c r="D225" s="39"/>
      <c r="E225" s="39"/>
      <c r="J225" s="15">
        <f t="shared" si="18"/>
        <v>0</v>
      </c>
      <c r="K225" s="2" t="str">
        <f t="shared" si="19"/>
        <v xml:space="preserve"> </v>
      </c>
      <c r="L225" s="2" t="str">
        <f t="shared" si="16"/>
        <v xml:space="preserve"> </v>
      </c>
      <c r="M225" s="2" t="str">
        <f t="shared" si="17"/>
        <v xml:space="preserve"> </v>
      </c>
    </row>
    <row r="226" spans="1:13" x14ac:dyDescent="0.25">
      <c r="A226" s="40" t="str">
        <f t="shared" si="15"/>
        <v xml:space="preserve"> </v>
      </c>
      <c r="D226" s="39"/>
      <c r="E226" s="39"/>
      <c r="J226" s="15">
        <f t="shared" si="18"/>
        <v>0</v>
      </c>
      <c r="K226" s="2" t="str">
        <f t="shared" si="19"/>
        <v xml:space="preserve"> </v>
      </c>
      <c r="L226" s="2" t="str">
        <f t="shared" si="16"/>
        <v xml:space="preserve"> </v>
      </c>
      <c r="M226" s="2" t="str">
        <f t="shared" si="17"/>
        <v xml:space="preserve"> </v>
      </c>
    </row>
    <row r="227" spans="1:13" x14ac:dyDescent="0.25">
      <c r="A227" s="40" t="str">
        <f t="shared" si="15"/>
        <v xml:space="preserve"> </v>
      </c>
      <c r="D227" s="39"/>
      <c r="E227" s="39"/>
      <c r="J227" s="15">
        <f t="shared" si="18"/>
        <v>0</v>
      </c>
      <c r="K227" s="2" t="str">
        <f t="shared" si="19"/>
        <v xml:space="preserve"> </v>
      </c>
      <c r="L227" s="2" t="str">
        <f t="shared" si="16"/>
        <v xml:space="preserve"> </v>
      </c>
      <c r="M227" s="2" t="str">
        <f t="shared" si="17"/>
        <v xml:space="preserve"> </v>
      </c>
    </row>
    <row r="228" spans="1:13" x14ac:dyDescent="0.25">
      <c r="A228" s="40" t="str">
        <f t="shared" si="15"/>
        <v xml:space="preserve"> </v>
      </c>
      <c r="D228" s="39"/>
      <c r="E228" s="39"/>
      <c r="J228" s="15">
        <f t="shared" si="18"/>
        <v>0</v>
      </c>
      <c r="K228" s="2" t="str">
        <f t="shared" si="19"/>
        <v xml:space="preserve"> </v>
      </c>
      <c r="L228" s="2" t="str">
        <f t="shared" si="16"/>
        <v xml:space="preserve"> </v>
      </c>
      <c r="M228" s="2" t="str">
        <f t="shared" si="17"/>
        <v xml:space="preserve"> </v>
      </c>
    </row>
    <row r="229" spans="1:13" x14ac:dyDescent="0.25">
      <c r="A229" s="40" t="str">
        <f t="shared" si="15"/>
        <v xml:space="preserve"> </v>
      </c>
      <c r="D229" s="39"/>
      <c r="E229" s="39"/>
      <c r="J229" s="15">
        <f t="shared" si="18"/>
        <v>0</v>
      </c>
      <c r="K229" s="2" t="str">
        <f t="shared" si="19"/>
        <v xml:space="preserve"> </v>
      </c>
      <c r="L229" s="2" t="str">
        <f t="shared" si="16"/>
        <v xml:space="preserve"> </v>
      </c>
      <c r="M229" s="2" t="str">
        <f t="shared" si="17"/>
        <v xml:space="preserve"> </v>
      </c>
    </row>
    <row r="230" spans="1:13" x14ac:dyDescent="0.25">
      <c r="A230" s="40" t="str">
        <f t="shared" si="15"/>
        <v xml:space="preserve"> </v>
      </c>
      <c r="D230" s="39"/>
      <c r="E230" s="39"/>
      <c r="J230" s="15">
        <f t="shared" si="18"/>
        <v>0</v>
      </c>
      <c r="K230" s="2" t="str">
        <f t="shared" si="19"/>
        <v xml:space="preserve"> </v>
      </c>
      <c r="L230" s="2" t="str">
        <f t="shared" si="16"/>
        <v xml:space="preserve"> </v>
      </c>
      <c r="M230" s="2" t="str">
        <f t="shared" si="17"/>
        <v xml:space="preserve"> </v>
      </c>
    </row>
    <row r="231" spans="1:13" x14ac:dyDescent="0.25">
      <c r="A231" s="40" t="str">
        <f t="shared" si="15"/>
        <v xml:space="preserve"> </v>
      </c>
      <c r="D231" s="39"/>
      <c r="E231" s="39"/>
      <c r="J231" s="15">
        <f t="shared" si="18"/>
        <v>0</v>
      </c>
      <c r="K231" s="2" t="str">
        <f t="shared" si="19"/>
        <v xml:space="preserve"> </v>
      </c>
      <c r="L231" s="2" t="str">
        <f t="shared" si="16"/>
        <v xml:space="preserve"> </v>
      </c>
      <c r="M231" s="2" t="str">
        <f t="shared" si="17"/>
        <v xml:space="preserve"> </v>
      </c>
    </row>
    <row r="232" spans="1:13" x14ac:dyDescent="0.25">
      <c r="A232" s="40" t="str">
        <f t="shared" si="15"/>
        <v xml:space="preserve"> </v>
      </c>
      <c r="D232" s="39"/>
      <c r="E232" s="39"/>
      <c r="J232" s="15">
        <f t="shared" si="18"/>
        <v>0</v>
      </c>
      <c r="K232" s="2" t="str">
        <f t="shared" si="19"/>
        <v xml:space="preserve"> </v>
      </c>
      <c r="L232" s="2" t="str">
        <f t="shared" si="16"/>
        <v xml:space="preserve"> </v>
      </c>
      <c r="M232" s="2" t="str">
        <f t="shared" si="17"/>
        <v xml:space="preserve"> </v>
      </c>
    </row>
    <row r="233" spans="1:13" x14ac:dyDescent="0.25">
      <c r="A233" s="40" t="str">
        <f t="shared" si="15"/>
        <v xml:space="preserve"> </v>
      </c>
      <c r="D233" s="39"/>
      <c r="E233" s="39"/>
      <c r="J233" s="15">
        <f t="shared" si="18"/>
        <v>0</v>
      </c>
      <c r="K233" s="2" t="str">
        <f t="shared" si="19"/>
        <v xml:space="preserve"> </v>
      </c>
      <c r="L233" s="2" t="str">
        <f t="shared" si="16"/>
        <v xml:space="preserve"> </v>
      </c>
      <c r="M233" s="2" t="str">
        <f t="shared" si="17"/>
        <v xml:space="preserve"> </v>
      </c>
    </row>
    <row r="234" spans="1:13" x14ac:dyDescent="0.25">
      <c r="A234" s="40" t="str">
        <f t="shared" si="15"/>
        <v xml:space="preserve"> </v>
      </c>
      <c r="D234" s="39"/>
      <c r="E234" s="39"/>
      <c r="J234" s="15">
        <f t="shared" si="18"/>
        <v>0</v>
      </c>
      <c r="K234" s="2" t="str">
        <f t="shared" si="19"/>
        <v xml:space="preserve"> </v>
      </c>
      <c r="L234" s="2" t="str">
        <f t="shared" si="16"/>
        <v xml:space="preserve"> </v>
      </c>
      <c r="M234" s="2" t="str">
        <f t="shared" si="17"/>
        <v xml:space="preserve"> </v>
      </c>
    </row>
    <row r="235" spans="1:13" x14ac:dyDescent="0.25">
      <c r="A235" s="40" t="str">
        <f t="shared" si="15"/>
        <v xml:space="preserve"> </v>
      </c>
      <c r="D235" s="39"/>
      <c r="E235" s="39"/>
      <c r="J235" s="15">
        <f t="shared" si="18"/>
        <v>0</v>
      </c>
      <c r="K235" s="2" t="str">
        <f t="shared" si="19"/>
        <v xml:space="preserve"> </v>
      </c>
      <c r="L235" s="2" t="str">
        <f t="shared" si="16"/>
        <v xml:space="preserve"> </v>
      </c>
      <c r="M235" s="2" t="str">
        <f t="shared" si="17"/>
        <v xml:space="preserve"> </v>
      </c>
    </row>
    <row r="236" spans="1:13" x14ac:dyDescent="0.25">
      <c r="A236" s="40" t="str">
        <f t="shared" si="15"/>
        <v xml:space="preserve"> </v>
      </c>
      <c r="D236" s="39"/>
      <c r="E236" s="39"/>
      <c r="J236" s="15">
        <f t="shared" si="18"/>
        <v>0</v>
      </c>
      <c r="K236" s="2" t="str">
        <f t="shared" si="19"/>
        <v xml:space="preserve"> </v>
      </c>
      <c r="L236" s="2" t="str">
        <f t="shared" si="16"/>
        <v xml:space="preserve"> </v>
      </c>
      <c r="M236" s="2" t="str">
        <f t="shared" si="17"/>
        <v xml:space="preserve"> </v>
      </c>
    </row>
    <row r="237" spans="1:13" x14ac:dyDescent="0.25">
      <c r="A237" s="40" t="str">
        <f t="shared" si="15"/>
        <v xml:space="preserve"> </v>
      </c>
      <c r="D237" s="39"/>
      <c r="E237" s="39"/>
      <c r="J237" s="15">
        <f t="shared" si="18"/>
        <v>0</v>
      </c>
      <c r="K237" s="2" t="str">
        <f t="shared" si="19"/>
        <v xml:space="preserve"> </v>
      </c>
      <c r="L237" s="2" t="str">
        <f t="shared" si="16"/>
        <v xml:space="preserve"> </v>
      </c>
      <c r="M237" s="2" t="str">
        <f t="shared" si="17"/>
        <v xml:space="preserve"> </v>
      </c>
    </row>
    <row r="238" spans="1:13" x14ac:dyDescent="0.25">
      <c r="A238" s="40" t="str">
        <f t="shared" si="15"/>
        <v xml:space="preserve"> </v>
      </c>
      <c r="D238" s="39"/>
      <c r="E238" s="39"/>
      <c r="J238" s="15">
        <f t="shared" si="18"/>
        <v>0</v>
      </c>
      <c r="K238" s="2" t="str">
        <f t="shared" si="19"/>
        <v xml:space="preserve"> </v>
      </c>
      <c r="L238" s="2" t="str">
        <f t="shared" si="16"/>
        <v xml:space="preserve"> </v>
      </c>
      <c r="M238" s="2" t="str">
        <f t="shared" si="17"/>
        <v xml:space="preserve"> </v>
      </c>
    </row>
    <row r="239" spans="1:13" x14ac:dyDescent="0.25">
      <c r="A239" s="40" t="str">
        <f t="shared" si="15"/>
        <v xml:space="preserve"> </v>
      </c>
      <c r="D239" s="39"/>
      <c r="E239" s="39"/>
      <c r="J239" s="15">
        <f t="shared" si="18"/>
        <v>0</v>
      </c>
      <c r="K239" s="2" t="str">
        <f t="shared" si="19"/>
        <v xml:space="preserve"> </v>
      </c>
      <c r="L239" s="2" t="str">
        <f t="shared" si="16"/>
        <v xml:space="preserve"> </v>
      </c>
      <c r="M239" s="2" t="str">
        <f t="shared" si="17"/>
        <v xml:space="preserve"> </v>
      </c>
    </row>
    <row r="240" spans="1:13" x14ac:dyDescent="0.25">
      <c r="A240" s="40" t="str">
        <f t="shared" si="15"/>
        <v xml:space="preserve"> </v>
      </c>
      <c r="D240" s="39"/>
      <c r="E240" s="39"/>
      <c r="J240" s="15">
        <f t="shared" si="18"/>
        <v>0</v>
      </c>
      <c r="K240" s="2" t="str">
        <f t="shared" si="19"/>
        <v xml:space="preserve"> </v>
      </c>
      <c r="L240" s="2" t="str">
        <f t="shared" si="16"/>
        <v xml:space="preserve"> </v>
      </c>
      <c r="M240" s="2" t="str">
        <f t="shared" si="17"/>
        <v xml:space="preserve"> </v>
      </c>
    </row>
    <row r="241" spans="1:13" x14ac:dyDescent="0.25">
      <c r="A241" s="40" t="str">
        <f t="shared" si="15"/>
        <v xml:space="preserve"> </v>
      </c>
      <c r="D241" s="39"/>
      <c r="E241" s="39"/>
      <c r="J241" s="15">
        <f t="shared" si="18"/>
        <v>0</v>
      </c>
      <c r="K241" s="2" t="str">
        <f t="shared" si="19"/>
        <v xml:space="preserve"> </v>
      </c>
      <c r="L241" s="2" t="str">
        <f t="shared" si="16"/>
        <v xml:space="preserve"> </v>
      </c>
      <c r="M241" s="2" t="str">
        <f t="shared" si="17"/>
        <v xml:space="preserve"> </v>
      </c>
    </row>
    <row r="242" spans="1:13" x14ac:dyDescent="0.25">
      <c r="A242" s="40" t="str">
        <f t="shared" si="15"/>
        <v xml:space="preserve"> </v>
      </c>
      <c r="D242" s="39"/>
      <c r="E242" s="39"/>
      <c r="J242" s="15">
        <f t="shared" si="18"/>
        <v>0</v>
      </c>
      <c r="K242" s="2" t="str">
        <f t="shared" si="19"/>
        <v xml:space="preserve"> </v>
      </c>
      <c r="L242" s="2" t="str">
        <f t="shared" si="16"/>
        <v xml:space="preserve"> </v>
      </c>
      <c r="M242" s="2" t="str">
        <f t="shared" si="17"/>
        <v xml:space="preserve"> </v>
      </c>
    </row>
    <row r="243" spans="1:13" x14ac:dyDescent="0.25">
      <c r="A243" s="40" t="str">
        <f t="shared" si="15"/>
        <v xml:space="preserve"> </v>
      </c>
      <c r="D243" s="39"/>
      <c r="E243" s="39"/>
      <c r="J243" s="15">
        <f t="shared" si="18"/>
        <v>0</v>
      </c>
      <c r="K243" s="2" t="str">
        <f t="shared" si="19"/>
        <v xml:space="preserve"> </v>
      </c>
      <c r="L243" s="2" t="str">
        <f t="shared" si="16"/>
        <v xml:space="preserve"> </v>
      </c>
      <c r="M243" s="2" t="str">
        <f t="shared" si="17"/>
        <v xml:space="preserve"> </v>
      </c>
    </row>
    <row r="244" spans="1:13" x14ac:dyDescent="0.25">
      <c r="A244" s="40" t="str">
        <f t="shared" si="15"/>
        <v xml:space="preserve"> </v>
      </c>
      <c r="D244" s="39"/>
      <c r="E244" s="39"/>
      <c r="J244" s="15">
        <f t="shared" si="18"/>
        <v>0</v>
      </c>
      <c r="K244" s="2" t="str">
        <f t="shared" si="19"/>
        <v xml:space="preserve"> </v>
      </c>
      <c r="L244" s="2" t="str">
        <f t="shared" si="16"/>
        <v xml:space="preserve"> </v>
      </c>
      <c r="M244" s="2" t="str">
        <f t="shared" si="17"/>
        <v xml:space="preserve"> </v>
      </c>
    </row>
    <row r="245" spans="1:13" x14ac:dyDescent="0.25">
      <c r="A245" s="40" t="str">
        <f t="shared" si="15"/>
        <v xml:space="preserve"> </v>
      </c>
      <c r="D245" s="39"/>
      <c r="E245" s="39"/>
      <c r="J245" s="15">
        <f t="shared" si="18"/>
        <v>0</v>
      </c>
      <c r="K245" s="2" t="str">
        <f t="shared" si="19"/>
        <v xml:space="preserve"> </v>
      </c>
      <c r="L245" s="2" t="str">
        <f t="shared" si="16"/>
        <v xml:space="preserve"> </v>
      </c>
      <c r="M245" s="2" t="str">
        <f t="shared" si="17"/>
        <v xml:space="preserve"> </v>
      </c>
    </row>
    <row r="246" spans="1:13" x14ac:dyDescent="0.25">
      <c r="A246" s="40" t="str">
        <f t="shared" si="15"/>
        <v xml:space="preserve"> </v>
      </c>
      <c r="D246" s="39"/>
      <c r="E246" s="39"/>
      <c r="J246" s="15">
        <f t="shared" si="18"/>
        <v>0</v>
      </c>
      <c r="K246" s="2" t="str">
        <f t="shared" si="19"/>
        <v xml:space="preserve"> </v>
      </c>
      <c r="L246" s="2" t="str">
        <f t="shared" si="16"/>
        <v xml:space="preserve"> </v>
      </c>
      <c r="M246" s="2" t="str">
        <f t="shared" si="17"/>
        <v xml:space="preserve"> </v>
      </c>
    </row>
    <row r="247" spans="1:13" x14ac:dyDescent="0.25">
      <c r="A247" s="40" t="str">
        <f t="shared" si="15"/>
        <v xml:space="preserve"> </v>
      </c>
      <c r="D247" s="39"/>
      <c r="E247" s="39"/>
      <c r="J247" s="15">
        <f t="shared" si="18"/>
        <v>0</v>
      </c>
      <c r="K247" s="2" t="str">
        <f t="shared" si="19"/>
        <v xml:space="preserve"> </v>
      </c>
      <c r="L247" s="2" t="str">
        <f t="shared" si="16"/>
        <v xml:space="preserve"> </v>
      </c>
      <c r="M247" s="2" t="str">
        <f t="shared" si="17"/>
        <v xml:space="preserve"> </v>
      </c>
    </row>
    <row r="248" spans="1:13" x14ac:dyDescent="0.25">
      <c r="A248" s="40" t="str">
        <f t="shared" si="15"/>
        <v xml:space="preserve"> </v>
      </c>
      <c r="D248" s="39"/>
      <c r="E248" s="39"/>
      <c r="J248" s="15">
        <f t="shared" si="18"/>
        <v>0</v>
      </c>
      <c r="K248" s="2" t="str">
        <f t="shared" si="19"/>
        <v xml:space="preserve"> </v>
      </c>
      <c r="L248" s="2" t="str">
        <f t="shared" si="16"/>
        <v xml:space="preserve"> </v>
      </c>
      <c r="M248" s="2" t="str">
        <f t="shared" si="17"/>
        <v xml:space="preserve"> </v>
      </c>
    </row>
    <row r="249" spans="1:13" x14ac:dyDescent="0.25">
      <c r="A249" s="40" t="str">
        <f t="shared" si="15"/>
        <v xml:space="preserve"> </v>
      </c>
      <c r="D249" s="39"/>
      <c r="E249" s="39"/>
      <c r="J249" s="15">
        <f t="shared" si="18"/>
        <v>0</v>
      </c>
      <c r="K249" s="2" t="str">
        <f t="shared" si="19"/>
        <v xml:space="preserve"> </v>
      </c>
      <c r="L249" s="2" t="str">
        <f t="shared" si="16"/>
        <v xml:space="preserve"> </v>
      </c>
      <c r="M249" s="2" t="str">
        <f t="shared" si="17"/>
        <v xml:space="preserve"> </v>
      </c>
    </row>
    <row r="250" spans="1:13" x14ac:dyDescent="0.25">
      <c r="A250" s="40" t="str">
        <f t="shared" si="15"/>
        <v xml:space="preserve"> </v>
      </c>
      <c r="D250" s="39"/>
      <c r="E250" s="39"/>
      <c r="J250" s="15">
        <f t="shared" si="18"/>
        <v>0</v>
      </c>
      <c r="K250" s="2" t="str">
        <f t="shared" si="19"/>
        <v xml:space="preserve"> </v>
      </c>
      <c r="L250" s="2" t="str">
        <f t="shared" si="16"/>
        <v xml:space="preserve"> </v>
      </c>
      <c r="M250" s="2" t="str">
        <f t="shared" si="17"/>
        <v xml:space="preserve"> </v>
      </c>
    </row>
    <row r="251" spans="1:13" x14ac:dyDescent="0.25">
      <c r="A251" s="40" t="str">
        <f t="shared" si="15"/>
        <v xml:space="preserve"> </v>
      </c>
      <c r="D251" s="39"/>
      <c r="E251" s="39"/>
      <c r="J251" s="15">
        <f t="shared" si="18"/>
        <v>0</v>
      </c>
      <c r="K251" s="2" t="str">
        <f t="shared" si="19"/>
        <v xml:space="preserve"> </v>
      </c>
      <c r="L251" s="2" t="str">
        <f t="shared" si="16"/>
        <v xml:space="preserve"> </v>
      </c>
      <c r="M251" s="2" t="str">
        <f t="shared" si="17"/>
        <v xml:space="preserve"> </v>
      </c>
    </row>
    <row r="252" spans="1:13" x14ac:dyDescent="0.25">
      <c r="A252" s="40" t="str">
        <f t="shared" si="15"/>
        <v xml:space="preserve"> </v>
      </c>
      <c r="D252" s="39"/>
      <c r="E252" s="39"/>
      <c r="J252" s="15">
        <f t="shared" si="18"/>
        <v>0</v>
      </c>
      <c r="K252" s="2" t="str">
        <f t="shared" si="19"/>
        <v xml:space="preserve"> </v>
      </c>
      <c r="L252" s="2" t="str">
        <f t="shared" si="16"/>
        <v xml:space="preserve"> </v>
      </c>
      <c r="M252" s="2" t="str">
        <f t="shared" si="17"/>
        <v xml:space="preserve"> </v>
      </c>
    </row>
    <row r="253" spans="1:13" x14ac:dyDescent="0.25">
      <c r="A253" s="40" t="str">
        <f t="shared" si="15"/>
        <v xml:space="preserve"> </v>
      </c>
      <c r="D253" s="39"/>
      <c r="E253" s="39"/>
      <c r="J253" s="15">
        <f t="shared" si="18"/>
        <v>0</v>
      </c>
      <c r="K253" s="2" t="str">
        <f t="shared" si="19"/>
        <v xml:space="preserve"> </v>
      </c>
      <c r="L253" s="2" t="str">
        <f t="shared" si="16"/>
        <v xml:space="preserve"> </v>
      </c>
      <c r="M253" s="2" t="str">
        <f t="shared" si="17"/>
        <v xml:space="preserve"> </v>
      </c>
    </row>
    <row r="254" spans="1:13" x14ac:dyDescent="0.25">
      <c r="A254" s="40" t="str">
        <f t="shared" si="15"/>
        <v xml:space="preserve"> </v>
      </c>
      <c r="D254" s="39"/>
      <c r="E254" s="39"/>
      <c r="J254" s="15">
        <f t="shared" si="18"/>
        <v>0</v>
      </c>
      <c r="K254" s="2" t="str">
        <f t="shared" si="19"/>
        <v xml:space="preserve"> </v>
      </c>
      <c r="L254" s="2" t="str">
        <f t="shared" si="16"/>
        <v xml:space="preserve"> </v>
      </c>
      <c r="M254" s="2" t="str">
        <f t="shared" si="17"/>
        <v xml:space="preserve"> </v>
      </c>
    </row>
    <row r="255" spans="1:13" x14ac:dyDescent="0.25">
      <c r="A255" s="40" t="str">
        <f t="shared" si="15"/>
        <v xml:space="preserve"> </v>
      </c>
      <c r="D255" s="39"/>
      <c r="E255" s="39"/>
      <c r="J255" s="15">
        <f t="shared" si="18"/>
        <v>0</v>
      </c>
      <c r="K255" s="2" t="str">
        <f t="shared" si="19"/>
        <v xml:space="preserve"> </v>
      </c>
      <c r="L255" s="2" t="str">
        <f t="shared" si="16"/>
        <v xml:space="preserve"> </v>
      </c>
      <c r="M255" s="2" t="str">
        <f t="shared" si="17"/>
        <v xml:space="preserve"> </v>
      </c>
    </row>
    <row r="256" spans="1:13" x14ac:dyDescent="0.25">
      <c r="A256" s="40" t="str">
        <f t="shared" si="15"/>
        <v xml:space="preserve"> </v>
      </c>
      <c r="D256" s="39"/>
      <c r="E256" s="39"/>
      <c r="J256" s="15">
        <f t="shared" si="18"/>
        <v>0</v>
      </c>
      <c r="K256" s="2" t="str">
        <f t="shared" si="19"/>
        <v xml:space="preserve"> </v>
      </c>
      <c r="L256" s="2" t="str">
        <f t="shared" si="16"/>
        <v xml:space="preserve"> </v>
      </c>
      <c r="M256" s="2" t="str">
        <f t="shared" si="17"/>
        <v xml:space="preserve"> </v>
      </c>
    </row>
    <row r="257" spans="1:13" x14ac:dyDescent="0.25">
      <c r="A257" s="40" t="str">
        <f t="shared" si="15"/>
        <v xml:space="preserve"> </v>
      </c>
      <c r="D257" s="39"/>
      <c r="E257" s="39"/>
      <c r="J257" s="15">
        <f t="shared" si="18"/>
        <v>0</v>
      </c>
      <c r="K257" s="2" t="str">
        <f t="shared" si="19"/>
        <v xml:space="preserve"> </v>
      </c>
      <c r="L257" s="2" t="str">
        <f t="shared" si="16"/>
        <v xml:space="preserve"> </v>
      </c>
      <c r="M257" s="2" t="str">
        <f t="shared" si="17"/>
        <v xml:space="preserve"> </v>
      </c>
    </row>
    <row r="258" spans="1:13" x14ac:dyDescent="0.25">
      <c r="A258" s="40" t="str">
        <f t="shared" si="15"/>
        <v xml:space="preserve"> </v>
      </c>
      <c r="D258" s="39"/>
      <c r="E258" s="39"/>
      <c r="J258" s="15">
        <f t="shared" si="18"/>
        <v>0</v>
      </c>
      <c r="K258" s="2" t="str">
        <f t="shared" si="19"/>
        <v xml:space="preserve"> </v>
      </c>
      <c r="L258" s="2" t="str">
        <f t="shared" si="16"/>
        <v xml:space="preserve"> </v>
      </c>
      <c r="M258" s="2" t="str">
        <f t="shared" si="17"/>
        <v xml:space="preserve"> </v>
      </c>
    </row>
    <row r="259" spans="1:13" x14ac:dyDescent="0.25">
      <c r="A259" s="40" t="str">
        <f t="shared" si="15"/>
        <v xml:space="preserve"> </v>
      </c>
      <c r="D259" s="39"/>
      <c r="E259" s="39"/>
      <c r="J259" s="15">
        <f t="shared" si="18"/>
        <v>0</v>
      </c>
      <c r="K259" s="2" t="str">
        <f t="shared" si="19"/>
        <v xml:space="preserve"> </v>
      </c>
      <c r="L259" s="2" t="str">
        <f t="shared" si="16"/>
        <v xml:space="preserve"> </v>
      </c>
      <c r="M259" s="2" t="str">
        <f t="shared" si="17"/>
        <v xml:space="preserve"> </v>
      </c>
    </row>
    <row r="260" spans="1:13" x14ac:dyDescent="0.25">
      <c r="A260" s="40" t="str">
        <f t="shared" si="15"/>
        <v xml:space="preserve"> </v>
      </c>
      <c r="D260" s="39"/>
      <c r="E260" s="39"/>
      <c r="J260" s="15">
        <f t="shared" si="18"/>
        <v>0</v>
      </c>
      <c r="K260" s="2" t="str">
        <f t="shared" si="19"/>
        <v xml:space="preserve"> </v>
      </c>
      <c r="L260" s="2" t="str">
        <f t="shared" si="16"/>
        <v xml:space="preserve"> </v>
      </c>
      <c r="M260" s="2" t="str">
        <f t="shared" si="17"/>
        <v xml:space="preserve"> </v>
      </c>
    </row>
    <row r="261" spans="1:13" x14ac:dyDescent="0.25">
      <c r="A261" s="40" t="str">
        <f t="shared" si="15"/>
        <v xml:space="preserve"> </v>
      </c>
      <c r="D261" s="39"/>
      <c r="E261" s="39"/>
      <c r="J261" s="15">
        <f t="shared" si="18"/>
        <v>0</v>
      </c>
      <c r="K261" s="2" t="str">
        <f t="shared" si="19"/>
        <v xml:space="preserve"> </v>
      </c>
      <c r="L261" s="2" t="str">
        <f t="shared" si="16"/>
        <v xml:space="preserve"> </v>
      </c>
      <c r="M261" s="2" t="str">
        <f t="shared" si="17"/>
        <v xml:space="preserve"> </v>
      </c>
    </row>
    <row r="262" spans="1:13" x14ac:dyDescent="0.25">
      <c r="A262" s="40" t="str">
        <f t="shared" si="15"/>
        <v xml:space="preserve"> </v>
      </c>
      <c r="D262" s="39"/>
      <c r="E262" s="39"/>
      <c r="J262" s="15">
        <f t="shared" si="18"/>
        <v>0</v>
      </c>
      <c r="K262" s="2" t="str">
        <f t="shared" si="19"/>
        <v xml:space="preserve"> </v>
      </c>
      <c r="L262" s="2" t="str">
        <f t="shared" si="16"/>
        <v xml:space="preserve"> </v>
      </c>
      <c r="M262" s="2" t="str">
        <f t="shared" si="17"/>
        <v xml:space="preserve"> </v>
      </c>
    </row>
    <row r="263" spans="1:13" x14ac:dyDescent="0.25">
      <c r="A263" s="40" t="str">
        <f t="shared" si="15"/>
        <v xml:space="preserve"> </v>
      </c>
      <c r="D263" s="39"/>
      <c r="E263" s="39"/>
      <c r="J263" s="15">
        <f t="shared" si="18"/>
        <v>0</v>
      </c>
      <c r="K263" s="2" t="str">
        <f t="shared" si="19"/>
        <v xml:space="preserve"> </v>
      </c>
      <c r="L263" s="2" t="str">
        <f t="shared" si="16"/>
        <v xml:space="preserve"> </v>
      </c>
      <c r="M263" s="2" t="str">
        <f t="shared" si="17"/>
        <v xml:space="preserve"> </v>
      </c>
    </row>
    <row r="264" spans="1:13" x14ac:dyDescent="0.25">
      <c r="A264" s="40" t="str">
        <f t="shared" si="15"/>
        <v xml:space="preserve"> </v>
      </c>
      <c r="D264" s="39"/>
      <c r="E264" s="39"/>
      <c r="J264" s="15">
        <f t="shared" si="18"/>
        <v>0</v>
      </c>
      <c r="K264" s="2" t="str">
        <f t="shared" si="19"/>
        <v xml:space="preserve"> </v>
      </c>
      <c r="L264" s="2" t="str">
        <f t="shared" si="16"/>
        <v xml:space="preserve"> </v>
      </c>
      <c r="M264" s="2" t="str">
        <f t="shared" si="17"/>
        <v xml:space="preserve"> </v>
      </c>
    </row>
    <row r="265" spans="1:13" x14ac:dyDescent="0.25">
      <c r="A265" s="40" t="str">
        <f t="shared" si="15"/>
        <v xml:space="preserve"> </v>
      </c>
      <c r="D265" s="39"/>
      <c r="E265" s="39"/>
      <c r="J265" s="15">
        <f t="shared" si="18"/>
        <v>0</v>
      </c>
      <c r="K265" s="2" t="str">
        <f t="shared" si="19"/>
        <v xml:space="preserve"> </v>
      </c>
      <c r="L265" s="2" t="str">
        <f t="shared" si="16"/>
        <v xml:space="preserve"> </v>
      </c>
      <c r="M265" s="2" t="str">
        <f t="shared" si="17"/>
        <v xml:space="preserve"> </v>
      </c>
    </row>
    <row r="266" spans="1:13" x14ac:dyDescent="0.25">
      <c r="A266" s="40" t="str">
        <f t="shared" si="15"/>
        <v xml:space="preserve"> </v>
      </c>
      <c r="D266" s="39"/>
      <c r="E266" s="39"/>
      <c r="J266" s="15">
        <f t="shared" si="18"/>
        <v>0</v>
      </c>
      <c r="K266" s="2" t="str">
        <f t="shared" si="19"/>
        <v xml:space="preserve"> </v>
      </c>
      <c r="L266" s="2" t="str">
        <f t="shared" si="16"/>
        <v xml:space="preserve"> </v>
      </c>
      <c r="M266" s="2" t="str">
        <f t="shared" si="17"/>
        <v xml:space="preserve"> </v>
      </c>
    </row>
    <row r="267" spans="1:13" x14ac:dyDescent="0.25">
      <c r="A267" s="40" t="str">
        <f t="shared" si="15"/>
        <v xml:space="preserve"> </v>
      </c>
      <c r="D267" s="39"/>
      <c r="E267" s="39"/>
      <c r="J267" s="15">
        <f t="shared" si="18"/>
        <v>0</v>
      </c>
      <c r="K267" s="2" t="str">
        <f t="shared" si="19"/>
        <v xml:space="preserve"> </v>
      </c>
      <c r="L267" s="2" t="str">
        <f t="shared" si="16"/>
        <v xml:space="preserve"> </v>
      </c>
      <c r="M267" s="2" t="str">
        <f t="shared" si="17"/>
        <v xml:space="preserve"> </v>
      </c>
    </row>
    <row r="268" spans="1:13" x14ac:dyDescent="0.25">
      <c r="A268" s="40" t="str">
        <f t="shared" si="15"/>
        <v xml:space="preserve"> </v>
      </c>
      <c r="D268" s="39"/>
      <c r="E268" s="39"/>
      <c r="J268" s="15">
        <f t="shared" si="18"/>
        <v>0</v>
      </c>
      <c r="K268" s="2" t="str">
        <f t="shared" si="19"/>
        <v xml:space="preserve"> </v>
      </c>
      <c r="L268" s="2" t="str">
        <f t="shared" si="16"/>
        <v xml:space="preserve"> </v>
      </c>
      <c r="M268" s="2" t="str">
        <f t="shared" si="17"/>
        <v xml:space="preserve"> </v>
      </c>
    </row>
    <row r="269" spans="1:13" x14ac:dyDescent="0.25">
      <c r="A269" s="40" t="str">
        <f t="shared" si="15"/>
        <v xml:space="preserve"> </v>
      </c>
      <c r="D269" s="39"/>
      <c r="E269" s="39"/>
      <c r="J269" s="15">
        <f t="shared" si="18"/>
        <v>0</v>
      </c>
      <c r="K269" s="2" t="str">
        <f t="shared" si="19"/>
        <v xml:space="preserve"> </v>
      </c>
      <c r="L269" s="2" t="str">
        <f t="shared" si="16"/>
        <v xml:space="preserve"> </v>
      </c>
      <c r="M269" s="2" t="str">
        <f t="shared" si="17"/>
        <v xml:space="preserve"> </v>
      </c>
    </row>
    <row r="270" spans="1:13" x14ac:dyDescent="0.25">
      <c r="A270" s="40" t="str">
        <f t="shared" si="15"/>
        <v xml:space="preserve"> </v>
      </c>
      <c r="D270" s="39"/>
      <c r="E270" s="39"/>
      <c r="J270" s="15">
        <f t="shared" si="18"/>
        <v>0</v>
      </c>
      <c r="K270" s="2" t="str">
        <f t="shared" si="19"/>
        <v xml:space="preserve"> </v>
      </c>
      <c r="L270" s="2" t="str">
        <f t="shared" si="16"/>
        <v xml:space="preserve"> </v>
      </c>
      <c r="M270" s="2" t="str">
        <f t="shared" si="17"/>
        <v xml:space="preserve"> </v>
      </c>
    </row>
    <row r="271" spans="1:13" x14ac:dyDescent="0.25">
      <c r="A271" s="40" t="str">
        <f t="shared" ref="A271:A334" si="20">IF(COUNTIF(K271:M271,"ERROR")&gt;0,"ERROR"," ")</f>
        <v xml:space="preserve"> </v>
      </c>
      <c r="D271" s="39"/>
      <c r="E271" s="39"/>
      <c r="J271" s="15">
        <f t="shared" si="18"/>
        <v>0</v>
      </c>
      <c r="K271" s="2" t="str">
        <f t="shared" si="19"/>
        <v xml:space="preserve"> </v>
      </c>
      <c r="L271" s="2" t="str">
        <f t="shared" ref="L271:L334" si="21">IF(D271=0," ",IF(COUNTIF(ProfitLoss3,D271)&gt;0," ","ERROR"))</f>
        <v xml:space="preserve"> </v>
      </c>
      <c r="M271" s="2" t="str">
        <f t="shared" ref="M271:M334" si="22">IF(E271=0," ",IF(COUNTIF(BalanceSheet3,E271)&gt;0," ","ERROR"))</f>
        <v xml:space="preserve"> </v>
      </c>
    </row>
    <row r="272" spans="1:13" x14ac:dyDescent="0.25">
      <c r="A272" s="40" t="str">
        <f t="shared" si="20"/>
        <v xml:space="preserve"> </v>
      </c>
      <c r="D272" s="39"/>
      <c r="E272" s="39"/>
      <c r="J272" s="15">
        <f t="shared" ref="J272:J335" si="23">F272-G272+H272-I272</f>
        <v>0</v>
      </c>
      <c r="K272" s="2" t="str">
        <f t="shared" ref="K272:K335" si="24">IF(COUNTA(D272:E272)=2,"ERROR"," ")</f>
        <v xml:space="preserve"> </v>
      </c>
      <c r="L272" s="2" t="str">
        <f t="shared" si="21"/>
        <v xml:space="preserve"> </v>
      </c>
      <c r="M272" s="2" t="str">
        <f t="shared" si="22"/>
        <v xml:space="preserve"> </v>
      </c>
    </row>
    <row r="273" spans="1:13" x14ac:dyDescent="0.25">
      <c r="A273" s="40" t="str">
        <f t="shared" si="20"/>
        <v xml:space="preserve"> </v>
      </c>
      <c r="D273" s="39"/>
      <c r="E273" s="39"/>
      <c r="J273" s="15">
        <f t="shared" si="23"/>
        <v>0</v>
      </c>
      <c r="K273" s="2" t="str">
        <f t="shared" si="24"/>
        <v xml:space="preserve"> </v>
      </c>
      <c r="L273" s="2" t="str">
        <f t="shared" si="21"/>
        <v xml:space="preserve"> </v>
      </c>
      <c r="M273" s="2" t="str">
        <f t="shared" si="22"/>
        <v xml:space="preserve"> </v>
      </c>
    </row>
    <row r="274" spans="1:13" x14ac:dyDescent="0.25">
      <c r="A274" s="40" t="str">
        <f t="shared" si="20"/>
        <v xml:space="preserve"> </v>
      </c>
      <c r="D274" s="39"/>
      <c r="E274" s="39"/>
      <c r="J274" s="15">
        <f t="shared" si="23"/>
        <v>0</v>
      </c>
      <c r="K274" s="2" t="str">
        <f t="shared" si="24"/>
        <v xml:space="preserve"> </v>
      </c>
      <c r="L274" s="2" t="str">
        <f t="shared" si="21"/>
        <v xml:space="preserve"> </v>
      </c>
      <c r="M274" s="2" t="str">
        <f t="shared" si="22"/>
        <v xml:space="preserve"> </v>
      </c>
    </row>
    <row r="275" spans="1:13" x14ac:dyDescent="0.25">
      <c r="A275" s="40" t="str">
        <f t="shared" si="20"/>
        <v xml:space="preserve"> </v>
      </c>
      <c r="D275" s="39"/>
      <c r="E275" s="39"/>
      <c r="J275" s="15">
        <f t="shared" si="23"/>
        <v>0</v>
      </c>
      <c r="K275" s="2" t="str">
        <f t="shared" si="24"/>
        <v xml:space="preserve"> </v>
      </c>
      <c r="L275" s="2" t="str">
        <f t="shared" si="21"/>
        <v xml:space="preserve"> </v>
      </c>
      <c r="M275" s="2" t="str">
        <f t="shared" si="22"/>
        <v xml:space="preserve"> </v>
      </c>
    </row>
    <row r="276" spans="1:13" x14ac:dyDescent="0.25">
      <c r="A276" s="40" t="str">
        <f t="shared" si="20"/>
        <v xml:space="preserve"> </v>
      </c>
      <c r="D276" s="39"/>
      <c r="E276" s="39"/>
      <c r="J276" s="15">
        <f t="shared" si="23"/>
        <v>0</v>
      </c>
      <c r="K276" s="2" t="str">
        <f t="shared" si="24"/>
        <v xml:space="preserve"> </v>
      </c>
      <c r="L276" s="2" t="str">
        <f t="shared" si="21"/>
        <v xml:space="preserve"> </v>
      </c>
      <c r="M276" s="2" t="str">
        <f t="shared" si="22"/>
        <v xml:space="preserve"> </v>
      </c>
    </row>
    <row r="277" spans="1:13" x14ac:dyDescent="0.25">
      <c r="A277" s="40" t="str">
        <f t="shared" si="20"/>
        <v xml:space="preserve"> </v>
      </c>
      <c r="D277" s="39"/>
      <c r="E277" s="39"/>
      <c r="J277" s="15">
        <f t="shared" si="23"/>
        <v>0</v>
      </c>
      <c r="K277" s="2" t="str">
        <f t="shared" si="24"/>
        <v xml:space="preserve"> </v>
      </c>
      <c r="L277" s="2" t="str">
        <f t="shared" si="21"/>
        <v xml:space="preserve"> </v>
      </c>
      <c r="M277" s="2" t="str">
        <f t="shared" si="22"/>
        <v xml:space="preserve"> </v>
      </c>
    </row>
    <row r="278" spans="1:13" x14ac:dyDescent="0.25">
      <c r="A278" s="40" t="str">
        <f t="shared" si="20"/>
        <v xml:space="preserve"> </v>
      </c>
      <c r="D278" s="39"/>
      <c r="E278" s="39"/>
      <c r="J278" s="15">
        <f t="shared" si="23"/>
        <v>0</v>
      </c>
      <c r="K278" s="2" t="str">
        <f t="shared" si="24"/>
        <v xml:space="preserve"> </v>
      </c>
      <c r="L278" s="2" t="str">
        <f t="shared" si="21"/>
        <v xml:space="preserve"> </v>
      </c>
      <c r="M278" s="2" t="str">
        <f t="shared" si="22"/>
        <v xml:space="preserve"> </v>
      </c>
    </row>
    <row r="279" spans="1:13" x14ac:dyDescent="0.25">
      <c r="A279" s="40" t="str">
        <f t="shared" si="20"/>
        <v xml:space="preserve"> </v>
      </c>
      <c r="D279" s="39"/>
      <c r="E279" s="39"/>
      <c r="J279" s="15">
        <f t="shared" si="23"/>
        <v>0</v>
      </c>
      <c r="K279" s="2" t="str">
        <f t="shared" si="24"/>
        <v xml:space="preserve"> </v>
      </c>
      <c r="L279" s="2" t="str">
        <f t="shared" si="21"/>
        <v xml:space="preserve"> </v>
      </c>
      <c r="M279" s="2" t="str">
        <f t="shared" si="22"/>
        <v xml:space="preserve"> </v>
      </c>
    </row>
    <row r="280" spans="1:13" x14ac:dyDescent="0.25">
      <c r="A280" s="40" t="str">
        <f t="shared" si="20"/>
        <v xml:space="preserve"> </v>
      </c>
      <c r="D280" s="39"/>
      <c r="E280" s="39"/>
      <c r="J280" s="15">
        <f t="shared" si="23"/>
        <v>0</v>
      </c>
      <c r="K280" s="2" t="str">
        <f t="shared" si="24"/>
        <v xml:space="preserve"> </v>
      </c>
      <c r="L280" s="2" t="str">
        <f t="shared" si="21"/>
        <v xml:space="preserve"> </v>
      </c>
      <c r="M280" s="2" t="str">
        <f t="shared" si="22"/>
        <v xml:space="preserve"> </v>
      </c>
    </row>
    <row r="281" spans="1:13" x14ac:dyDescent="0.25">
      <c r="A281" s="40" t="str">
        <f t="shared" si="20"/>
        <v xml:space="preserve"> </v>
      </c>
      <c r="D281" s="39"/>
      <c r="E281" s="39"/>
      <c r="J281" s="15">
        <f t="shared" si="23"/>
        <v>0</v>
      </c>
      <c r="K281" s="2" t="str">
        <f t="shared" si="24"/>
        <v xml:space="preserve"> </v>
      </c>
      <c r="L281" s="2" t="str">
        <f t="shared" si="21"/>
        <v xml:space="preserve"> </v>
      </c>
      <c r="M281" s="2" t="str">
        <f t="shared" si="22"/>
        <v xml:space="preserve"> </v>
      </c>
    </row>
    <row r="282" spans="1:13" x14ac:dyDescent="0.25">
      <c r="A282" s="40" t="str">
        <f t="shared" si="20"/>
        <v xml:space="preserve"> </v>
      </c>
      <c r="D282" s="39"/>
      <c r="E282" s="39"/>
      <c r="J282" s="15">
        <f t="shared" si="23"/>
        <v>0</v>
      </c>
      <c r="K282" s="2" t="str">
        <f t="shared" si="24"/>
        <v xml:space="preserve"> </v>
      </c>
      <c r="L282" s="2" t="str">
        <f t="shared" si="21"/>
        <v xml:space="preserve"> </v>
      </c>
      <c r="M282" s="2" t="str">
        <f t="shared" si="22"/>
        <v xml:space="preserve"> </v>
      </c>
    </row>
    <row r="283" spans="1:13" x14ac:dyDescent="0.25">
      <c r="A283" s="40" t="str">
        <f t="shared" si="20"/>
        <v xml:space="preserve"> </v>
      </c>
      <c r="D283" s="39"/>
      <c r="E283" s="39"/>
      <c r="J283" s="15">
        <f t="shared" si="23"/>
        <v>0</v>
      </c>
      <c r="K283" s="2" t="str">
        <f t="shared" si="24"/>
        <v xml:space="preserve"> </v>
      </c>
      <c r="L283" s="2" t="str">
        <f t="shared" si="21"/>
        <v xml:space="preserve"> </v>
      </c>
      <c r="M283" s="2" t="str">
        <f t="shared" si="22"/>
        <v xml:space="preserve"> </v>
      </c>
    </row>
    <row r="284" spans="1:13" x14ac:dyDescent="0.25">
      <c r="A284" s="40" t="str">
        <f t="shared" si="20"/>
        <v xml:space="preserve"> </v>
      </c>
      <c r="D284" s="39"/>
      <c r="E284" s="39"/>
      <c r="J284" s="15">
        <f t="shared" si="23"/>
        <v>0</v>
      </c>
      <c r="K284" s="2" t="str">
        <f t="shared" si="24"/>
        <v xml:space="preserve"> </v>
      </c>
      <c r="L284" s="2" t="str">
        <f t="shared" si="21"/>
        <v xml:space="preserve"> </v>
      </c>
      <c r="M284" s="2" t="str">
        <f t="shared" si="22"/>
        <v xml:space="preserve"> </v>
      </c>
    </row>
    <row r="285" spans="1:13" x14ac:dyDescent="0.25">
      <c r="A285" s="40" t="str">
        <f t="shared" si="20"/>
        <v xml:space="preserve"> </v>
      </c>
      <c r="D285" s="39"/>
      <c r="E285" s="39"/>
      <c r="J285" s="15">
        <f t="shared" si="23"/>
        <v>0</v>
      </c>
      <c r="K285" s="2" t="str">
        <f t="shared" si="24"/>
        <v xml:space="preserve"> </v>
      </c>
      <c r="L285" s="2" t="str">
        <f t="shared" si="21"/>
        <v xml:space="preserve"> </v>
      </c>
      <c r="M285" s="2" t="str">
        <f t="shared" si="22"/>
        <v xml:space="preserve"> </v>
      </c>
    </row>
    <row r="286" spans="1:13" x14ac:dyDescent="0.25">
      <c r="A286" s="40" t="str">
        <f t="shared" si="20"/>
        <v xml:space="preserve"> </v>
      </c>
      <c r="D286" s="39"/>
      <c r="E286" s="39"/>
      <c r="J286" s="15">
        <f t="shared" si="23"/>
        <v>0</v>
      </c>
      <c r="K286" s="2" t="str">
        <f t="shared" si="24"/>
        <v xml:space="preserve"> </v>
      </c>
      <c r="L286" s="2" t="str">
        <f t="shared" si="21"/>
        <v xml:space="preserve"> </v>
      </c>
      <c r="M286" s="2" t="str">
        <f t="shared" si="22"/>
        <v xml:space="preserve"> </v>
      </c>
    </row>
    <row r="287" spans="1:13" x14ac:dyDescent="0.25">
      <c r="A287" s="40" t="str">
        <f t="shared" si="20"/>
        <v xml:space="preserve"> </v>
      </c>
      <c r="D287" s="39"/>
      <c r="E287" s="39"/>
      <c r="J287" s="15">
        <f t="shared" si="23"/>
        <v>0</v>
      </c>
      <c r="K287" s="2" t="str">
        <f t="shared" si="24"/>
        <v xml:space="preserve"> </v>
      </c>
      <c r="L287" s="2" t="str">
        <f t="shared" si="21"/>
        <v xml:space="preserve"> </v>
      </c>
      <c r="M287" s="2" t="str">
        <f t="shared" si="22"/>
        <v xml:space="preserve"> </v>
      </c>
    </row>
    <row r="288" spans="1:13" x14ac:dyDescent="0.25">
      <c r="A288" s="40" t="str">
        <f t="shared" si="20"/>
        <v xml:space="preserve"> </v>
      </c>
      <c r="D288" s="39"/>
      <c r="E288" s="39"/>
      <c r="J288" s="15">
        <f t="shared" si="23"/>
        <v>0</v>
      </c>
      <c r="K288" s="2" t="str">
        <f t="shared" si="24"/>
        <v xml:space="preserve"> </v>
      </c>
      <c r="L288" s="2" t="str">
        <f t="shared" si="21"/>
        <v xml:space="preserve"> </v>
      </c>
      <c r="M288" s="2" t="str">
        <f t="shared" si="22"/>
        <v xml:space="preserve"> </v>
      </c>
    </row>
    <row r="289" spans="1:13" x14ac:dyDescent="0.25">
      <c r="A289" s="40" t="str">
        <f t="shared" si="20"/>
        <v xml:space="preserve"> </v>
      </c>
      <c r="D289" s="39"/>
      <c r="E289" s="39"/>
      <c r="J289" s="15">
        <f t="shared" si="23"/>
        <v>0</v>
      </c>
      <c r="K289" s="2" t="str">
        <f t="shared" si="24"/>
        <v xml:space="preserve"> </v>
      </c>
      <c r="L289" s="2" t="str">
        <f t="shared" si="21"/>
        <v xml:space="preserve"> </v>
      </c>
      <c r="M289" s="2" t="str">
        <f t="shared" si="22"/>
        <v xml:space="preserve"> </v>
      </c>
    </row>
    <row r="290" spans="1:13" x14ac:dyDescent="0.25">
      <c r="A290" s="40" t="str">
        <f t="shared" si="20"/>
        <v xml:space="preserve"> </v>
      </c>
      <c r="D290" s="39"/>
      <c r="E290" s="39"/>
      <c r="J290" s="15">
        <f t="shared" si="23"/>
        <v>0</v>
      </c>
      <c r="K290" s="2" t="str">
        <f t="shared" si="24"/>
        <v xml:space="preserve"> </v>
      </c>
      <c r="L290" s="2" t="str">
        <f t="shared" si="21"/>
        <v xml:space="preserve"> </v>
      </c>
      <c r="M290" s="2" t="str">
        <f t="shared" si="22"/>
        <v xml:space="preserve"> </v>
      </c>
    </row>
    <row r="291" spans="1:13" x14ac:dyDescent="0.25">
      <c r="A291" s="40" t="str">
        <f t="shared" si="20"/>
        <v xml:space="preserve"> </v>
      </c>
      <c r="D291" s="39"/>
      <c r="E291" s="39"/>
      <c r="J291" s="15">
        <f t="shared" si="23"/>
        <v>0</v>
      </c>
      <c r="K291" s="2" t="str">
        <f t="shared" si="24"/>
        <v xml:space="preserve"> </v>
      </c>
      <c r="L291" s="2" t="str">
        <f t="shared" si="21"/>
        <v xml:space="preserve"> </v>
      </c>
      <c r="M291" s="2" t="str">
        <f t="shared" si="22"/>
        <v xml:space="preserve"> </v>
      </c>
    </row>
    <row r="292" spans="1:13" x14ac:dyDescent="0.25">
      <c r="A292" s="40" t="str">
        <f t="shared" si="20"/>
        <v xml:space="preserve"> </v>
      </c>
      <c r="D292" s="39"/>
      <c r="E292" s="39"/>
      <c r="J292" s="15">
        <f t="shared" si="23"/>
        <v>0</v>
      </c>
      <c r="K292" s="2" t="str">
        <f t="shared" si="24"/>
        <v xml:space="preserve"> </v>
      </c>
      <c r="L292" s="2" t="str">
        <f t="shared" si="21"/>
        <v xml:space="preserve"> </v>
      </c>
      <c r="M292" s="2" t="str">
        <f t="shared" si="22"/>
        <v xml:space="preserve"> </v>
      </c>
    </row>
    <row r="293" spans="1:13" x14ac:dyDescent="0.25">
      <c r="A293" s="40" t="str">
        <f t="shared" si="20"/>
        <v xml:space="preserve"> </v>
      </c>
      <c r="D293" s="39"/>
      <c r="E293" s="39"/>
      <c r="J293" s="15">
        <f t="shared" si="23"/>
        <v>0</v>
      </c>
      <c r="K293" s="2" t="str">
        <f t="shared" si="24"/>
        <v xml:space="preserve"> </v>
      </c>
      <c r="L293" s="2" t="str">
        <f t="shared" si="21"/>
        <v xml:space="preserve"> </v>
      </c>
      <c r="M293" s="2" t="str">
        <f t="shared" si="22"/>
        <v xml:space="preserve"> </v>
      </c>
    </row>
    <row r="294" spans="1:13" x14ac:dyDescent="0.25">
      <c r="A294" s="40" t="str">
        <f t="shared" si="20"/>
        <v xml:space="preserve"> </v>
      </c>
      <c r="D294" s="39"/>
      <c r="E294" s="39"/>
      <c r="J294" s="15">
        <f t="shared" si="23"/>
        <v>0</v>
      </c>
      <c r="K294" s="2" t="str">
        <f t="shared" si="24"/>
        <v xml:space="preserve"> </v>
      </c>
      <c r="L294" s="2" t="str">
        <f t="shared" si="21"/>
        <v xml:space="preserve"> </v>
      </c>
      <c r="M294" s="2" t="str">
        <f t="shared" si="22"/>
        <v xml:space="preserve"> </v>
      </c>
    </row>
    <row r="295" spans="1:13" x14ac:dyDescent="0.25">
      <c r="A295" s="40" t="str">
        <f t="shared" si="20"/>
        <v xml:space="preserve"> </v>
      </c>
      <c r="D295" s="39"/>
      <c r="E295" s="39"/>
      <c r="J295" s="15">
        <f t="shared" si="23"/>
        <v>0</v>
      </c>
      <c r="K295" s="2" t="str">
        <f t="shared" si="24"/>
        <v xml:space="preserve"> </v>
      </c>
      <c r="L295" s="2" t="str">
        <f t="shared" si="21"/>
        <v xml:space="preserve"> </v>
      </c>
      <c r="M295" s="2" t="str">
        <f t="shared" si="22"/>
        <v xml:space="preserve"> </v>
      </c>
    </row>
    <row r="296" spans="1:13" x14ac:dyDescent="0.25">
      <c r="A296" s="40" t="str">
        <f t="shared" si="20"/>
        <v xml:space="preserve"> </v>
      </c>
      <c r="D296" s="39"/>
      <c r="E296" s="39"/>
      <c r="J296" s="15">
        <f t="shared" si="23"/>
        <v>0</v>
      </c>
      <c r="K296" s="2" t="str">
        <f t="shared" si="24"/>
        <v xml:space="preserve"> </v>
      </c>
      <c r="L296" s="2" t="str">
        <f t="shared" si="21"/>
        <v xml:space="preserve"> </v>
      </c>
      <c r="M296" s="2" t="str">
        <f t="shared" si="22"/>
        <v xml:space="preserve"> </v>
      </c>
    </row>
    <row r="297" spans="1:13" x14ac:dyDescent="0.25">
      <c r="A297" s="40" t="str">
        <f t="shared" si="20"/>
        <v xml:space="preserve"> </v>
      </c>
      <c r="D297" s="39"/>
      <c r="E297" s="39"/>
      <c r="J297" s="15">
        <f t="shared" si="23"/>
        <v>0</v>
      </c>
      <c r="K297" s="2" t="str">
        <f t="shared" si="24"/>
        <v xml:space="preserve"> </v>
      </c>
      <c r="L297" s="2" t="str">
        <f t="shared" si="21"/>
        <v xml:space="preserve"> </v>
      </c>
      <c r="M297" s="2" t="str">
        <f t="shared" si="22"/>
        <v xml:space="preserve"> </v>
      </c>
    </row>
    <row r="298" spans="1:13" x14ac:dyDescent="0.25">
      <c r="A298" s="40" t="str">
        <f t="shared" si="20"/>
        <v xml:space="preserve"> </v>
      </c>
      <c r="D298" s="39"/>
      <c r="E298" s="39"/>
      <c r="J298" s="15">
        <f t="shared" si="23"/>
        <v>0</v>
      </c>
      <c r="K298" s="2" t="str">
        <f t="shared" si="24"/>
        <v xml:space="preserve"> </v>
      </c>
      <c r="L298" s="2" t="str">
        <f t="shared" si="21"/>
        <v xml:space="preserve"> </v>
      </c>
      <c r="M298" s="2" t="str">
        <f t="shared" si="22"/>
        <v xml:space="preserve"> </v>
      </c>
    </row>
    <row r="299" spans="1:13" x14ac:dyDescent="0.25">
      <c r="A299" s="40" t="str">
        <f t="shared" si="20"/>
        <v xml:space="preserve"> </v>
      </c>
      <c r="D299" s="39"/>
      <c r="E299" s="39"/>
      <c r="J299" s="15">
        <f t="shared" si="23"/>
        <v>0</v>
      </c>
      <c r="K299" s="2" t="str">
        <f t="shared" si="24"/>
        <v xml:space="preserve"> </v>
      </c>
      <c r="L299" s="2" t="str">
        <f t="shared" si="21"/>
        <v xml:space="preserve"> </v>
      </c>
      <c r="M299" s="2" t="str">
        <f t="shared" si="22"/>
        <v xml:space="preserve"> </v>
      </c>
    </row>
    <row r="300" spans="1:13" x14ac:dyDescent="0.25">
      <c r="A300" s="40" t="str">
        <f t="shared" si="20"/>
        <v xml:space="preserve"> </v>
      </c>
      <c r="D300" s="39"/>
      <c r="E300" s="39"/>
      <c r="J300" s="15">
        <f t="shared" si="23"/>
        <v>0</v>
      </c>
      <c r="K300" s="2" t="str">
        <f t="shared" si="24"/>
        <v xml:space="preserve"> </v>
      </c>
      <c r="L300" s="2" t="str">
        <f t="shared" si="21"/>
        <v xml:space="preserve"> </v>
      </c>
      <c r="M300" s="2" t="str">
        <f t="shared" si="22"/>
        <v xml:space="preserve"> </v>
      </c>
    </row>
    <row r="301" spans="1:13" x14ac:dyDescent="0.25">
      <c r="A301" s="40" t="str">
        <f t="shared" si="20"/>
        <v xml:space="preserve"> </v>
      </c>
      <c r="D301" s="39"/>
      <c r="E301" s="39"/>
      <c r="J301" s="15">
        <f t="shared" si="23"/>
        <v>0</v>
      </c>
      <c r="K301" s="2" t="str">
        <f t="shared" si="24"/>
        <v xml:space="preserve"> </v>
      </c>
      <c r="L301" s="2" t="str">
        <f t="shared" si="21"/>
        <v xml:space="preserve"> </v>
      </c>
      <c r="M301" s="2" t="str">
        <f t="shared" si="22"/>
        <v xml:space="preserve"> </v>
      </c>
    </row>
    <row r="302" spans="1:13" x14ac:dyDescent="0.25">
      <c r="A302" s="40" t="str">
        <f t="shared" si="20"/>
        <v xml:space="preserve"> </v>
      </c>
      <c r="D302" s="39"/>
      <c r="E302" s="39"/>
      <c r="J302" s="15">
        <f t="shared" si="23"/>
        <v>0</v>
      </c>
      <c r="K302" s="2" t="str">
        <f t="shared" si="24"/>
        <v xml:space="preserve"> </v>
      </c>
      <c r="L302" s="2" t="str">
        <f t="shared" si="21"/>
        <v xml:space="preserve"> </v>
      </c>
      <c r="M302" s="2" t="str">
        <f t="shared" si="22"/>
        <v xml:space="preserve"> </v>
      </c>
    </row>
    <row r="303" spans="1:13" x14ac:dyDescent="0.25">
      <c r="A303" s="40" t="str">
        <f t="shared" si="20"/>
        <v xml:space="preserve"> </v>
      </c>
      <c r="D303" s="39"/>
      <c r="E303" s="39"/>
      <c r="J303" s="15">
        <f t="shared" si="23"/>
        <v>0</v>
      </c>
      <c r="K303" s="2" t="str">
        <f t="shared" si="24"/>
        <v xml:space="preserve"> </v>
      </c>
      <c r="L303" s="2" t="str">
        <f t="shared" si="21"/>
        <v xml:space="preserve"> </v>
      </c>
      <c r="M303" s="2" t="str">
        <f t="shared" si="22"/>
        <v xml:space="preserve"> </v>
      </c>
    </row>
    <row r="304" spans="1:13" x14ac:dyDescent="0.25">
      <c r="A304" s="40" t="str">
        <f t="shared" si="20"/>
        <v xml:space="preserve"> </v>
      </c>
      <c r="D304" s="39"/>
      <c r="E304" s="39"/>
      <c r="J304" s="15">
        <f t="shared" si="23"/>
        <v>0</v>
      </c>
      <c r="K304" s="2" t="str">
        <f t="shared" si="24"/>
        <v xml:space="preserve"> </v>
      </c>
      <c r="L304" s="2" t="str">
        <f t="shared" si="21"/>
        <v xml:space="preserve"> </v>
      </c>
      <c r="M304" s="2" t="str">
        <f t="shared" si="22"/>
        <v xml:space="preserve"> </v>
      </c>
    </row>
    <row r="305" spans="1:13" x14ac:dyDescent="0.25">
      <c r="A305" s="40" t="str">
        <f t="shared" si="20"/>
        <v xml:space="preserve"> </v>
      </c>
      <c r="D305" s="39"/>
      <c r="E305" s="39"/>
      <c r="J305" s="15">
        <f t="shared" si="23"/>
        <v>0</v>
      </c>
      <c r="K305" s="2" t="str">
        <f t="shared" si="24"/>
        <v xml:space="preserve"> </v>
      </c>
      <c r="L305" s="2" t="str">
        <f t="shared" si="21"/>
        <v xml:space="preserve"> </v>
      </c>
      <c r="M305" s="2" t="str">
        <f t="shared" si="22"/>
        <v xml:space="preserve"> </v>
      </c>
    </row>
    <row r="306" spans="1:13" x14ac:dyDescent="0.25">
      <c r="A306" s="40" t="str">
        <f t="shared" si="20"/>
        <v xml:space="preserve"> </v>
      </c>
      <c r="D306" s="39"/>
      <c r="E306" s="39"/>
      <c r="J306" s="15">
        <f t="shared" si="23"/>
        <v>0</v>
      </c>
      <c r="K306" s="2" t="str">
        <f t="shared" si="24"/>
        <v xml:space="preserve"> </v>
      </c>
      <c r="L306" s="2" t="str">
        <f t="shared" si="21"/>
        <v xml:space="preserve"> </v>
      </c>
      <c r="M306" s="2" t="str">
        <f t="shared" si="22"/>
        <v xml:space="preserve"> </v>
      </c>
    </row>
    <row r="307" spans="1:13" x14ac:dyDescent="0.25">
      <c r="A307" s="40" t="str">
        <f t="shared" si="20"/>
        <v xml:space="preserve"> </v>
      </c>
      <c r="D307" s="39"/>
      <c r="E307" s="39"/>
      <c r="J307" s="15">
        <f t="shared" si="23"/>
        <v>0</v>
      </c>
      <c r="K307" s="2" t="str">
        <f t="shared" si="24"/>
        <v xml:space="preserve"> </v>
      </c>
      <c r="L307" s="2" t="str">
        <f t="shared" si="21"/>
        <v xml:space="preserve"> </v>
      </c>
      <c r="M307" s="2" t="str">
        <f t="shared" si="22"/>
        <v xml:space="preserve"> </v>
      </c>
    </row>
    <row r="308" spans="1:13" x14ac:dyDescent="0.25">
      <c r="A308" s="40" t="str">
        <f t="shared" si="20"/>
        <v xml:space="preserve"> </v>
      </c>
      <c r="D308" s="39"/>
      <c r="E308" s="39"/>
      <c r="J308" s="15">
        <f t="shared" si="23"/>
        <v>0</v>
      </c>
      <c r="K308" s="2" t="str">
        <f t="shared" si="24"/>
        <v xml:space="preserve"> </v>
      </c>
      <c r="L308" s="2" t="str">
        <f t="shared" si="21"/>
        <v xml:space="preserve"> </v>
      </c>
      <c r="M308" s="2" t="str">
        <f t="shared" si="22"/>
        <v xml:space="preserve"> </v>
      </c>
    </row>
    <row r="309" spans="1:13" x14ac:dyDescent="0.25">
      <c r="A309" s="40" t="str">
        <f t="shared" si="20"/>
        <v xml:space="preserve"> </v>
      </c>
      <c r="D309" s="39"/>
      <c r="E309" s="39"/>
      <c r="J309" s="15">
        <f t="shared" si="23"/>
        <v>0</v>
      </c>
      <c r="K309" s="2" t="str">
        <f t="shared" si="24"/>
        <v xml:space="preserve"> </v>
      </c>
      <c r="L309" s="2" t="str">
        <f t="shared" si="21"/>
        <v xml:space="preserve"> </v>
      </c>
      <c r="M309" s="2" t="str">
        <f t="shared" si="22"/>
        <v xml:space="preserve"> </v>
      </c>
    </row>
    <row r="310" spans="1:13" x14ac:dyDescent="0.25">
      <c r="A310" s="40" t="str">
        <f t="shared" si="20"/>
        <v xml:space="preserve"> </v>
      </c>
      <c r="D310" s="39"/>
      <c r="E310" s="39"/>
      <c r="J310" s="15">
        <f t="shared" si="23"/>
        <v>0</v>
      </c>
      <c r="K310" s="2" t="str">
        <f t="shared" si="24"/>
        <v xml:space="preserve"> </v>
      </c>
      <c r="L310" s="2" t="str">
        <f t="shared" si="21"/>
        <v xml:space="preserve"> </v>
      </c>
      <c r="M310" s="2" t="str">
        <f t="shared" si="22"/>
        <v xml:space="preserve"> </v>
      </c>
    </row>
    <row r="311" spans="1:13" x14ac:dyDescent="0.25">
      <c r="A311" s="40" t="str">
        <f t="shared" si="20"/>
        <v xml:space="preserve"> </v>
      </c>
      <c r="D311" s="39"/>
      <c r="E311" s="39"/>
      <c r="J311" s="15">
        <f t="shared" si="23"/>
        <v>0</v>
      </c>
      <c r="K311" s="2" t="str">
        <f t="shared" si="24"/>
        <v xml:space="preserve"> </v>
      </c>
      <c r="L311" s="2" t="str">
        <f t="shared" si="21"/>
        <v xml:space="preserve"> </v>
      </c>
      <c r="M311" s="2" t="str">
        <f t="shared" si="22"/>
        <v xml:space="preserve"> </v>
      </c>
    </row>
    <row r="312" spans="1:13" x14ac:dyDescent="0.25">
      <c r="A312" s="40" t="str">
        <f t="shared" si="20"/>
        <v xml:space="preserve"> </v>
      </c>
      <c r="D312" s="39"/>
      <c r="E312" s="39"/>
      <c r="J312" s="15">
        <f t="shared" si="23"/>
        <v>0</v>
      </c>
      <c r="K312" s="2" t="str">
        <f t="shared" si="24"/>
        <v xml:space="preserve"> </v>
      </c>
      <c r="L312" s="2" t="str">
        <f t="shared" si="21"/>
        <v xml:space="preserve"> </v>
      </c>
      <c r="M312" s="2" t="str">
        <f t="shared" si="22"/>
        <v xml:space="preserve"> </v>
      </c>
    </row>
    <row r="313" spans="1:13" x14ac:dyDescent="0.25">
      <c r="A313" s="40" t="str">
        <f t="shared" si="20"/>
        <v xml:space="preserve"> </v>
      </c>
      <c r="D313" s="39"/>
      <c r="E313" s="39"/>
      <c r="J313" s="15">
        <f t="shared" si="23"/>
        <v>0</v>
      </c>
      <c r="K313" s="2" t="str">
        <f t="shared" si="24"/>
        <v xml:space="preserve"> </v>
      </c>
      <c r="L313" s="2" t="str">
        <f t="shared" si="21"/>
        <v xml:space="preserve"> </v>
      </c>
      <c r="M313" s="2" t="str">
        <f t="shared" si="22"/>
        <v xml:space="preserve"> </v>
      </c>
    </row>
    <row r="314" spans="1:13" x14ac:dyDescent="0.25">
      <c r="A314" s="40" t="str">
        <f t="shared" si="20"/>
        <v xml:space="preserve"> </v>
      </c>
      <c r="D314" s="39"/>
      <c r="E314" s="39"/>
      <c r="J314" s="15">
        <f t="shared" si="23"/>
        <v>0</v>
      </c>
      <c r="K314" s="2" t="str">
        <f t="shared" si="24"/>
        <v xml:space="preserve"> </v>
      </c>
      <c r="L314" s="2" t="str">
        <f t="shared" si="21"/>
        <v xml:space="preserve"> </v>
      </c>
      <c r="M314" s="2" t="str">
        <f t="shared" si="22"/>
        <v xml:space="preserve"> </v>
      </c>
    </row>
    <row r="315" spans="1:13" x14ac:dyDescent="0.25">
      <c r="A315" s="40" t="str">
        <f t="shared" si="20"/>
        <v xml:space="preserve"> </v>
      </c>
      <c r="D315" s="39"/>
      <c r="E315" s="39"/>
      <c r="J315" s="15">
        <f t="shared" si="23"/>
        <v>0</v>
      </c>
      <c r="K315" s="2" t="str">
        <f t="shared" si="24"/>
        <v xml:space="preserve"> </v>
      </c>
      <c r="L315" s="2" t="str">
        <f t="shared" si="21"/>
        <v xml:space="preserve"> </v>
      </c>
      <c r="M315" s="2" t="str">
        <f t="shared" si="22"/>
        <v xml:space="preserve"> </v>
      </c>
    </row>
    <row r="316" spans="1:13" x14ac:dyDescent="0.25">
      <c r="A316" s="40" t="str">
        <f t="shared" si="20"/>
        <v xml:space="preserve"> </v>
      </c>
      <c r="D316" s="39"/>
      <c r="E316" s="39"/>
      <c r="J316" s="15">
        <f t="shared" si="23"/>
        <v>0</v>
      </c>
      <c r="K316" s="2" t="str">
        <f t="shared" si="24"/>
        <v xml:space="preserve"> </v>
      </c>
      <c r="L316" s="2" t="str">
        <f t="shared" si="21"/>
        <v xml:space="preserve"> </v>
      </c>
      <c r="M316" s="2" t="str">
        <f t="shared" si="22"/>
        <v xml:space="preserve"> </v>
      </c>
    </row>
    <row r="317" spans="1:13" x14ac:dyDescent="0.25">
      <c r="A317" s="40" t="str">
        <f t="shared" si="20"/>
        <v xml:space="preserve"> </v>
      </c>
      <c r="D317" s="39"/>
      <c r="E317" s="39"/>
      <c r="J317" s="15">
        <f t="shared" si="23"/>
        <v>0</v>
      </c>
      <c r="K317" s="2" t="str">
        <f t="shared" si="24"/>
        <v xml:space="preserve"> </v>
      </c>
      <c r="L317" s="2" t="str">
        <f t="shared" si="21"/>
        <v xml:space="preserve"> </v>
      </c>
      <c r="M317" s="2" t="str">
        <f t="shared" si="22"/>
        <v xml:space="preserve"> </v>
      </c>
    </row>
    <row r="318" spans="1:13" x14ac:dyDescent="0.25">
      <c r="A318" s="40" t="str">
        <f t="shared" si="20"/>
        <v xml:space="preserve"> </v>
      </c>
      <c r="D318" s="39"/>
      <c r="E318" s="39"/>
      <c r="J318" s="15">
        <f t="shared" si="23"/>
        <v>0</v>
      </c>
      <c r="K318" s="2" t="str">
        <f t="shared" si="24"/>
        <v xml:space="preserve"> </v>
      </c>
      <c r="L318" s="2" t="str">
        <f t="shared" si="21"/>
        <v xml:space="preserve"> </v>
      </c>
      <c r="M318" s="2" t="str">
        <f t="shared" si="22"/>
        <v xml:space="preserve"> </v>
      </c>
    </row>
    <row r="319" spans="1:13" x14ac:dyDescent="0.25">
      <c r="A319" s="40" t="str">
        <f t="shared" si="20"/>
        <v xml:space="preserve"> </v>
      </c>
      <c r="D319" s="39"/>
      <c r="E319" s="39"/>
      <c r="J319" s="15">
        <f t="shared" si="23"/>
        <v>0</v>
      </c>
      <c r="K319" s="2" t="str">
        <f t="shared" si="24"/>
        <v xml:space="preserve"> </v>
      </c>
      <c r="L319" s="2" t="str">
        <f t="shared" si="21"/>
        <v xml:space="preserve"> </v>
      </c>
      <c r="M319" s="2" t="str">
        <f t="shared" si="22"/>
        <v xml:space="preserve"> </v>
      </c>
    </row>
    <row r="320" spans="1:13" x14ac:dyDescent="0.25">
      <c r="A320" s="40" t="str">
        <f t="shared" si="20"/>
        <v xml:space="preserve"> </v>
      </c>
      <c r="D320" s="39"/>
      <c r="E320" s="39"/>
      <c r="J320" s="15">
        <f t="shared" si="23"/>
        <v>0</v>
      </c>
      <c r="K320" s="2" t="str">
        <f t="shared" si="24"/>
        <v xml:space="preserve"> </v>
      </c>
      <c r="L320" s="2" t="str">
        <f t="shared" si="21"/>
        <v xml:space="preserve"> </v>
      </c>
      <c r="M320" s="2" t="str">
        <f t="shared" si="22"/>
        <v xml:space="preserve"> </v>
      </c>
    </row>
    <row r="321" spans="1:13" x14ac:dyDescent="0.25">
      <c r="A321" s="40" t="str">
        <f t="shared" si="20"/>
        <v xml:space="preserve"> </v>
      </c>
      <c r="D321" s="39"/>
      <c r="E321" s="39"/>
      <c r="J321" s="15">
        <f t="shared" si="23"/>
        <v>0</v>
      </c>
      <c r="K321" s="2" t="str">
        <f t="shared" si="24"/>
        <v xml:space="preserve"> </v>
      </c>
      <c r="L321" s="2" t="str">
        <f t="shared" si="21"/>
        <v xml:space="preserve"> </v>
      </c>
      <c r="M321" s="2" t="str">
        <f t="shared" si="22"/>
        <v xml:space="preserve"> </v>
      </c>
    </row>
    <row r="322" spans="1:13" x14ac:dyDescent="0.25">
      <c r="A322" s="40" t="str">
        <f t="shared" si="20"/>
        <v xml:space="preserve"> </v>
      </c>
      <c r="D322" s="39"/>
      <c r="E322" s="39"/>
      <c r="J322" s="15">
        <f t="shared" si="23"/>
        <v>0</v>
      </c>
      <c r="K322" s="2" t="str">
        <f t="shared" si="24"/>
        <v xml:space="preserve"> </v>
      </c>
      <c r="L322" s="2" t="str">
        <f t="shared" si="21"/>
        <v xml:space="preserve"> </v>
      </c>
      <c r="M322" s="2" t="str">
        <f t="shared" si="22"/>
        <v xml:space="preserve"> </v>
      </c>
    </row>
    <row r="323" spans="1:13" x14ac:dyDescent="0.25">
      <c r="A323" s="40" t="str">
        <f t="shared" si="20"/>
        <v xml:space="preserve"> </v>
      </c>
      <c r="D323" s="39"/>
      <c r="E323" s="39"/>
      <c r="J323" s="15">
        <f t="shared" si="23"/>
        <v>0</v>
      </c>
      <c r="K323" s="2" t="str">
        <f t="shared" si="24"/>
        <v xml:space="preserve"> </v>
      </c>
      <c r="L323" s="2" t="str">
        <f t="shared" si="21"/>
        <v xml:space="preserve"> </v>
      </c>
      <c r="M323" s="2" t="str">
        <f t="shared" si="22"/>
        <v xml:space="preserve"> </v>
      </c>
    </row>
    <row r="324" spans="1:13" x14ac:dyDescent="0.25">
      <c r="A324" s="40" t="str">
        <f t="shared" si="20"/>
        <v xml:space="preserve"> </v>
      </c>
      <c r="D324" s="39"/>
      <c r="E324" s="39"/>
      <c r="J324" s="15">
        <f t="shared" si="23"/>
        <v>0</v>
      </c>
      <c r="K324" s="2" t="str">
        <f t="shared" si="24"/>
        <v xml:space="preserve"> </v>
      </c>
      <c r="L324" s="2" t="str">
        <f t="shared" si="21"/>
        <v xml:space="preserve"> </v>
      </c>
      <c r="M324" s="2" t="str">
        <f t="shared" si="22"/>
        <v xml:space="preserve"> </v>
      </c>
    </row>
    <row r="325" spans="1:13" x14ac:dyDescent="0.25">
      <c r="A325" s="40" t="str">
        <f t="shared" si="20"/>
        <v xml:space="preserve"> </v>
      </c>
      <c r="D325" s="39"/>
      <c r="E325" s="39"/>
      <c r="J325" s="15">
        <f t="shared" si="23"/>
        <v>0</v>
      </c>
      <c r="K325" s="2" t="str">
        <f t="shared" si="24"/>
        <v xml:space="preserve"> </v>
      </c>
      <c r="L325" s="2" t="str">
        <f t="shared" si="21"/>
        <v xml:space="preserve"> </v>
      </c>
      <c r="M325" s="2" t="str">
        <f t="shared" si="22"/>
        <v xml:space="preserve"> </v>
      </c>
    </row>
    <row r="326" spans="1:13" x14ac:dyDescent="0.25">
      <c r="A326" s="40" t="str">
        <f t="shared" si="20"/>
        <v xml:space="preserve"> </v>
      </c>
      <c r="D326" s="39"/>
      <c r="E326" s="39"/>
      <c r="J326" s="15">
        <f t="shared" si="23"/>
        <v>0</v>
      </c>
      <c r="K326" s="2" t="str">
        <f t="shared" si="24"/>
        <v xml:space="preserve"> </v>
      </c>
      <c r="L326" s="2" t="str">
        <f t="shared" si="21"/>
        <v xml:space="preserve"> </v>
      </c>
      <c r="M326" s="2" t="str">
        <f t="shared" si="22"/>
        <v xml:space="preserve"> </v>
      </c>
    </row>
    <row r="327" spans="1:13" x14ac:dyDescent="0.25">
      <c r="A327" s="40" t="str">
        <f t="shared" si="20"/>
        <v xml:space="preserve"> </v>
      </c>
      <c r="D327" s="39"/>
      <c r="E327" s="39"/>
      <c r="J327" s="15">
        <f t="shared" si="23"/>
        <v>0</v>
      </c>
      <c r="K327" s="2" t="str">
        <f t="shared" si="24"/>
        <v xml:space="preserve"> </v>
      </c>
      <c r="L327" s="2" t="str">
        <f t="shared" si="21"/>
        <v xml:space="preserve"> </v>
      </c>
      <c r="M327" s="2" t="str">
        <f t="shared" si="22"/>
        <v xml:space="preserve"> </v>
      </c>
    </row>
    <row r="328" spans="1:13" x14ac:dyDescent="0.25">
      <c r="A328" s="40" t="str">
        <f t="shared" si="20"/>
        <v xml:space="preserve"> </v>
      </c>
      <c r="D328" s="39"/>
      <c r="E328" s="39"/>
      <c r="J328" s="15">
        <f t="shared" si="23"/>
        <v>0</v>
      </c>
      <c r="K328" s="2" t="str">
        <f t="shared" si="24"/>
        <v xml:space="preserve"> </v>
      </c>
      <c r="L328" s="2" t="str">
        <f t="shared" si="21"/>
        <v xml:space="preserve"> </v>
      </c>
      <c r="M328" s="2" t="str">
        <f t="shared" si="22"/>
        <v xml:space="preserve"> </v>
      </c>
    </row>
    <row r="329" spans="1:13" x14ac:dyDescent="0.25">
      <c r="A329" s="40" t="str">
        <f t="shared" si="20"/>
        <v xml:space="preserve"> </v>
      </c>
      <c r="D329" s="39"/>
      <c r="E329" s="39"/>
      <c r="J329" s="15">
        <f t="shared" si="23"/>
        <v>0</v>
      </c>
      <c r="K329" s="2" t="str">
        <f t="shared" si="24"/>
        <v xml:space="preserve"> </v>
      </c>
      <c r="L329" s="2" t="str">
        <f t="shared" si="21"/>
        <v xml:space="preserve"> </v>
      </c>
      <c r="M329" s="2" t="str">
        <f t="shared" si="22"/>
        <v xml:space="preserve"> </v>
      </c>
    </row>
    <row r="330" spans="1:13" x14ac:dyDescent="0.25">
      <c r="A330" s="40" t="str">
        <f t="shared" si="20"/>
        <v xml:space="preserve"> </v>
      </c>
      <c r="D330" s="39"/>
      <c r="E330" s="39"/>
      <c r="J330" s="15">
        <f t="shared" si="23"/>
        <v>0</v>
      </c>
      <c r="K330" s="2" t="str">
        <f t="shared" si="24"/>
        <v xml:space="preserve"> </v>
      </c>
      <c r="L330" s="2" t="str">
        <f t="shared" si="21"/>
        <v xml:space="preserve"> </v>
      </c>
      <c r="M330" s="2" t="str">
        <f t="shared" si="22"/>
        <v xml:space="preserve"> </v>
      </c>
    </row>
    <row r="331" spans="1:13" x14ac:dyDescent="0.25">
      <c r="A331" s="40" t="str">
        <f t="shared" si="20"/>
        <v xml:space="preserve"> </v>
      </c>
      <c r="D331" s="39"/>
      <c r="E331" s="39"/>
      <c r="J331" s="15">
        <f t="shared" si="23"/>
        <v>0</v>
      </c>
      <c r="K331" s="2" t="str">
        <f t="shared" si="24"/>
        <v xml:space="preserve"> </v>
      </c>
      <c r="L331" s="2" t="str">
        <f t="shared" si="21"/>
        <v xml:space="preserve"> </v>
      </c>
      <c r="M331" s="2" t="str">
        <f t="shared" si="22"/>
        <v xml:space="preserve"> </v>
      </c>
    </row>
    <row r="332" spans="1:13" x14ac:dyDescent="0.25">
      <c r="A332" s="40" t="str">
        <f t="shared" si="20"/>
        <v xml:space="preserve"> </v>
      </c>
      <c r="D332" s="39"/>
      <c r="E332" s="39"/>
      <c r="J332" s="15">
        <f t="shared" si="23"/>
        <v>0</v>
      </c>
      <c r="K332" s="2" t="str">
        <f t="shared" si="24"/>
        <v xml:space="preserve"> </v>
      </c>
      <c r="L332" s="2" t="str">
        <f t="shared" si="21"/>
        <v xml:space="preserve"> </v>
      </c>
      <c r="M332" s="2" t="str">
        <f t="shared" si="22"/>
        <v xml:space="preserve"> </v>
      </c>
    </row>
    <row r="333" spans="1:13" x14ac:dyDescent="0.25">
      <c r="A333" s="40" t="str">
        <f t="shared" si="20"/>
        <v xml:space="preserve"> </v>
      </c>
      <c r="D333" s="39"/>
      <c r="E333" s="39"/>
      <c r="J333" s="15">
        <f t="shared" si="23"/>
        <v>0</v>
      </c>
      <c r="K333" s="2" t="str">
        <f t="shared" si="24"/>
        <v xml:space="preserve"> </v>
      </c>
      <c r="L333" s="2" t="str">
        <f t="shared" si="21"/>
        <v xml:space="preserve"> </v>
      </c>
      <c r="M333" s="2" t="str">
        <f t="shared" si="22"/>
        <v xml:space="preserve"> </v>
      </c>
    </row>
    <row r="334" spans="1:13" x14ac:dyDescent="0.25">
      <c r="A334" s="40" t="str">
        <f t="shared" si="20"/>
        <v xml:space="preserve"> </v>
      </c>
      <c r="D334" s="39"/>
      <c r="E334" s="39"/>
      <c r="J334" s="15">
        <f t="shared" si="23"/>
        <v>0</v>
      </c>
      <c r="K334" s="2" t="str">
        <f t="shared" si="24"/>
        <v xml:space="preserve"> </v>
      </c>
      <c r="L334" s="2" t="str">
        <f t="shared" si="21"/>
        <v xml:space="preserve"> </v>
      </c>
      <c r="M334" s="2" t="str">
        <f t="shared" si="22"/>
        <v xml:space="preserve"> </v>
      </c>
    </row>
    <row r="335" spans="1:13" x14ac:dyDescent="0.25">
      <c r="A335" s="40" t="str">
        <f t="shared" ref="A335:A398" si="25">IF(COUNTIF(K335:M335,"ERROR")&gt;0,"ERROR"," ")</f>
        <v xml:space="preserve"> </v>
      </c>
      <c r="D335" s="39"/>
      <c r="E335" s="39"/>
      <c r="J335" s="15">
        <f t="shared" si="23"/>
        <v>0</v>
      </c>
      <c r="K335" s="2" t="str">
        <f t="shared" si="24"/>
        <v xml:space="preserve"> </v>
      </c>
      <c r="L335" s="2" t="str">
        <f t="shared" ref="L335:L398" si="26">IF(D335=0," ",IF(COUNTIF(ProfitLoss3,D335)&gt;0," ","ERROR"))</f>
        <v xml:space="preserve"> </v>
      </c>
      <c r="M335" s="2" t="str">
        <f t="shared" ref="M335:M398" si="27">IF(E335=0," ",IF(COUNTIF(BalanceSheet3,E335)&gt;0," ","ERROR"))</f>
        <v xml:space="preserve"> </v>
      </c>
    </row>
    <row r="336" spans="1:13" x14ac:dyDescent="0.25">
      <c r="A336" s="40" t="str">
        <f t="shared" si="25"/>
        <v xml:space="preserve"> </v>
      </c>
      <c r="D336" s="39"/>
      <c r="E336" s="39"/>
      <c r="J336" s="15">
        <f t="shared" ref="J336:J399" si="28">F336-G336+H336-I336</f>
        <v>0</v>
      </c>
      <c r="K336" s="2" t="str">
        <f t="shared" ref="K336:K399" si="29">IF(COUNTA(D336:E336)=2,"ERROR"," ")</f>
        <v xml:space="preserve"> </v>
      </c>
      <c r="L336" s="2" t="str">
        <f t="shared" si="26"/>
        <v xml:space="preserve"> </v>
      </c>
      <c r="M336" s="2" t="str">
        <f t="shared" si="27"/>
        <v xml:space="preserve"> </v>
      </c>
    </row>
    <row r="337" spans="1:13" x14ac:dyDescent="0.25">
      <c r="A337" s="40" t="str">
        <f t="shared" si="25"/>
        <v xml:space="preserve"> </v>
      </c>
      <c r="D337" s="39"/>
      <c r="E337" s="39"/>
      <c r="J337" s="15">
        <f t="shared" si="28"/>
        <v>0</v>
      </c>
      <c r="K337" s="2" t="str">
        <f t="shared" si="29"/>
        <v xml:space="preserve"> </v>
      </c>
      <c r="L337" s="2" t="str">
        <f t="shared" si="26"/>
        <v xml:space="preserve"> </v>
      </c>
      <c r="M337" s="2" t="str">
        <f t="shared" si="27"/>
        <v xml:space="preserve"> </v>
      </c>
    </row>
    <row r="338" spans="1:13" x14ac:dyDescent="0.25">
      <c r="A338" s="40" t="str">
        <f t="shared" si="25"/>
        <v xml:space="preserve"> </v>
      </c>
      <c r="D338" s="39"/>
      <c r="E338" s="39"/>
      <c r="J338" s="15">
        <f t="shared" si="28"/>
        <v>0</v>
      </c>
      <c r="K338" s="2" t="str">
        <f t="shared" si="29"/>
        <v xml:space="preserve"> </v>
      </c>
      <c r="L338" s="2" t="str">
        <f t="shared" si="26"/>
        <v xml:space="preserve"> </v>
      </c>
      <c r="M338" s="2" t="str">
        <f t="shared" si="27"/>
        <v xml:space="preserve"> </v>
      </c>
    </row>
    <row r="339" spans="1:13" x14ac:dyDescent="0.25">
      <c r="A339" s="40" t="str">
        <f t="shared" si="25"/>
        <v xml:space="preserve"> </v>
      </c>
      <c r="D339" s="39"/>
      <c r="E339" s="39"/>
      <c r="J339" s="15">
        <f t="shared" si="28"/>
        <v>0</v>
      </c>
      <c r="K339" s="2" t="str">
        <f t="shared" si="29"/>
        <v xml:space="preserve"> </v>
      </c>
      <c r="L339" s="2" t="str">
        <f t="shared" si="26"/>
        <v xml:space="preserve"> </v>
      </c>
      <c r="M339" s="2" t="str">
        <f t="shared" si="27"/>
        <v xml:space="preserve"> </v>
      </c>
    </row>
    <row r="340" spans="1:13" x14ac:dyDescent="0.25">
      <c r="A340" s="40" t="str">
        <f t="shared" si="25"/>
        <v xml:space="preserve"> </v>
      </c>
      <c r="D340" s="39"/>
      <c r="E340" s="39"/>
      <c r="J340" s="15">
        <f t="shared" si="28"/>
        <v>0</v>
      </c>
      <c r="K340" s="2" t="str">
        <f t="shared" si="29"/>
        <v xml:space="preserve"> </v>
      </c>
      <c r="L340" s="2" t="str">
        <f t="shared" si="26"/>
        <v xml:space="preserve"> </v>
      </c>
      <c r="M340" s="2" t="str">
        <f t="shared" si="27"/>
        <v xml:space="preserve"> </v>
      </c>
    </row>
    <row r="341" spans="1:13" x14ac:dyDescent="0.25">
      <c r="A341" s="40" t="str">
        <f t="shared" si="25"/>
        <v xml:space="preserve"> </v>
      </c>
      <c r="D341" s="39"/>
      <c r="E341" s="39"/>
      <c r="J341" s="15">
        <f t="shared" si="28"/>
        <v>0</v>
      </c>
      <c r="K341" s="2" t="str">
        <f t="shared" si="29"/>
        <v xml:space="preserve"> </v>
      </c>
      <c r="L341" s="2" t="str">
        <f t="shared" si="26"/>
        <v xml:space="preserve"> </v>
      </c>
      <c r="M341" s="2" t="str">
        <f t="shared" si="27"/>
        <v xml:space="preserve"> </v>
      </c>
    </row>
    <row r="342" spans="1:13" x14ac:dyDescent="0.25">
      <c r="A342" s="40" t="str">
        <f t="shared" si="25"/>
        <v xml:space="preserve"> </v>
      </c>
      <c r="D342" s="39"/>
      <c r="E342" s="39"/>
      <c r="J342" s="15">
        <f t="shared" si="28"/>
        <v>0</v>
      </c>
      <c r="K342" s="2" t="str">
        <f t="shared" si="29"/>
        <v xml:space="preserve"> </v>
      </c>
      <c r="L342" s="2" t="str">
        <f t="shared" si="26"/>
        <v xml:space="preserve"> </v>
      </c>
      <c r="M342" s="2" t="str">
        <f t="shared" si="27"/>
        <v xml:space="preserve"> </v>
      </c>
    </row>
    <row r="343" spans="1:13" x14ac:dyDescent="0.25">
      <c r="A343" s="40" t="str">
        <f t="shared" si="25"/>
        <v xml:space="preserve"> </v>
      </c>
      <c r="D343" s="39"/>
      <c r="E343" s="39"/>
      <c r="J343" s="15">
        <f t="shared" si="28"/>
        <v>0</v>
      </c>
      <c r="K343" s="2" t="str">
        <f t="shared" si="29"/>
        <v xml:space="preserve"> </v>
      </c>
      <c r="L343" s="2" t="str">
        <f t="shared" si="26"/>
        <v xml:space="preserve"> </v>
      </c>
      <c r="M343" s="2" t="str">
        <f t="shared" si="27"/>
        <v xml:space="preserve"> </v>
      </c>
    </row>
    <row r="344" spans="1:13" x14ac:dyDescent="0.25">
      <c r="A344" s="40" t="str">
        <f t="shared" si="25"/>
        <v xml:space="preserve"> </v>
      </c>
      <c r="D344" s="39"/>
      <c r="E344" s="39"/>
      <c r="J344" s="15">
        <f t="shared" si="28"/>
        <v>0</v>
      </c>
      <c r="K344" s="2" t="str">
        <f t="shared" si="29"/>
        <v xml:space="preserve"> </v>
      </c>
      <c r="L344" s="2" t="str">
        <f t="shared" si="26"/>
        <v xml:space="preserve"> </v>
      </c>
      <c r="M344" s="2" t="str">
        <f t="shared" si="27"/>
        <v xml:space="preserve"> </v>
      </c>
    </row>
    <row r="345" spans="1:13" x14ac:dyDescent="0.25">
      <c r="A345" s="40" t="str">
        <f t="shared" si="25"/>
        <v xml:space="preserve"> </v>
      </c>
      <c r="D345" s="39"/>
      <c r="E345" s="39"/>
      <c r="J345" s="15">
        <f t="shared" si="28"/>
        <v>0</v>
      </c>
      <c r="K345" s="2" t="str">
        <f t="shared" si="29"/>
        <v xml:space="preserve"> </v>
      </c>
      <c r="L345" s="2" t="str">
        <f t="shared" si="26"/>
        <v xml:space="preserve"> </v>
      </c>
      <c r="M345" s="2" t="str">
        <f t="shared" si="27"/>
        <v xml:space="preserve"> </v>
      </c>
    </row>
    <row r="346" spans="1:13" x14ac:dyDescent="0.25">
      <c r="A346" s="40" t="str">
        <f t="shared" si="25"/>
        <v xml:space="preserve"> </v>
      </c>
      <c r="D346" s="39"/>
      <c r="E346" s="39"/>
      <c r="J346" s="15">
        <f t="shared" si="28"/>
        <v>0</v>
      </c>
      <c r="K346" s="2" t="str">
        <f t="shared" si="29"/>
        <v xml:space="preserve"> </v>
      </c>
      <c r="L346" s="2" t="str">
        <f t="shared" si="26"/>
        <v xml:space="preserve"> </v>
      </c>
      <c r="M346" s="2" t="str">
        <f t="shared" si="27"/>
        <v xml:space="preserve"> </v>
      </c>
    </row>
    <row r="347" spans="1:13" x14ac:dyDescent="0.25">
      <c r="A347" s="40" t="str">
        <f t="shared" si="25"/>
        <v xml:space="preserve"> </v>
      </c>
      <c r="D347" s="39"/>
      <c r="E347" s="39"/>
      <c r="J347" s="15">
        <f t="shared" si="28"/>
        <v>0</v>
      </c>
      <c r="K347" s="2" t="str">
        <f t="shared" si="29"/>
        <v xml:space="preserve"> </v>
      </c>
      <c r="L347" s="2" t="str">
        <f t="shared" si="26"/>
        <v xml:space="preserve"> </v>
      </c>
      <c r="M347" s="2" t="str">
        <f t="shared" si="27"/>
        <v xml:space="preserve"> </v>
      </c>
    </row>
    <row r="348" spans="1:13" x14ac:dyDescent="0.25">
      <c r="A348" s="40" t="str">
        <f t="shared" si="25"/>
        <v xml:space="preserve"> </v>
      </c>
      <c r="D348" s="39"/>
      <c r="E348" s="39"/>
      <c r="J348" s="15">
        <f t="shared" si="28"/>
        <v>0</v>
      </c>
      <c r="K348" s="2" t="str">
        <f t="shared" si="29"/>
        <v xml:space="preserve"> </v>
      </c>
      <c r="L348" s="2" t="str">
        <f t="shared" si="26"/>
        <v xml:space="preserve"> </v>
      </c>
      <c r="M348" s="2" t="str">
        <f t="shared" si="27"/>
        <v xml:space="preserve"> </v>
      </c>
    </row>
    <row r="349" spans="1:13" x14ac:dyDescent="0.25">
      <c r="A349" s="40" t="str">
        <f t="shared" si="25"/>
        <v xml:space="preserve"> </v>
      </c>
      <c r="D349" s="39"/>
      <c r="E349" s="39"/>
      <c r="J349" s="15">
        <f t="shared" si="28"/>
        <v>0</v>
      </c>
      <c r="K349" s="2" t="str">
        <f t="shared" si="29"/>
        <v xml:space="preserve"> </v>
      </c>
      <c r="L349" s="2" t="str">
        <f t="shared" si="26"/>
        <v xml:space="preserve"> </v>
      </c>
      <c r="M349" s="2" t="str">
        <f t="shared" si="27"/>
        <v xml:space="preserve"> </v>
      </c>
    </row>
    <row r="350" spans="1:13" x14ac:dyDescent="0.25">
      <c r="A350" s="40" t="str">
        <f t="shared" si="25"/>
        <v xml:space="preserve"> </v>
      </c>
      <c r="D350" s="39"/>
      <c r="E350" s="39"/>
      <c r="J350" s="15">
        <f t="shared" si="28"/>
        <v>0</v>
      </c>
      <c r="K350" s="2" t="str">
        <f t="shared" si="29"/>
        <v xml:space="preserve"> </v>
      </c>
      <c r="L350" s="2" t="str">
        <f t="shared" si="26"/>
        <v xml:space="preserve"> </v>
      </c>
      <c r="M350" s="2" t="str">
        <f t="shared" si="27"/>
        <v xml:space="preserve"> </v>
      </c>
    </row>
    <row r="351" spans="1:13" x14ac:dyDescent="0.25">
      <c r="A351" s="40" t="str">
        <f t="shared" si="25"/>
        <v xml:space="preserve"> </v>
      </c>
      <c r="D351" s="39"/>
      <c r="E351" s="39"/>
      <c r="J351" s="15">
        <f t="shared" si="28"/>
        <v>0</v>
      </c>
      <c r="K351" s="2" t="str">
        <f t="shared" si="29"/>
        <v xml:space="preserve"> </v>
      </c>
      <c r="L351" s="2" t="str">
        <f t="shared" si="26"/>
        <v xml:space="preserve"> </v>
      </c>
      <c r="M351" s="2" t="str">
        <f t="shared" si="27"/>
        <v xml:space="preserve"> </v>
      </c>
    </row>
    <row r="352" spans="1:13" x14ac:dyDescent="0.25">
      <c r="A352" s="40" t="str">
        <f t="shared" si="25"/>
        <v xml:space="preserve"> </v>
      </c>
      <c r="D352" s="39"/>
      <c r="E352" s="39"/>
      <c r="J352" s="15">
        <f t="shared" si="28"/>
        <v>0</v>
      </c>
      <c r="K352" s="2" t="str">
        <f t="shared" si="29"/>
        <v xml:space="preserve"> </v>
      </c>
      <c r="L352" s="2" t="str">
        <f t="shared" si="26"/>
        <v xml:space="preserve"> </v>
      </c>
      <c r="M352" s="2" t="str">
        <f t="shared" si="27"/>
        <v xml:space="preserve"> </v>
      </c>
    </row>
    <row r="353" spans="1:13" x14ac:dyDescent="0.25">
      <c r="A353" s="40" t="str">
        <f t="shared" si="25"/>
        <v xml:space="preserve"> </v>
      </c>
      <c r="D353" s="39"/>
      <c r="E353" s="39"/>
      <c r="J353" s="15">
        <f t="shared" si="28"/>
        <v>0</v>
      </c>
      <c r="K353" s="2" t="str">
        <f t="shared" si="29"/>
        <v xml:space="preserve"> </v>
      </c>
      <c r="L353" s="2" t="str">
        <f t="shared" si="26"/>
        <v xml:space="preserve"> </v>
      </c>
      <c r="M353" s="2" t="str">
        <f t="shared" si="27"/>
        <v xml:space="preserve"> </v>
      </c>
    </row>
    <row r="354" spans="1:13" x14ac:dyDescent="0.25">
      <c r="A354" s="40" t="str">
        <f t="shared" si="25"/>
        <v xml:space="preserve"> </v>
      </c>
      <c r="D354" s="39"/>
      <c r="E354" s="39"/>
      <c r="J354" s="15">
        <f t="shared" si="28"/>
        <v>0</v>
      </c>
      <c r="K354" s="2" t="str">
        <f t="shared" si="29"/>
        <v xml:space="preserve"> </v>
      </c>
      <c r="L354" s="2" t="str">
        <f t="shared" si="26"/>
        <v xml:space="preserve"> </v>
      </c>
      <c r="M354" s="2" t="str">
        <f t="shared" si="27"/>
        <v xml:space="preserve"> </v>
      </c>
    </row>
    <row r="355" spans="1:13" x14ac:dyDescent="0.25">
      <c r="A355" s="40" t="str">
        <f t="shared" si="25"/>
        <v xml:space="preserve"> </v>
      </c>
      <c r="D355" s="39"/>
      <c r="E355" s="39"/>
      <c r="J355" s="15">
        <f t="shared" si="28"/>
        <v>0</v>
      </c>
      <c r="K355" s="2" t="str">
        <f t="shared" si="29"/>
        <v xml:space="preserve"> </v>
      </c>
      <c r="L355" s="2" t="str">
        <f t="shared" si="26"/>
        <v xml:space="preserve"> </v>
      </c>
      <c r="M355" s="2" t="str">
        <f t="shared" si="27"/>
        <v xml:space="preserve"> </v>
      </c>
    </row>
    <row r="356" spans="1:13" x14ac:dyDescent="0.25">
      <c r="A356" s="40" t="str">
        <f t="shared" si="25"/>
        <v xml:space="preserve"> </v>
      </c>
      <c r="D356" s="39"/>
      <c r="E356" s="39"/>
      <c r="J356" s="15">
        <f t="shared" si="28"/>
        <v>0</v>
      </c>
      <c r="K356" s="2" t="str">
        <f t="shared" si="29"/>
        <v xml:space="preserve"> </v>
      </c>
      <c r="L356" s="2" t="str">
        <f t="shared" si="26"/>
        <v xml:space="preserve"> </v>
      </c>
      <c r="M356" s="2" t="str">
        <f t="shared" si="27"/>
        <v xml:space="preserve"> </v>
      </c>
    </row>
    <row r="357" spans="1:13" x14ac:dyDescent="0.25">
      <c r="A357" s="40" t="str">
        <f t="shared" si="25"/>
        <v xml:space="preserve"> </v>
      </c>
      <c r="D357" s="39"/>
      <c r="E357" s="39"/>
      <c r="J357" s="15">
        <f t="shared" si="28"/>
        <v>0</v>
      </c>
      <c r="K357" s="2" t="str">
        <f t="shared" si="29"/>
        <v xml:space="preserve"> </v>
      </c>
      <c r="L357" s="2" t="str">
        <f t="shared" si="26"/>
        <v xml:space="preserve"> </v>
      </c>
      <c r="M357" s="2" t="str">
        <f t="shared" si="27"/>
        <v xml:space="preserve"> </v>
      </c>
    </row>
    <row r="358" spans="1:13" x14ac:dyDescent="0.25">
      <c r="A358" s="40" t="str">
        <f t="shared" si="25"/>
        <v xml:space="preserve"> </v>
      </c>
      <c r="D358" s="39"/>
      <c r="E358" s="39"/>
      <c r="J358" s="15">
        <f t="shared" si="28"/>
        <v>0</v>
      </c>
      <c r="K358" s="2" t="str">
        <f t="shared" si="29"/>
        <v xml:space="preserve"> </v>
      </c>
      <c r="L358" s="2" t="str">
        <f t="shared" si="26"/>
        <v xml:space="preserve"> </v>
      </c>
      <c r="M358" s="2" t="str">
        <f t="shared" si="27"/>
        <v xml:space="preserve"> </v>
      </c>
    </row>
    <row r="359" spans="1:13" x14ac:dyDescent="0.25">
      <c r="A359" s="40" t="str">
        <f t="shared" si="25"/>
        <v xml:space="preserve"> </v>
      </c>
      <c r="D359" s="39"/>
      <c r="E359" s="39"/>
      <c r="J359" s="15">
        <f t="shared" si="28"/>
        <v>0</v>
      </c>
      <c r="K359" s="2" t="str">
        <f t="shared" si="29"/>
        <v xml:space="preserve"> </v>
      </c>
      <c r="L359" s="2" t="str">
        <f t="shared" si="26"/>
        <v xml:space="preserve"> </v>
      </c>
      <c r="M359" s="2" t="str">
        <f t="shared" si="27"/>
        <v xml:space="preserve"> </v>
      </c>
    </row>
    <row r="360" spans="1:13" x14ac:dyDescent="0.25">
      <c r="A360" s="40" t="str">
        <f t="shared" si="25"/>
        <v xml:space="preserve"> </v>
      </c>
      <c r="D360" s="39"/>
      <c r="E360" s="39"/>
      <c r="J360" s="15">
        <f t="shared" si="28"/>
        <v>0</v>
      </c>
      <c r="K360" s="2" t="str">
        <f t="shared" si="29"/>
        <v xml:space="preserve"> </v>
      </c>
      <c r="L360" s="2" t="str">
        <f t="shared" si="26"/>
        <v xml:space="preserve"> </v>
      </c>
      <c r="M360" s="2" t="str">
        <f t="shared" si="27"/>
        <v xml:space="preserve"> </v>
      </c>
    </row>
    <row r="361" spans="1:13" x14ac:dyDescent="0.25">
      <c r="A361" s="40" t="str">
        <f t="shared" si="25"/>
        <v xml:space="preserve"> </v>
      </c>
      <c r="D361" s="39"/>
      <c r="E361" s="39"/>
      <c r="J361" s="15">
        <f t="shared" si="28"/>
        <v>0</v>
      </c>
      <c r="K361" s="2" t="str">
        <f t="shared" si="29"/>
        <v xml:space="preserve"> </v>
      </c>
      <c r="L361" s="2" t="str">
        <f t="shared" si="26"/>
        <v xml:space="preserve"> </v>
      </c>
      <c r="M361" s="2" t="str">
        <f t="shared" si="27"/>
        <v xml:space="preserve"> </v>
      </c>
    </row>
    <row r="362" spans="1:13" x14ac:dyDescent="0.25">
      <c r="A362" s="40" t="str">
        <f t="shared" si="25"/>
        <v xml:space="preserve"> </v>
      </c>
      <c r="D362" s="39"/>
      <c r="E362" s="39"/>
      <c r="J362" s="15">
        <f t="shared" si="28"/>
        <v>0</v>
      </c>
      <c r="K362" s="2" t="str">
        <f t="shared" si="29"/>
        <v xml:space="preserve"> </v>
      </c>
      <c r="L362" s="2" t="str">
        <f t="shared" si="26"/>
        <v xml:space="preserve"> </v>
      </c>
      <c r="M362" s="2" t="str">
        <f t="shared" si="27"/>
        <v xml:space="preserve"> </v>
      </c>
    </row>
    <row r="363" spans="1:13" x14ac:dyDescent="0.25">
      <c r="A363" s="40" t="str">
        <f t="shared" si="25"/>
        <v xml:space="preserve"> </v>
      </c>
      <c r="D363" s="39"/>
      <c r="E363" s="39"/>
      <c r="J363" s="15">
        <f t="shared" si="28"/>
        <v>0</v>
      </c>
      <c r="K363" s="2" t="str">
        <f t="shared" si="29"/>
        <v xml:space="preserve"> </v>
      </c>
      <c r="L363" s="2" t="str">
        <f t="shared" si="26"/>
        <v xml:space="preserve"> </v>
      </c>
      <c r="M363" s="2" t="str">
        <f t="shared" si="27"/>
        <v xml:space="preserve"> </v>
      </c>
    </row>
    <row r="364" spans="1:13" x14ac:dyDescent="0.25">
      <c r="A364" s="40" t="str">
        <f t="shared" si="25"/>
        <v xml:space="preserve"> </v>
      </c>
      <c r="D364" s="39"/>
      <c r="E364" s="39"/>
      <c r="J364" s="15">
        <f t="shared" si="28"/>
        <v>0</v>
      </c>
      <c r="K364" s="2" t="str">
        <f t="shared" si="29"/>
        <v xml:space="preserve"> </v>
      </c>
      <c r="L364" s="2" t="str">
        <f t="shared" si="26"/>
        <v xml:space="preserve"> </v>
      </c>
      <c r="M364" s="2" t="str">
        <f t="shared" si="27"/>
        <v xml:space="preserve"> </v>
      </c>
    </row>
    <row r="365" spans="1:13" x14ac:dyDescent="0.25">
      <c r="A365" s="40" t="str">
        <f t="shared" si="25"/>
        <v xml:space="preserve"> </v>
      </c>
      <c r="D365" s="39"/>
      <c r="E365" s="39"/>
      <c r="J365" s="15">
        <f t="shared" si="28"/>
        <v>0</v>
      </c>
      <c r="K365" s="2" t="str">
        <f t="shared" si="29"/>
        <v xml:space="preserve"> </v>
      </c>
      <c r="L365" s="2" t="str">
        <f t="shared" si="26"/>
        <v xml:space="preserve"> </v>
      </c>
      <c r="M365" s="2" t="str">
        <f t="shared" si="27"/>
        <v xml:space="preserve"> </v>
      </c>
    </row>
    <row r="366" spans="1:13" x14ac:dyDescent="0.25">
      <c r="A366" s="40" t="str">
        <f t="shared" si="25"/>
        <v xml:space="preserve"> </v>
      </c>
      <c r="D366" s="39"/>
      <c r="E366" s="39"/>
      <c r="J366" s="15">
        <f t="shared" si="28"/>
        <v>0</v>
      </c>
      <c r="K366" s="2" t="str">
        <f t="shared" si="29"/>
        <v xml:space="preserve"> </v>
      </c>
      <c r="L366" s="2" t="str">
        <f t="shared" si="26"/>
        <v xml:space="preserve"> </v>
      </c>
      <c r="M366" s="2" t="str">
        <f t="shared" si="27"/>
        <v xml:space="preserve"> </v>
      </c>
    </row>
    <row r="367" spans="1:13" x14ac:dyDescent="0.25">
      <c r="A367" s="40" t="str">
        <f t="shared" si="25"/>
        <v xml:space="preserve"> </v>
      </c>
      <c r="D367" s="39"/>
      <c r="E367" s="39"/>
      <c r="J367" s="15">
        <f t="shared" si="28"/>
        <v>0</v>
      </c>
      <c r="K367" s="2" t="str">
        <f t="shared" si="29"/>
        <v xml:space="preserve"> </v>
      </c>
      <c r="L367" s="2" t="str">
        <f t="shared" si="26"/>
        <v xml:space="preserve"> </v>
      </c>
      <c r="M367" s="2" t="str">
        <f t="shared" si="27"/>
        <v xml:space="preserve"> </v>
      </c>
    </row>
    <row r="368" spans="1:13" x14ac:dyDescent="0.25">
      <c r="A368" s="40" t="str">
        <f t="shared" si="25"/>
        <v xml:space="preserve"> </v>
      </c>
      <c r="D368" s="39"/>
      <c r="E368" s="39"/>
      <c r="J368" s="15">
        <f t="shared" si="28"/>
        <v>0</v>
      </c>
      <c r="K368" s="2" t="str">
        <f t="shared" si="29"/>
        <v xml:space="preserve"> </v>
      </c>
      <c r="L368" s="2" t="str">
        <f t="shared" si="26"/>
        <v xml:space="preserve"> </v>
      </c>
      <c r="M368" s="2" t="str">
        <f t="shared" si="27"/>
        <v xml:space="preserve"> </v>
      </c>
    </row>
    <row r="369" spans="1:13" x14ac:dyDescent="0.25">
      <c r="A369" s="40" t="str">
        <f t="shared" si="25"/>
        <v xml:space="preserve"> </v>
      </c>
      <c r="D369" s="39"/>
      <c r="E369" s="39"/>
      <c r="J369" s="15">
        <f t="shared" si="28"/>
        <v>0</v>
      </c>
      <c r="K369" s="2" t="str">
        <f t="shared" si="29"/>
        <v xml:space="preserve"> </v>
      </c>
      <c r="L369" s="2" t="str">
        <f t="shared" si="26"/>
        <v xml:space="preserve"> </v>
      </c>
      <c r="M369" s="2" t="str">
        <f t="shared" si="27"/>
        <v xml:space="preserve"> </v>
      </c>
    </row>
    <row r="370" spans="1:13" x14ac:dyDescent="0.25">
      <c r="A370" s="40" t="str">
        <f t="shared" si="25"/>
        <v xml:space="preserve"> </v>
      </c>
      <c r="D370" s="39"/>
      <c r="E370" s="39"/>
      <c r="J370" s="15">
        <f t="shared" si="28"/>
        <v>0</v>
      </c>
      <c r="K370" s="2" t="str">
        <f t="shared" si="29"/>
        <v xml:space="preserve"> </v>
      </c>
      <c r="L370" s="2" t="str">
        <f t="shared" si="26"/>
        <v xml:space="preserve"> </v>
      </c>
      <c r="M370" s="2" t="str">
        <f t="shared" si="27"/>
        <v xml:space="preserve"> </v>
      </c>
    </row>
    <row r="371" spans="1:13" x14ac:dyDescent="0.25">
      <c r="A371" s="40" t="str">
        <f t="shared" si="25"/>
        <v xml:space="preserve"> </v>
      </c>
      <c r="D371" s="39"/>
      <c r="E371" s="39"/>
      <c r="J371" s="15">
        <f t="shared" si="28"/>
        <v>0</v>
      </c>
      <c r="K371" s="2" t="str">
        <f t="shared" si="29"/>
        <v xml:space="preserve"> </v>
      </c>
      <c r="L371" s="2" t="str">
        <f t="shared" si="26"/>
        <v xml:space="preserve"> </v>
      </c>
      <c r="M371" s="2" t="str">
        <f t="shared" si="27"/>
        <v xml:space="preserve"> </v>
      </c>
    </row>
    <row r="372" spans="1:13" x14ac:dyDescent="0.25">
      <c r="A372" s="40" t="str">
        <f t="shared" si="25"/>
        <v xml:space="preserve"> </v>
      </c>
      <c r="D372" s="39"/>
      <c r="E372" s="39"/>
      <c r="J372" s="15">
        <f t="shared" si="28"/>
        <v>0</v>
      </c>
      <c r="K372" s="2" t="str">
        <f t="shared" si="29"/>
        <v xml:space="preserve"> </v>
      </c>
      <c r="L372" s="2" t="str">
        <f t="shared" si="26"/>
        <v xml:space="preserve"> </v>
      </c>
      <c r="M372" s="2" t="str">
        <f t="shared" si="27"/>
        <v xml:space="preserve"> </v>
      </c>
    </row>
    <row r="373" spans="1:13" x14ac:dyDescent="0.25">
      <c r="A373" s="40" t="str">
        <f t="shared" si="25"/>
        <v xml:space="preserve"> </v>
      </c>
      <c r="D373" s="39"/>
      <c r="E373" s="39"/>
      <c r="J373" s="15">
        <f t="shared" si="28"/>
        <v>0</v>
      </c>
      <c r="K373" s="2" t="str">
        <f t="shared" si="29"/>
        <v xml:space="preserve"> </v>
      </c>
      <c r="L373" s="2" t="str">
        <f t="shared" si="26"/>
        <v xml:space="preserve"> </v>
      </c>
      <c r="M373" s="2" t="str">
        <f t="shared" si="27"/>
        <v xml:space="preserve"> </v>
      </c>
    </row>
    <row r="374" spans="1:13" x14ac:dyDescent="0.25">
      <c r="A374" s="40" t="str">
        <f t="shared" si="25"/>
        <v xml:space="preserve"> </v>
      </c>
      <c r="D374" s="39"/>
      <c r="E374" s="39"/>
      <c r="J374" s="15">
        <f t="shared" si="28"/>
        <v>0</v>
      </c>
      <c r="K374" s="2" t="str">
        <f t="shared" si="29"/>
        <v xml:space="preserve"> </v>
      </c>
      <c r="L374" s="2" t="str">
        <f t="shared" si="26"/>
        <v xml:space="preserve"> </v>
      </c>
      <c r="M374" s="2" t="str">
        <f t="shared" si="27"/>
        <v xml:space="preserve"> </v>
      </c>
    </row>
    <row r="375" spans="1:13" x14ac:dyDescent="0.25">
      <c r="A375" s="40" t="str">
        <f t="shared" si="25"/>
        <v xml:space="preserve"> </v>
      </c>
      <c r="D375" s="39"/>
      <c r="E375" s="39"/>
      <c r="J375" s="15">
        <f t="shared" si="28"/>
        <v>0</v>
      </c>
      <c r="K375" s="2" t="str">
        <f t="shared" si="29"/>
        <v xml:space="preserve"> </v>
      </c>
      <c r="L375" s="2" t="str">
        <f t="shared" si="26"/>
        <v xml:space="preserve"> </v>
      </c>
      <c r="M375" s="2" t="str">
        <f t="shared" si="27"/>
        <v xml:space="preserve"> </v>
      </c>
    </row>
    <row r="376" spans="1:13" x14ac:dyDescent="0.25">
      <c r="A376" s="40" t="str">
        <f t="shared" si="25"/>
        <v xml:space="preserve"> </v>
      </c>
      <c r="D376" s="39"/>
      <c r="E376" s="39"/>
      <c r="J376" s="15">
        <f t="shared" si="28"/>
        <v>0</v>
      </c>
      <c r="K376" s="2" t="str">
        <f t="shared" si="29"/>
        <v xml:space="preserve"> </v>
      </c>
      <c r="L376" s="2" t="str">
        <f t="shared" si="26"/>
        <v xml:space="preserve"> </v>
      </c>
      <c r="M376" s="2" t="str">
        <f t="shared" si="27"/>
        <v xml:space="preserve"> </v>
      </c>
    </row>
    <row r="377" spans="1:13" x14ac:dyDescent="0.25">
      <c r="A377" s="40" t="str">
        <f t="shared" si="25"/>
        <v xml:space="preserve"> </v>
      </c>
      <c r="D377" s="39"/>
      <c r="E377" s="39"/>
      <c r="J377" s="15">
        <f t="shared" si="28"/>
        <v>0</v>
      </c>
      <c r="K377" s="2" t="str">
        <f t="shared" si="29"/>
        <v xml:space="preserve"> </v>
      </c>
      <c r="L377" s="2" t="str">
        <f t="shared" si="26"/>
        <v xml:space="preserve"> </v>
      </c>
      <c r="M377" s="2" t="str">
        <f t="shared" si="27"/>
        <v xml:space="preserve"> </v>
      </c>
    </row>
    <row r="378" spans="1:13" x14ac:dyDescent="0.25">
      <c r="A378" s="40" t="str">
        <f t="shared" si="25"/>
        <v xml:space="preserve"> </v>
      </c>
      <c r="D378" s="39"/>
      <c r="E378" s="39"/>
      <c r="J378" s="15">
        <f t="shared" si="28"/>
        <v>0</v>
      </c>
      <c r="K378" s="2" t="str">
        <f t="shared" si="29"/>
        <v xml:space="preserve"> </v>
      </c>
      <c r="L378" s="2" t="str">
        <f t="shared" si="26"/>
        <v xml:space="preserve"> </v>
      </c>
      <c r="M378" s="2" t="str">
        <f t="shared" si="27"/>
        <v xml:space="preserve"> </v>
      </c>
    </row>
    <row r="379" spans="1:13" x14ac:dyDescent="0.25">
      <c r="A379" s="40" t="str">
        <f t="shared" si="25"/>
        <v xml:space="preserve"> </v>
      </c>
      <c r="D379" s="39"/>
      <c r="E379" s="39"/>
      <c r="J379" s="15">
        <f t="shared" si="28"/>
        <v>0</v>
      </c>
      <c r="K379" s="2" t="str">
        <f t="shared" si="29"/>
        <v xml:space="preserve"> </v>
      </c>
      <c r="L379" s="2" t="str">
        <f t="shared" si="26"/>
        <v xml:space="preserve"> </v>
      </c>
      <c r="M379" s="2" t="str">
        <f t="shared" si="27"/>
        <v xml:space="preserve"> </v>
      </c>
    </row>
    <row r="380" spans="1:13" x14ac:dyDescent="0.25">
      <c r="A380" s="40" t="str">
        <f t="shared" si="25"/>
        <v xml:space="preserve"> </v>
      </c>
      <c r="D380" s="39"/>
      <c r="E380" s="39"/>
      <c r="J380" s="15">
        <f t="shared" si="28"/>
        <v>0</v>
      </c>
      <c r="K380" s="2" t="str">
        <f t="shared" si="29"/>
        <v xml:space="preserve"> </v>
      </c>
      <c r="L380" s="2" t="str">
        <f t="shared" si="26"/>
        <v xml:space="preserve"> </v>
      </c>
      <c r="M380" s="2" t="str">
        <f t="shared" si="27"/>
        <v xml:space="preserve"> </v>
      </c>
    </row>
    <row r="381" spans="1:13" x14ac:dyDescent="0.25">
      <c r="A381" s="40" t="str">
        <f t="shared" si="25"/>
        <v xml:space="preserve"> </v>
      </c>
      <c r="D381" s="39"/>
      <c r="E381" s="39"/>
      <c r="J381" s="15">
        <f t="shared" si="28"/>
        <v>0</v>
      </c>
      <c r="K381" s="2" t="str">
        <f t="shared" si="29"/>
        <v xml:space="preserve"> </v>
      </c>
      <c r="L381" s="2" t="str">
        <f t="shared" si="26"/>
        <v xml:space="preserve"> </v>
      </c>
      <c r="M381" s="2" t="str">
        <f t="shared" si="27"/>
        <v xml:space="preserve"> </v>
      </c>
    </row>
    <row r="382" spans="1:13" x14ac:dyDescent="0.25">
      <c r="A382" s="40" t="str">
        <f t="shared" si="25"/>
        <v xml:space="preserve"> </v>
      </c>
      <c r="D382" s="39"/>
      <c r="E382" s="39"/>
      <c r="J382" s="15">
        <f t="shared" si="28"/>
        <v>0</v>
      </c>
      <c r="K382" s="2" t="str">
        <f t="shared" si="29"/>
        <v xml:space="preserve"> </v>
      </c>
      <c r="L382" s="2" t="str">
        <f t="shared" si="26"/>
        <v xml:space="preserve"> </v>
      </c>
      <c r="M382" s="2" t="str">
        <f t="shared" si="27"/>
        <v xml:space="preserve"> </v>
      </c>
    </row>
    <row r="383" spans="1:13" x14ac:dyDescent="0.25">
      <c r="A383" s="40" t="str">
        <f t="shared" si="25"/>
        <v xml:space="preserve"> </v>
      </c>
      <c r="D383" s="39"/>
      <c r="E383" s="39"/>
      <c r="J383" s="15">
        <f t="shared" si="28"/>
        <v>0</v>
      </c>
      <c r="K383" s="2" t="str">
        <f t="shared" si="29"/>
        <v xml:space="preserve"> </v>
      </c>
      <c r="L383" s="2" t="str">
        <f t="shared" si="26"/>
        <v xml:space="preserve"> </v>
      </c>
      <c r="M383" s="2" t="str">
        <f t="shared" si="27"/>
        <v xml:space="preserve"> </v>
      </c>
    </row>
    <row r="384" spans="1:13" x14ac:dyDescent="0.25">
      <c r="A384" s="40" t="str">
        <f t="shared" si="25"/>
        <v xml:space="preserve"> </v>
      </c>
      <c r="D384" s="39"/>
      <c r="E384" s="39"/>
      <c r="J384" s="15">
        <f t="shared" si="28"/>
        <v>0</v>
      </c>
      <c r="K384" s="2" t="str">
        <f t="shared" si="29"/>
        <v xml:space="preserve"> </v>
      </c>
      <c r="L384" s="2" t="str">
        <f t="shared" si="26"/>
        <v xml:space="preserve"> </v>
      </c>
      <c r="M384" s="2" t="str">
        <f t="shared" si="27"/>
        <v xml:space="preserve"> </v>
      </c>
    </row>
    <row r="385" spans="1:13" x14ac:dyDescent="0.25">
      <c r="A385" s="40" t="str">
        <f t="shared" si="25"/>
        <v xml:space="preserve"> </v>
      </c>
      <c r="D385" s="39"/>
      <c r="E385" s="39"/>
      <c r="J385" s="15">
        <f t="shared" si="28"/>
        <v>0</v>
      </c>
      <c r="K385" s="2" t="str">
        <f t="shared" si="29"/>
        <v xml:space="preserve"> </v>
      </c>
      <c r="L385" s="2" t="str">
        <f t="shared" si="26"/>
        <v xml:space="preserve"> </v>
      </c>
      <c r="M385" s="2" t="str">
        <f t="shared" si="27"/>
        <v xml:space="preserve"> </v>
      </c>
    </row>
    <row r="386" spans="1:13" x14ac:dyDescent="0.25">
      <c r="A386" s="40" t="str">
        <f t="shared" si="25"/>
        <v xml:space="preserve"> </v>
      </c>
      <c r="D386" s="39"/>
      <c r="E386" s="39"/>
      <c r="J386" s="15">
        <f t="shared" si="28"/>
        <v>0</v>
      </c>
      <c r="K386" s="2" t="str">
        <f t="shared" si="29"/>
        <v xml:space="preserve"> </v>
      </c>
      <c r="L386" s="2" t="str">
        <f t="shared" si="26"/>
        <v xml:space="preserve"> </v>
      </c>
      <c r="M386" s="2" t="str">
        <f t="shared" si="27"/>
        <v xml:space="preserve"> </v>
      </c>
    </row>
    <row r="387" spans="1:13" x14ac:dyDescent="0.25">
      <c r="A387" s="40" t="str">
        <f t="shared" si="25"/>
        <v xml:space="preserve"> </v>
      </c>
      <c r="D387" s="39"/>
      <c r="E387" s="39"/>
      <c r="J387" s="15">
        <f t="shared" si="28"/>
        <v>0</v>
      </c>
      <c r="K387" s="2" t="str">
        <f t="shared" si="29"/>
        <v xml:space="preserve"> </v>
      </c>
      <c r="L387" s="2" t="str">
        <f t="shared" si="26"/>
        <v xml:space="preserve"> </v>
      </c>
      <c r="M387" s="2" t="str">
        <f t="shared" si="27"/>
        <v xml:space="preserve"> </v>
      </c>
    </row>
    <row r="388" spans="1:13" x14ac:dyDescent="0.25">
      <c r="A388" s="40" t="str">
        <f t="shared" si="25"/>
        <v xml:space="preserve"> </v>
      </c>
      <c r="D388" s="39"/>
      <c r="E388" s="39"/>
      <c r="J388" s="15">
        <f t="shared" si="28"/>
        <v>0</v>
      </c>
      <c r="K388" s="2" t="str">
        <f t="shared" si="29"/>
        <v xml:space="preserve"> </v>
      </c>
      <c r="L388" s="2" t="str">
        <f t="shared" si="26"/>
        <v xml:space="preserve"> </v>
      </c>
      <c r="M388" s="2" t="str">
        <f t="shared" si="27"/>
        <v xml:space="preserve"> </v>
      </c>
    </row>
    <row r="389" spans="1:13" x14ac:dyDescent="0.25">
      <c r="A389" s="40" t="str">
        <f t="shared" si="25"/>
        <v xml:space="preserve"> </v>
      </c>
      <c r="D389" s="39"/>
      <c r="E389" s="39"/>
      <c r="J389" s="15">
        <f t="shared" si="28"/>
        <v>0</v>
      </c>
      <c r="K389" s="2" t="str">
        <f t="shared" si="29"/>
        <v xml:space="preserve"> </v>
      </c>
      <c r="L389" s="2" t="str">
        <f t="shared" si="26"/>
        <v xml:space="preserve"> </v>
      </c>
      <c r="M389" s="2" t="str">
        <f t="shared" si="27"/>
        <v xml:space="preserve"> </v>
      </c>
    </row>
    <row r="390" spans="1:13" x14ac:dyDescent="0.25">
      <c r="A390" s="40" t="str">
        <f t="shared" si="25"/>
        <v xml:space="preserve"> </v>
      </c>
      <c r="D390" s="39"/>
      <c r="E390" s="39"/>
      <c r="J390" s="15">
        <f t="shared" si="28"/>
        <v>0</v>
      </c>
      <c r="K390" s="2" t="str">
        <f t="shared" si="29"/>
        <v xml:space="preserve"> </v>
      </c>
      <c r="L390" s="2" t="str">
        <f t="shared" si="26"/>
        <v xml:space="preserve"> </v>
      </c>
      <c r="M390" s="2" t="str">
        <f t="shared" si="27"/>
        <v xml:space="preserve"> </v>
      </c>
    </row>
    <row r="391" spans="1:13" x14ac:dyDescent="0.25">
      <c r="A391" s="40" t="str">
        <f t="shared" si="25"/>
        <v xml:space="preserve"> </v>
      </c>
      <c r="D391" s="39"/>
      <c r="E391" s="39"/>
      <c r="J391" s="15">
        <f t="shared" si="28"/>
        <v>0</v>
      </c>
      <c r="K391" s="2" t="str">
        <f t="shared" si="29"/>
        <v xml:space="preserve"> </v>
      </c>
      <c r="L391" s="2" t="str">
        <f t="shared" si="26"/>
        <v xml:space="preserve"> </v>
      </c>
      <c r="M391" s="2" t="str">
        <f t="shared" si="27"/>
        <v xml:space="preserve"> </v>
      </c>
    </row>
    <row r="392" spans="1:13" x14ac:dyDescent="0.25">
      <c r="A392" s="40" t="str">
        <f t="shared" si="25"/>
        <v xml:space="preserve"> </v>
      </c>
      <c r="D392" s="39"/>
      <c r="E392" s="39"/>
      <c r="J392" s="15">
        <f t="shared" si="28"/>
        <v>0</v>
      </c>
      <c r="K392" s="2" t="str">
        <f t="shared" si="29"/>
        <v xml:space="preserve"> </v>
      </c>
      <c r="L392" s="2" t="str">
        <f t="shared" si="26"/>
        <v xml:space="preserve"> </v>
      </c>
      <c r="M392" s="2" t="str">
        <f t="shared" si="27"/>
        <v xml:space="preserve"> </v>
      </c>
    </row>
    <row r="393" spans="1:13" x14ac:dyDescent="0.25">
      <c r="A393" s="40" t="str">
        <f t="shared" si="25"/>
        <v xml:space="preserve"> </v>
      </c>
      <c r="D393" s="39"/>
      <c r="E393" s="39"/>
      <c r="J393" s="15">
        <f t="shared" si="28"/>
        <v>0</v>
      </c>
      <c r="K393" s="2" t="str">
        <f t="shared" si="29"/>
        <v xml:space="preserve"> </v>
      </c>
      <c r="L393" s="2" t="str">
        <f t="shared" si="26"/>
        <v xml:space="preserve"> </v>
      </c>
      <c r="M393" s="2" t="str">
        <f t="shared" si="27"/>
        <v xml:space="preserve"> </v>
      </c>
    </row>
    <row r="394" spans="1:13" x14ac:dyDescent="0.25">
      <c r="A394" s="40" t="str">
        <f t="shared" si="25"/>
        <v xml:space="preserve"> </v>
      </c>
      <c r="D394" s="39"/>
      <c r="E394" s="39"/>
      <c r="J394" s="15">
        <f t="shared" si="28"/>
        <v>0</v>
      </c>
      <c r="K394" s="2" t="str">
        <f t="shared" si="29"/>
        <v xml:space="preserve"> </v>
      </c>
      <c r="L394" s="2" t="str">
        <f t="shared" si="26"/>
        <v xml:space="preserve"> </v>
      </c>
      <c r="M394" s="2" t="str">
        <f t="shared" si="27"/>
        <v xml:space="preserve"> </v>
      </c>
    </row>
    <row r="395" spans="1:13" x14ac:dyDescent="0.25">
      <c r="A395" s="40" t="str">
        <f t="shared" si="25"/>
        <v xml:space="preserve"> </v>
      </c>
      <c r="D395" s="39"/>
      <c r="E395" s="39"/>
      <c r="J395" s="15">
        <f t="shared" si="28"/>
        <v>0</v>
      </c>
      <c r="K395" s="2" t="str">
        <f t="shared" si="29"/>
        <v xml:space="preserve"> </v>
      </c>
      <c r="L395" s="2" t="str">
        <f t="shared" si="26"/>
        <v xml:space="preserve"> </v>
      </c>
      <c r="M395" s="2" t="str">
        <f t="shared" si="27"/>
        <v xml:space="preserve"> </v>
      </c>
    </row>
    <row r="396" spans="1:13" x14ac:dyDescent="0.25">
      <c r="A396" s="40" t="str">
        <f t="shared" si="25"/>
        <v xml:space="preserve"> </v>
      </c>
      <c r="D396" s="39"/>
      <c r="E396" s="39"/>
      <c r="J396" s="15">
        <f t="shared" si="28"/>
        <v>0</v>
      </c>
      <c r="K396" s="2" t="str">
        <f t="shared" si="29"/>
        <v xml:space="preserve"> </v>
      </c>
      <c r="L396" s="2" t="str">
        <f t="shared" si="26"/>
        <v xml:space="preserve"> </v>
      </c>
      <c r="M396" s="2" t="str">
        <f t="shared" si="27"/>
        <v xml:space="preserve"> </v>
      </c>
    </row>
    <row r="397" spans="1:13" x14ac:dyDescent="0.25">
      <c r="A397" s="40" t="str">
        <f t="shared" si="25"/>
        <v xml:space="preserve"> </v>
      </c>
      <c r="D397" s="39"/>
      <c r="E397" s="39"/>
      <c r="J397" s="15">
        <f t="shared" si="28"/>
        <v>0</v>
      </c>
      <c r="K397" s="2" t="str">
        <f t="shared" si="29"/>
        <v xml:space="preserve"> </v>
      </c>
      <c r="L397" s="2" t="str">
        <f t="shared" si="26"/>
        <v xml:space="preserve"> </v>
      </c>
      <c r="M397" s="2" t="str">
        <f t="shared" si="27"/>
        <v xml:space="preserve"> </v>
      </c>
    </row>
    <row r="398" spans="1:13" x14ac:dyDescent="0.25">
      <c r="A398" s="40" t="str">
        <f t="shared" si="25"/>
        <v xml:space="preserve"> </v>
      </c>
      <c r="D398" s="39"/>
      <c r="E398" s="39"/>
      <c r="J398" s="15">
        <f t="shared" si="28"/>
        <v>0</v>
      </c>
      <c r="K398" s="2" t="str">
        <f t="shared" si="29"/>
        <v xml:space="preserve"> </v>
      </c>
      <c r="L398" s="2" t="str">
        <f t="shared" si="26"/>
        <v xml:space="preserve"> </v>
      </c>
      <c r="M398" s="2" t="str">
        <f t="shared" si="27"/>
        <v xml:space="preserve"> </v>
      </c>
    </row>
    <row r="399" spans="1:13" x14ac:dyDescent="0.25">
      <c r="A399" s="40" t="str">
        <f t="shared" ref="A399:A462" si="30">IF(COUNTIF(K399:M399,"ERROR")&gt;0,"ERROR"," ")</f>
        <v xml:space="preserve"> </v>
      </c>
      <c r="D399" s="39"/>
      <c r="E399" s="39"/>
      <c r="J399" s="15">
        <f t="shared" si="28"/>
        <v>0</v>
      </c>
      <c r="K399" s="2" t="str">
        <f t="shared" si="29"/>
        <v xml:space="preserve"> </v>
      </c>
      <c r="L399" s="2" t="str">
        <f t="shared" ref="L399:L462" si="31">IF(D399=0," ",IF(COUNTIF(ProfitLoss3,D399)&gt;0," ","ERROR"))</f>
        <v xml:space="preserve"> </v>
      </c>
      <c r="M399" s="2" t="str">
        <f t="shared" ref="M399:M462" si="32">IF(E399=0," ",IF(COUNTIF(BalanceSheet3,E399)&gt;0," ","ERROR"))</f>
        <v xml:space="preserve"> </v>
      </c>
    </row>
    <row r="400" spans="1:13" x14ac:dyDescent="0.25">
      <c r="A400" s="40" t="str">
        <f t="shared" si="30"/>
        <v xml:space="preserve"> </v>
      </c>
      <c r="D400" s="39"/>
      <c r="E400" s="39"/>
      <c r="J400" s="15">
        <f t="shared" ref="J400:J463" si="33">F400-G400+H400-I400</f>
        <v>0</v>
      </c>
      <c r="K400" s="2" t="str">
        <f t="shared" ref="K400:K463" si="34">IF(COUNTA(D400:E400)=2,"ERROR"," ")</f>
        <v xml:space="preserve"> </v>
      </c>
      <c r="L400" s="2" t="str">
        <f t="shared" si="31"/>
        <v xml:space="preserve"> </v>
      </c>
      <c r="M400" s="2" t="str">
        <f t="shared" si="32"/>
        <v xml:space="preserve"> </v>
      </c>
    </row>
    <row r="401" spans="1:13" x14ac:dyDescent="0.25">
      <c r="A401" s="40" t="str">
        <f t="shared" si="30"/>
        <v xml:space="preserve"> </v>
      </c>
      <c r="D401" s="39"/>
      <c r="E401" s="39"/>
      <c r="J401" s="15">
        <f t="shared" si="33"/>
        <v>0</v>
      </c>
      <c r="K401" s="2" t="str">
        <f t="shared" si="34"/>
        <v xml:space="preserve"> </v>
      </c>
      <c r="L401" s="2" t="str">
        <f t="shared" si="31"/>
        <v xml:space="preserve"> </v>
      </c>
      <c r="M401" s="2" t="str">
        <f t="shared" si="32"/>
        <v xml:space="preserve"> </v>
      </c>
    </row>
    <row r="402" spans="1:13" x14ac:dyDescent="0.25">
      <c r="A402" s="40" t="str">
        <f t="shared" si="30"/>
        <v xml:space="preserve"> </v>
      </c>
      <c r="D402" s="39"/>
      <c r="E402" s="39"/>
      <c r="J402" s="15">
        <f t="shared" si="33"/>
        <v>0</v>
      </c>
      <c r="K402" s="2" t="str">
        <f t="shared" si="34"/>
        <v xml:space="preserve"> </v>
      </c>
      <c r="L402" s="2" t="str">
        <f t="shared" si="31"/>
        <v xml:space="preserve"> </v>
      </c>
      <c r="M402" s="2" t="str">
        <f t="shared" si="32"/>
        <v xml:space="preserve"> </v>
      </c>
    </row>
    <row r="403" spans="1:13" x14ac:dyDescent="0.25">
      <c r="A403" s="40" t="str">
        <f t="shared" si="30"/>
        <v xml:space="preserve"> </v>
      </c>
      <c r="D403" s="39"/>
      <c r="E403" s="39"/>
      <c r="J403" s="15">
        <f t="shared" si="33"/>
        <v>0</v>
      </c>
      <c r="K403" s="2" t="str">
        <f t="shared" si="34"/>
        <v xml:space="preserve"> </v>
      </c>
      <c r="L403" s="2" t="str">
        <f t="shared" si="31"/>
        <v xml:space="preserve"> </v>
      </c>
      <c r="M403" s="2" t="str">
        <f t="shared" si="32"/>
        <v xml:space="preserve"> </v>
      </c>
    </row>
    <row r="404" spans="1:13" x14ac:dyDescent="0.25">
      <c r="A404" s="40" t="str">
        <f t="shared" si="30"/>
        <v xml:space="preserve"> </v>
      </c>
      <c r="D404" s="39"/>
      <c r="E404" s="39"/>
      <c r="J404" s="15">
        <f t="shared" si="33"/>
        <v>0</v>
      </c>
      <c r="K404" s="2" t="str">
        <f t="shared" si="34"/>
        <v xml:space="preserve"> </v>
      </c>
      <c r="L404" s="2" t="str">
        <f t="shared" si="31"/>
        <v xml:space="preserve"> </v>
      </c>
      <c r="M404" s="2" t="str">
        <f t="shared" si="32"/>
        <v xml:space="preserve"> </v>
      </c>
    </row>
    <row r="405" spans="1:13" x14ac:dyDescent="0.25">
      <c r="A405" s="40" t="str">
        <f t="shared" si="30"/>
        <v xml:space="preserve"> </v>
      </c>
      <c r="D405" s="39"/>
      <c r="E405" s="39"/>
      <c r="J405" s="15">
        <f t="shared" si="33"/>
        <v>0</v>
      </c>
      <c r="K405" s="2" t="str">
        <f t="shared" si="34"/>
        <v xml:space="preserve"> </v>
      </c>
      <c r="L405" s="2" t="str">
        <f t="shared" si="31"/>
        <v xml:space="preserve"> </v>
      </c>
      <c r="M405" s="2" t="str">
        <f t="shared" si="32"/>
        <v xml:space="preserve"> </v>
      </c>
    </row>
    <row r="406" spans="1:13" x14ac:dyDescent="0.25">
      <c r="A406" s="40" t="str">
        <f t="shared" si="30"/>
        <v xml:space="preserve"> </v>
      </c>
      <c r="D406" s="39"/>
      <c r="E406" s="39"/>
      <c r="J406" s="15">
        <f t="shared" si="33"/>
        <v>0</v>
      </c>
      <c r="K406" s="2" t="str">
        <f t="shared" si="34"/>
        <v xml:space="preserve"> </v>
      </c>
      <c r="L406" s="2" t="str">
        <f t="shared" si="31"/>
        <v xml:space="preserve"> </v>
      </c>
      <c r="M406" s="2" t="str">
        <f t="shared" si="32"/>
        <v xml:space="preserve"> </v>
      </c>
    </row>
    <row r="407" spans="1:13" x14ac:dyDescent="0.25">
      <c r="A407" s="40" t="str">
        <f t="shared" si="30"/>
        <v xml:space="preserve"> </v>
      </c>
      <c r="D407" s="39"/>
      <c r="E407" s="39"/>
      <c r="J407" s="15">
        <f t="shared" si="33"/>
        <v>0</v>
      </c>
      <c r="K407" s="2" t="str">
        <f t="shared" si="34"/>
        <v xml:space="preserve"> </v>
      </c>
      <c r="L407" s="2" t="str">
        <f t="shared" si="31"/>
        <v xml:space="preserve"> </v>
      </c>
      <c r="M407" s="2" t="str">
        <f t="shared" si="32"/>
        <v xml:space="preserve"> </v>
      </c>
    </row>
    <row r="408" spans="1:13" x14ac:dyDescent="0.25">
      <c r="A408" s="40" t="str">
        <f t="shared" si="30"/>
        <v xml:space="preserve"> </v>
      </c>
      <c r="D408" s="39"/>
      <c r="E408" s="39"/>
      <c r="J408" s="15">
        <f t="shared" si="33"/>
        <v>0</v>
      </c>
      <c r="K408" s="2" t="str">
        <f t="shared" si="34"/>
        <v xml:space="preserve"> </v>
      </c>
      <c r="L408" s="2" t="str">
        <f t="shared" si="31"/>
        <v xml:space="preserve"> </v>
      </c>
      <c r="M408" s="2" t="str">
        <f t="shared" si="32"/>
        <v xml:space="preserve"> </v>
      </c>
    </row>
    <row r="409" spans="1:13" x14ac:dyDescent="0.25">
      <c r="A409" s="40" t="str">
        <f t="shared" si="30"/>
        <v xml:space="preserve"> </v>
      </c>
      <c r="D409" s="39"/>
      <c r="E409" s="39"/>
      <c r="J409" s="15">
        <f t="shared" si="33"/>
        <v>0</v>
      </c>
      <c r="K409" s="2" t="str">
        <f t="shared" si="34"/>
        <v xml:space="preserve"> </v>
      </c>
      <c r="L409" s="2" t="str">
        <f t="shared" si="31"/>
        <v xml:space="preserve"> </v>
      </c>
      <c r="M409" s="2" t="str">
        <f t="shared" si="32"/>
        <v xml:space="preserve"> </v>
      </c>
    </row>
    <row r="410" spans="1:13" x14ac:dyDescent="0.25">
      <c r="A410" s="40" t="str">
        <f t="shared" si="30"/>
        <v xml:space="preserve"> </v>
      </c>
      <c r="D410" s="39"/>
      <c r="E410" s="39"/>
      <c r="J410" s="15">
        <f t="shared" si="33"/>
        <v>0</v>
      </c>
      <c r="K410" s="2" t="str">
        <f t="shared" si="34"/>
        <v xml:space="preserve"> </v>
      </c>
      <c r="L410" s="2" t="str">
        <f t="shared" si="31"/>
        <v xml:space="preserve"> </v>
      </c>
      <c r="M410" s="2" t="str">
        <f t="shared" si="32"/>
        <v xml:space="preserve"> </v>
      </c>
    </row>
    <row r="411" spans="1:13" x14ac:dyDescent="0.25">
      <c r="A411" s="40" t="str">
        <f t="shared" si="30"/>
        <v xml:space="preserve"> </v>
      </c>
      <c r="D411" s="39"/>
      <c r="E411" s="39"/>
      <c r="J411" s="15">
        <f t="shared" si="33"/>
        <v>0</v>
      </c>
      <c r="K411" s="2" t="str">
        <f t="shared" si="34"/>
        <v xml:space="preserve"> </v>
      </c>
      <c r="L411" s="2" t="str">
        <f t="shared" si="31"/>
        <v xml:space="preserve"> </v>
      </c>
      <c r="M411" s="2" t="str">
        <f t="shared" si="32"/>
        <v xml:space="preserve"> </v>
      </c>
    </row>
    <row r="412" spans="1:13" x14ac:dyDescent="0.25">
      <c r="A412" s="40" t="str">
        <f t="shared" si="30"/>
        <v xml:space="preserve"> </v>
      </c>
      <c r="D412" s="39"/>
      <c r="E412" s="39"/>
      <c r="J412" s="15">
        <f t="shared" si="33"/>
        <v>0</v>
      </c>
      <c r="K412" s="2" t="str">
        <f t="shared" si="34"/>
        <v xml:space="preserve"> </v>
      </c>
      <c r="L412" s="2" t="str">
        <f t="shared" si="31"/>
        <v xml:space="preserve"> </v>
      </c>
      <c r="M412" s="2" t="str">
        <f t="shared" si="32"/>
        <v xml:space="preserve"> </v>
      </c>
    </row>
    <row r="413" spans="1:13" x14ac:dyDescent="0.25">
      <c r="A413" s="40" t="str">
        <f t="shared" si="30"/>
        <v xml:space="preserve"> </v>
      </c>
      <c r="D413" s="39"/>
      <c r="E413" s="39"/>
      <c r="J413" s="15">
        <f t="shared" si="33"/>
        <v>0</v>
      </c>
      <c r="K413" s="2" t="str">
        <f t="shared" si="34"/>
        <v xml:space="preserve"> </v>
      </c>
      <c r="L413" s="2" t="str">
        <f t="shared" si="31"/>
        <v xml:space="preserve"> </v>
      </c>
      <c r="M413" s="2" t="str">
        <f t="shared" si="32"/>
        <v xml:space="preserve"> </v>
      </c>
    </row>
    <row r="414" spans="1:13" x14ac:dyDescent="0.25">
      <c r="A414" s="40" t="str">
        <f t="shared" si="30"/>
        <v xml:space="preserve"> </v>
      </c>
      <c r="D414" s="39"/>
      <c r="E414" s="39"/>
      <c r="J414" s="15">
        <f t="shared" si="33"/>
        <v>0</v>
      </c>
      <c r="K414" s="2" t="str">
        <f t="shared" si="34"/>
        <v xml:space="preserve"> </v>
      </c>
      <c r="L414" s="2" t="str">
        <f t="shared" si="31"/>
        <v xml:space="preserve"> </v>
      </c>
      <c r="M414" s="2" t="str">
        <f t="shared" si="32"/>
        <v xml:space="preserve"> </v>
      </c>
    </row>
    <row r="415" spans="1:13" x14ac:dyDescent="0.25">
      <c r="A415" s="40" t="str">
        <f t="shared" si="30"/>
        <v xml:space="preserve"> </v>
      </c>
      <c r="D415" s="39"/>
      <c r="E415" s="39"/>
      <c r="J415" s="15">
        <f t="shared" si="33"/>
        <v>0</v>
      </c>
      <c r="K415" s="2" t="str">
        <f t="shared" si="34"/>
        <v xml:space="preserve"> </v>
      </c>
      <c r="L415" s="2" t="str">
        <f t="shared" si="31"/>
        <v xml:space="preserve"> </v>
      </c>
      <c r="M415" s="2" t="str">
        <f t="shared" si="32"/>
        <v xml:space="preserve"> </v>
      </c>
    </row>
    <row r="416" spans="1:13" x14ac:dyDescent="0.25">
      <c r="A416" s="40" t="str">
        <f t="shared" si="30"/>
        <v xml:space="preserve"> </v>
      </c>
      <c r="D416" s="39"/>
      <c r="E416" s="39"/>
      <c r="J416" s="15">
        <f t="shared" si="33"/>
        <v>0</v>
      </c>
      <c r="K416" s="2" t="str">
        <f t="shared" si="34"/>
        <v xml:space="preserve"> </v>
      </c>
      <c r="L416" s="2" t="str">
        <f t="shared" si="31"/>
        <v xml:space="preserve"> </v>
      </c>
      <c r="M416" s="2" t="str">
        <f t="shared" si="32"/>
        <v xml:space="preserve"> </v>
      </c>
    </row>
    <row r="417" spans="1:13" x14ac:dyDescent="0.25">
      <c r="A417" s="40" t="str">
        <f t="shared" si="30"/>
        <v xml:space="preserve"> </v>
      </c>
      <c r="D417" s="39"/>
      <c r="E417" s="39"/>
      <c r="J417" s="15">
        <f t="shared" si="33"/>
        <v>0</v>
      </c>
      <c r="K417" s="2" t="str">
        <f t="shared" si="34"/>
        <v xml:space="preserve"> </v>
      </c>
      <c r="L417" s="2" t="str">
        <f t="shared" si="31"/>
        <v xml:space="preserve"> </v>
      </c>
      <c r="M417" s="2" t="str">
        <f t="shared" si="32"/>
        <v xml:space="preserve"> </v>
      </c>
    </row>
    <row r="418" spans="1:13" x14ac:dyDescent="0.25">
      <c r="A418" s="40" t="str">
        <f t="shared" si="30"/>
        <v xml:space="preserve"> </v>
      </c>
      <c r="D418" s="39"/>
      <c r="E418" s="39"/>
      <c r="J418" s="15">
        <f t="shared" si="33"/>
        <v>0</v>
      </c>
      <c r="K418" s="2" t="str">
        <f t="shared" si="34"/>
        <v xml:space="preserve"> </v>
      </c>
      <c r="L418" s="2" t="str">
        <f t="shared" si="31"/>
        <v xml:space="preserve"> </v>
      </c>
      <c r="M418" s="2" t="str">
        <f t="shared" si="32"/>
        <v xml:space="preserve"> </v>
      </c>
    </row>
    <row r="419" spans="1:13" x14ac:dyDescent="0.25">
      <c r="A419" s="40" t="str">
        <f t="shared" si="30"/>
        <v xml:space="preserve"> </v>
      </c>
      <c r="D419" s="39"/>
      <c r="E419" s="39"/>
      <c r="J419" s="15">
        <f t="shared" si="33"/>
        <v>0</v>
      </c>
      <c r="K419" s="2" t="str">
        <f t="shared" si="34"/>
        <v xml:space="preserve"> </v>
      </c>
      <c r="L419" s="2" t="str">
        <f t="shared" si="31"/>
        <v xml:space="preserve"> </v>
      </c>
      <c r="M419" s="2" t="str">
        <f t="shared" si="32"/>
        <v xml:space="preserve"> </v>
      </c>
    </row>
    <row r="420" spans="1:13" x14ac:dyDescent="0.25">
      <c r="A420" s="40" t="str">
        <f t="shared" si="30"/>
        <v xml:space="preserve"> </v>
      </c>
      <c r="D420" s="39"/>
      <c r="E420" s="39"/>
      <c r="J420" s="15">
        <f t="shared" si="33"/>
        <v>0</v>
      </c>
      <c r="K420" s="2" t="str">
        <f t="shared" si="34"/>
        <v xml:space="preserve"> </v>
      </c>
      <c r="L420" s="2" t="str">
        <f t="shared" si="31"/>
        <v xml:space="preserve"> </v>
      </c>
      <c r="M420" s="2" t="str">
        <f t="shared" si="32"/>
        <v xml:space="preserve"> </v>
      </c>
    </row>
    <row r="421" spans="1:13" x14ac:dyDescent="0.25">
      <c r="A421" s="40" t="str">
        <f t="shared" si="30"/>
        <v xml:space="preserve"> </v>
      </c>
      <c r="D421" s="39"/>
      <c r="E421" s="39"/>
      <c r="J421" s="15">
        <f t="shared" si="33"/>
        <v>0</v>
      </c>
      <c r="K421" s="2" t="str">
        <f t="shared" si="34"/>
        <v xml:space="preserve"> </v>
      </c>
      <c r="L421" s="2" t="str">
        <f t="shared" si="31"/>
        <v xml:space="preserve"> </v>
      </c>
      <c r="M421" s="2" t="str">
        <f t="shared" si="32"/>
        <v xml:space="preserve"> </v>
      </c>
    </row>
    <row r="422" spans="1:13" x14ac:dyDescent="0.25">
      <c r="A422" s="40" t="str">
        <f t="shared" si="30"/>
        <v xml:space="preserve"> </v>
      </c>
      <c r="D422" s="39"/>
      <c r="E422" s="39"/>
      <c r="J422" s="15">
        <f t="shared" si="33"/>
        <v>0</v>
      </c>
      <c r="K422" s="2" t="str">
        <f t="shared" si="34"/>
        <v xml:space="preserve"> </v>
      </c>
      <c r="L422" s="2" t="str">
        <f t="shared" si="31"/>
        <v xml:space="preserve"> </v>
      </c>
      <c r="M422" s="2" t="str">
        <f t="shared" si="32"/>
        <v xml:space="preserve"> </v>
      </c>
    </row>
    <row r="423" spans="1:13" x14ac:dyDescent="0.25">
      <c r="A423" s="40" t="str">
        <f t="shared" si="30"/>
        <v xml:space="preserve"> </v>
      </c>
      <c r="D423" s="39"/>
      <c r="E423" s="39"/>
      <c r="J423" s="15">
        <f t="shared" si="33"/>
        <v>0</v>
      </c>
      <c r="K423" s="2" t="str">
        <f t="shared" si="34"/>
        <v xml:space="preserve"> </v>
      </c>
      <c r="L423" s="2" t="str">
        <f t="shared" si="31"/>
        <v xml:space="preserve"> </v>
      </c>
      <c r="M423" s="2" t="str">
        <f t="shared" si="32"/>
        <v xml:space="preserve"> </v>
      </c>
    </row>
    <row r="424" spans="1:13" x14ac:dyDescent="0.25">
      <c r="A424" s="40" t="str">
        <f t="shared" si="30"/>
        <v xml:space="preserve"> </v>
      </c>
      <c r="D424" s="39"/>
      <c r="E424" s="39"/>
      <c r="J424" s="15">
        <f t="shared" si="33"/>
        <v>0</v>
      </c>
      <c r="K424" s="2" t="str">
        <f t="shared" si="34"/>
        <v xml:space="preserve"> </v>
      </c>
      <c r="L424" s="2" t="str">
        <f t="shared" si="31"/>
        <v xml:space="preserve"> </v>
      </c>
      <c r="M424" s="2" t="str">
        <f t="shared" si="32"/>
        <v xml:space="preserve"> </v>
      </c>
    </row>
    <row r="425" spans="1:13" x14ac:dyDescent="0.25">
      <c r="A425" s="40" t="str">
        <f t="shared" si="30"/>
        <v xml:space="preserve"> </v>
      </c>
      <c r="D425" s="39"/>
      <c r="E425" s="39"/>
      <c r="J425" s="15">
        <f t="shared" si="33"/>
        <v>0</v>
      </c>
      <c r="K425" s="2" t="str">
        <f t="shared" si="34"/>
        <v xml:space="preserve"> </v>
      </c>
      <c r="L425" s="2" t="str">
        <f t="shared" si="31"/>
        <v xml:space="preserve"> </v>
      </c>
      <c r="M425" s="2" t="str">
        <f t="shared" si="32"/>
        <v xml:space="preserve"> </v>
      </c>
    </row>
    <row r="426" spans="1:13" x14ac:dyDescent="0.25">
      <c r="A426" s="40" t="str">
        <f t="shared" si="30"/>
        <v xml:space="preserve"> </v>
      </c>
      <c r="D426" s="39"/>
      <c r="E426" s="39"/>
      <c r="J426" s="15">
        <f t="shared" si="33"/>
        <v>0</v>
      </c>
      <c r="K426" s="2" t="str">
        <f t="shared" si="34"/>
        <v xml:space="preserve"> </v>
      </c>
      <c r="L426" s="2" t="str">
        <f t="shared" si="31"/>
        <v xml:space="preserve"> </v>
      </c>
      <c r="M426" s="2" t="str">
        <f t="shared" si="32"/>
        <v xml:space="preserve"> </v>
      </c>
    </row>
    <row r="427" spans="1:13" x14ac:dyDescent="0.25">
      <c r="A427" s="40" t="str">
        <f t="shared" si="30"/>
        <v xml:space="preserve"> </v>
      </c>
      <c r="D427" s="39"/>
      <c r="E427" s="39"/>
      <c r="J427" s="15">
        <f t="shared" si="33"/>
        <v>0</v>
      </c>
      <c r="K427" s="2" t="str">
        <f t="shared" si="34"/>
        <v xml:space="preserve"> </v>
      </c>
      <c r="L427" s="2" t="str">
        <f t="shared" si="31"/>
        <v xml:space="preserve"> </v>
      </c>
      <c r="M427" s="2" t="str">
        <f t="shared" si="32"/>
        <v xml:space="preserve"> </v>
      </c>
    </row>
    <row r="428" spans="1:13" x14ac:dyDescent="0.25">
      <c r="A428" s="40" t="str">
        <f t="shared" si="30"/>
        <v xml:space="preserve"> </v>
      </c>
      <c r="D428" s="39"/>
      <c r="E428" s="39"/>
      <c r="J428" s="15">
        <f t="shared" si="33"/>
        <v>0</v>
      </c>
      <c r="K428" s="2" t="str">
        <f t="shared" si="34"/>
        <v xml:space="preserve"> </v>
      </c>
      <c r="L428" s="2" t="str">
        <f t="shared" si="31"/>
        <v xml:space="preserve"> </v>
      </c>
      <c r="M428" s="2" t="str">
        <f t="shared" si="32"/>
        <v xml:space="preserve"> </v>
      </c>
    </row>
    <row r="429" spans="1:13" x14ac:dyDescent="0.25">
      <c r="A429" s="40" t="str">
        <f t="shared" si="30"/>
        <v xml:space="preserve"> </v>
      </c>
      <c r="D429" s="39"/>
      <c r="E429" s="39"/>
      <c r="J429" s="15">
        <f t="shared" si="33"/>
        <v>0</v>
      </c>
      <c r="K429" s="2" t="str">
        <f t="shared" si="34"/>
        <v xml:space="preserve"> </v>
      </c>
      <c r="L429" s="2" t="str">
        <f t="shared" si="31"/>
        <v xml:space="preserve"> </v>
      </c>
      <c r="M429" s="2" t="str">
        <f t="shared" si="32"/>
        <v xml:space="preserve"> </v>
      </c>
    </row>
    <row r="430" spans="1:13" x14ac:dyDescent="0.25">
      <c r="A430" s="40" t="str">
        <f t="shared" si="30"/>
        <v xml:space="preserve"> </v>
      </c>
      <c r="D430" s="39"/>
      <c r="E430" s="39"/>
      <c r="J430" s="15">
        <f t="shared" si="33"/>
        <v>0</v>
      </c>
      <c r="K430" s="2" t="str">
        <f t="shared" si="34"/>
        <v xml:space="preserve"> </v>
      </c>
      <c r="L430" s="2" t="str">
        <f t="shared" si="31"/>
        <v xml:space="preserve"> </v>
      </c>
      <c r="M430" s="2" t="str">
        <f t="shared" si="32"/>
        <v xml:space="preserve"> </v>
      </c>
    </row>
    <row r="431" spans="1:13" x14ac:dyDescent="0.25">
      <c r="A431" s="40" t="str">
        <f t="shared" si="30"/>
        <v xml:space="preserve"> </v>
      </c>
      <c r="D431" s="39"/>
      <c r="E431" s="39"/>
      <c r="J431" s="15">
        <f t="shared" si="33"/>
        <v>0</v>
      </c>
      <c r="K431" s="2" t="str">
        <f t="shared" si="34"/>
        <v xml:space="preserve"> </v>
      </c>
      <c r="L431" s="2" t="str">
        <f t="shared" si="31"/>
        <v xml:space="preserve"> </v>
      </c>
      <c r="M431" s="2" t="str">
        <f t="shared" si="32"/>
        <v xml:space="preserve"> </v>
      </c>
    </row>
    <row r="432" spans="1:13" x14ac:dyDescent="0.25">
      <c r="A432" s="40" t="str">
        <f t="shared" si="30"/>
        <v xml:space="preserve"> </v>
      </c>
      <c r="D432" s="39"/>
      <c r="E432" s="39"/>
      <c r="J432" s="15">
        <f t="shared" si="33"/>
        <v>0</v>
      </c>
      <c r="K432" s="2" t="str">
        <f t="shared" si="34"/>
        <v xml:space="preserve"> </v>
      </c>
      <c r="L432" s="2" t="str">
        <f t="shared" si="31"/>
        <v xml:space="preserve"> </v>
      </c>
      <c r="M432" s="2" t="str">
        <f t="shared" si="32"/>
        <v xml:space="preserve"> </v>
      </c>
    </row>
    <row r="433" spans="1:13" x14ac:dyDescent="0.25">
      <c r="A433" s="40" t="str">
        <f t="shared" si="30"/>
        <v xml:space="preserve"> </v>
      </c>
      <c r="D433" s="39"/>
      <c r="E433" s="39"/>
      <c r="J433" s="15">
        <f t="shared" si="33"/>
        <v>0</v>
      </c>
      <c r="K433" s="2" t="str">
        <f t="shared" si="34"/>
        <v xml:space="preserve"> </v>
      </c>
      <c r="L433" s="2" t="str">
        <f t="shared" si="31"/>
        <v xml:space="preserve"> </v>
      </c>
      <c r="M433" s="2" t="str">
        <f t="shared" si="32"/>
        <v xml:space="preserve"> </v>
      </c>
    </row>
    <row r="434" spans="1:13" x14ac:dyDescent="0.25">
      <c r="A434" s="40" t="str">
        <f t="shared" si="30"/>
        <v xml:space="preserve"> </v>
      </c>
      <c r="D434" s="39"/>
      <c r="E434" s="39"/>
      <c r="J434" s="15">
        <f t="shared" si="33"/>
        <v>0</v>
      </c>
      <c r="K434" s="2" t="str">
        <f t="shared" si="34"/>
        <v xml:space="preserve"> </v>
      </c>
      <c r="L434" s="2" t="str">
        <f t="shared" si="31"/>
        <v xml:space="preserve"> </v>
      </c>
      <c r="M434" s="2" t="str">
        <f t="shared" si="32"/>
        <v xml:space="preserve"> </v>
      </c>
    </row>
    <row r="435" spans="1:13" x14ac:dyDescent="0.25">
      <c r="A435" s="40" t="str">
        <f t="shared" si="30"/>
        <v xml:space="preserve"> </v>
      </c>
      <c r="D435" s="39"/>
      <c r="E435" s="39"/>
      <c r="J435" s="15">
        <f t="shared" si="33"/>
        <v>0</v>
      </c>
      <c r="K435" s="2" t="str">
        <f t="shared" si="34"/>
        <v xml:space="preserve"> </v>
      </c>
      <c r="L435" s="2" t="str">
        <f t="shared" si="31"/>
        <v xml:space="preserve"> </v>
      </c>
      <c r="M435" s="2" t="str">
        <f t="shared" si="32"/>
        <v xml:space="preserve"> </v>
      </c>
    </row>
    <row r="436" spans="1:13" x14ac:dyDescent="0.25">
      <c r="A436" s="40" t="str">
        <f t="shared" si="30"/>
        <v xml:space="preserve"> </v>
      </c>
      <c r="D436" s="39"/>
      <c r="E436" s="39"/>
      <c r="J436" s="15">
        <f t="shared" si="33"/>
        <v>0</v>
      </c>
      <c r="K436" s="2" t="str">
        <f t="shared" si="34"/>
        <v xml:space="preserve"> </v>
      </c>
      <c r="L436" s="2" t="str">
        <f t="shared" si="31"/>
        <v xml:space="preserve"> </v>
      </c>
      <c r="M436" s="2" t="str">
        <f t="shared" si="32"/>
        <v xml:space="preserve"> </v>
      </c>
    </row>
    <row r="437" spans="1:13" x14ac:dyDescent="0.25">
      <c r="A437" s="40" t="str">
        <f t="shared" si="30"/>
        <v xml:space="preserve"> </v>
      </c>
      <c r="D437" s="39"/>
      <c r="E437" s="39"/>
      <c r="J437" s="15">
        <f t="shared" si="33"/>
        <v>0</v>
      </c>
      <c r="K437" s="2" t="str">
        <f t="shared" si="34"/>
        <v xml:space="preserve"> </v>
      </c>
      <c r="L437" s="2" t="str">
        <f t="shared" si="31"/>
        <v xml:space="preserve"> </v>
      </c>
      <c r="M437" s="2" t="str">
        <f t="shared" si="32"/>
        <v xml:space="preserve"> </v>
      </c>
    </row>
    <row r="438" spans="1:13" x14ac:dyDescent="0.25">
      <c r="A438" s="40" t="str">
        <f t="shared" si="30"/>
        <v xml:space="preserve"> </v>
      </c>
      <c r="D438" s="39"/>
      <c r="E438" s="39"/>
      <c r="J438" s="15">
        <f t="shared" si="33"/>
        <v>0</v>
      </c>
      <c r="K438" s="2" t="str">
        <f t="shared" si="34"/>
        <v xml:space="preserve"> </v>
      </c>
      <c r="L438" s="2" t="str">
        <f t="shared" si="31"/>
        <v xml:space="preserve"> </v>
      </c>
      <c r="M438" s="2" t="str">
        <f t="shared" si="32"/>
        <v xml:space="preserve"> </v>
      </c>
    </row>
    <row r="439" spans="1:13" x14ac:dyDescent="0.25">
      <c r="A439" s="40" t="str">
        <f t="shared" si="30"/>
        <v xml:space="preserve"> </v>
      </c>
      <c r="D439" s="39"/>
      <c r="E439" s="39"/>
      <c r="J439" s="15">
        <f t="shared" si="33"/>
        <v>0</v>
      </c>
      <c r="K439" s="2" t="str">
        <f t="shared" si="34"/>
        <v xml:space="preserve"> </v>
      </c>
      <c r="L439" s="2" t="str">
        <f t="shared" si="31"/>
        <v xml:space="preserve"> </v>
      </c>
      <c r="M439" s="2" t="str">
        <f t="shared" si="32"/>
        <v xml:space="preserve"> </v>
      </c>
    </row>
    <row r="440" spans="1:13" x14ac:dyDescent="0.25">
      <c r="A440" s="40" t="str">
        <f t="shared" si="30"/>
        <v xml:space="preserve"> </v>
      </c>
      <c r="D440" s="39"/>
      <c r="E440" s="39"/>
      <c r="J440" s="15">
        <f t="shared" si="33"/>
        <v>0</v>
      </c>
      <c r="K440" s="2" t="str">
        <f t="shared" si="34"/>
        <v xml:space="preserve"> </v>
      </c>
      <c r="L440" s="2" t="str">
        <f t="shared" si="31"/>
        <v xml:space="preserve"> </v>
      </c>
      <c r="M440" s="2" t="str">
        <f t="shared" si="32"/>
        <v xml:space="preserve"> </v>
      </c>
    </row>
    <row r="441" spans="1:13" x14ac:dyDescent="0.25">
      <c r="A441" s="40" t="str">
        <f t="shared" si="30"/>
        <v xml:space="preserve"> </v>
      </c>
      <c r="D441" s="39"/>
      <c r="E441" s="39"/>
      <c r="J441" s="15">
        <f t="shared" si="33"/>
        <v>0</v>
      </c>
      <c r="K441" s="2" t="str">
        <f t="shared" si="34"/>
        <v xml:space="preserve"> </v>
      </c>
      <c r="L441" s="2" t="str">
        <f t="shared" si="31"/>
        <v xml:space="preserve"> </v>
      </c>
      <c r="M441" s="2" t="str">
        <f t="shared" si="32"/>
        <v xml:space="preserve"> </v>
      </c>
    </row>
    <row r="442" spans="1:13" x14ac:dyDescent="0.25">
      <c r="A442" s="40" t="str">
        <f t="shared" si="30"/>
        <v xml:space="preserve"> </v>
      </c>
      <c r="D442" s="39"/>
      <c r="E442" s="39"/>
      <c r="J442" s="15">
        <f t="shared" si="33"/>
        <v>0</v>
      </c>
      <c r="K442" s="2" t="str">
        <f t="shared" si="34"/>
        <v xml:space="preserve"> </v>
      </c>
      <c r="L442" s="2" t="str">
        <f t="shared" si="31"/>
        <v xml:space="preserve"> </v>
      </c>
      <c r="M442" s="2" t="str">
        <f t="shared" si="32"/>
        <v xml:space="preserve"> </v>
      </c>
    </row>
    <row r="443" spans="1:13" x14ac:dyDescent="0.25">
      <c r="A443" s="40" t="str">
        <f t="shared" si="30"/>
        <v xml:space="preserve"> </v>
      </c>
      <c r="D443" s="39"/>
      <c r="E443" s="39"/>
      <c r="J443" s="15">
        <f t="shared" si="33"/>
        <v>0</v>
      </c>
      <c r="K443" s="2" t="str">
        <f t="shared" si="34"/>
        <v xml:space="preserve"> </v>
      </c>
      <c r="L443" s="2" t="str">
        <f t="shared" si="31"/>
        <v xml:space="preserve"> </v>
      </c>
      <c r="M443" s="2" t="str">
        <f t="shared" si="32"/>
        <v xml:space="preserve"> </v>
      </c>
    </row>
    <row r="444" spans="1:13" x14ac:dyDescent="0.25">
      <c r="A444" s="40" t="str">
        <f t="shared" si="30"/>
        <v xml:space="preserve"> </v>
      </c>
      <c r="D444" s="39"/>
      <c r="E444" s="39"/>
      <c r="J444" s="15">
        <f t="shared" si="33"/>
        <v>0</v>
      </c>
      <c r="K444" s="2" t="str">
        <f t="shared" si="34"/>
        <v xml:space="preserve"> </v>
      </c>
      <c r="L444" s="2" t="str">
        <f t="shared" si="31"/>
        <v xml:space="preserve"> </v>
      </c>
      <c r="M444" s="2" t="str">
        <f t="shared" si="32"/>
        <v xml:space="preserve"> </v>
      </c>
    </row>
    <row r="445" spans="1:13" x14ac:dyDescent="0.25">
      <c r="A445" s="40" t="str">
        <f t="shared" si="30"/>
        <v xml:space="preserve"> </v>
      </c>
      <c r="D445" s="39"/>
      <c r="E445" s="39"/>
      <c r="J445" s="15">
        <f t="shared" si="33"/>
        <v>0</v>
      </c>
      <c r="K445" s="2" t="str">
        <f t="shared" si="34"/>
        <v xml:space="preserve"> </v>
      </c>
      <c r="L445" s="2" t="str">
        <f t="shared" si="31"/>
        <v xml:space="preserve"> </v>
      </c>
      <c r="M445" s="2" t="str">
        <f t="shared" si="32"/>
        <v xml:space="preserve"> </v>
      </c>
    </row>
    <row r="446" spans="1:13" x14ac:dyDescent="0.25">
      <c r="A446" s="40" t="str">
        <f t="shared" si="30"/>
        <v xml:space="preserve"> </v>
      </c>
      <c r="D446" s="39"/>
      <c r="E446" s="39"/>
      <c r="J446" s="15">
        <f t="shared" si="33"/>
        <v>0</v>
      </c>
      <c r="K446" s="2" t="str">
        <f t="shared" si="34"/>
        <v xml:space="preserve"> </v>
      </c>
      <c r="L446" s="2" t="str">
        <f t="shared" si="31"/>
        <v xml:space="preserve"> </v>
      </c>
      <c r="M446" s="2" t="str">
        <f t="shared" si="32"/>
        <v xml:space="preserve"> </v>
      </c>
    </row>
    <row r="447" spans="1:13" x14ac:dyDescent="0.25">
      <c r="A447" s="40" t="str">
        <f t="shared" si="30"/>
        <v xml:space="preserve"> </v>
      </c>
      <c r="D447" s="39"/>
      <c r="E447" s="39"/>
      <c r="J447" s="15">
        <f t="shared" si="33"/>
        <v>0</v>
      </c>
      <c r="K447" s="2" t="str">
        <f t="shared" si="34"/>
        <v xml:space="preserve"> </v>
      </c>
      <c r="L447" s="2" t="str">
        <f t="shared" si="31"/>
        <v xml:space="preserve"> </v>
      </c>
      <c r="M447" s="2" t="str">
        <f t="shared" si="32"/>
        <v xml:space="preserve"> </v>
      </c>
    </row>
    <row r="448" spans="1:13" x14ac:dyDescent="0.25">
      <c r="A448" s="40" t="str">
        <f t="shared" si="30"/>
        <v xml:space="preserve"> </v>
      </c>
      <c r="D448" s="39"/>
      <c r="E448" s="39"/>
      <c r="J448" s="15">
        <f t="shared" si="33"/>
        <v>0</v>
      </c>
      <c r="K448" s="2" t="str">
        <f t="shared" si="34"/>
        <v xml:space="preserve"> </v>
      </c>
      <c r="L448" s="2" t="str">
        <f t="shared" si="31"/>
        <v xml:space="preserve"> </v>
      </c>
      <c r="M448" s="2" t="str">
        <f t="shared" si="32"/>
        <v xml:space="preserve"> </v>
      </c>
    </row>
    <row r="449" spans="1:13" x14ac:dyDescent="0.25">
      <c r="A449" s="40" t="str">
        <f t="shared" si="30"/>
        <v xml:space="preserve"> </v>
      </c>
      <c r="D449" s="39"/>
      <c r="E449" s="39"/>
      <c r="J449" s="15">
        <f t="shared" si="33"/>
        <v>0</v>
      </c>
      <c r="K449" s="2" t="str">
        <f t="shared" si="34"/>
        <v xml:space="preserve"> </v>
      </c>
      <c r="L449" s="2" t="str">
        <f t="shared" si="31"/>
        <v xml:space="preserve"> </v>
      </c>
      <c r="M449" s="2" t="str">
        <f t="shared" si="32"/>
        <v xml:space="preserve"> </v>
      </c>
    </row>
    <row r="450" spans="1:13" x14ac:dyDescent="0.25">
      <c r="A450" s="40" t="str">
        <f t="shared" si="30"/>
        <v xml:space="preserve"> </v>
      </c>
      <c r="D450" s="39"/>
      <c r="E450" s="39"/>
      <c r="J450" s="15">
        <f t="shared" si="33"/>
        <v>0</v>
      </c>
      <c r="K450" s="2" t="str">
        <f t="shared" si="34"/>
        <v xml:space="preserve"> </v>
      </c>
      <c r="L450" s="2" t="str">
        <f t="shared" si="31"/>
        <v xml:space="preserve"> </v>
      </c>
      <c r="M450" s="2" t="str">
        <f t="shared" si="32"/>
        <v xml:space="preserve"> </v>
      </c>
    </row>
    <row r="451" spans="1:13" x14ac:dyDescent="0.25">
      <c r="A451" s="40" t="str">
        <f t="shared" si="30"/>
        <v xml:space="preserve"> </v>
      </c>
      <c r="D451" s="39"/>
      <c r="E451" s="39"/>
      <c r="J451" s="15">
        <f t="shared" si="33"/>
        <v>0</v>
      </c>
      <c r="K451" s="2" t="str">
        <f t="shared" si="34"/>
        <v xml:space="preserve"> </v>
      </c>
      <c r="L451" s="2" t="str">
        <f t="shared" si="31"/>
        <v xml:space="preserve"> </v>
      </c>
      <c r="M451" s="2" t="str">
        <f t="shared" si="32"/>
        <v xml:space="preserve"> </v>
      </c>
    </row>
    <row r="452" spans="1:13" x14ac:dyDescent="0.25">
      <c r="A452" s="40" t="str">
        <f t="shared" si="30"/>
        <v xml:space="preserve"> </v>
      </c>
      <c r="D452" s="39"/>
      <c r="E452" s="39"/>
      <c r="J452" s="15">
        <f t="shared" si="33"/>
        <v>0</v>
      </c>
      <c r="K452" s="2" t="str">
        <f t="shared" si="34"/>
        <v xml:space="preserve"> </v>
      </c>
      <c r="L452" s="2" t="str">
        <f t="shared" si="31"/>
        <v xml:space="preserve"> </v>
      </c>
      <c r="M452" s="2" t="str">
        <f t="shared" si="32"/>
        <v xml:space="preserve"> </v>
      </c>
    </row>
    <row r="453" spans="1:13" x14ac:dyDescent="0.25">
      <c r="A453" s="40" t="str">
        <f t="shared" si="30"/>
        <v xml:space="preserve"> </v>
      </c>
      <c r="D453" s="39"/>
      <c r="E453" s="39"/>
      <c r="J453" s="15">
        <f t="shared" si="33"/>
        <v>0</v>
      </c>
      <c r="K453" s="2" t="str">
        <f t="shared" si="34"/>
        <v xml:space="preserve"> </v>
      </c>
      <c r="L453" s="2" t="str">
        <f t="shared" si="31"/>
        <v xml:space="preserve"> </v>
      </c>
      <c r="M453" s="2" t="str">
        <f t="shared" si="32"/>
        <v xml:space="preserve"> </v>
      </c>
    </row>
    <row r="454" spans="1:13" x14ac:dyDescent="0.25">
      <c r="A454" s="40" t="str">
        <f t="shared" si="30"/>
        <v xml:space="preserve"> </v>
      </c>
      <c r="D454" s="39"/>
      <c r="E454" s="39"/>
      <c r="J454" s="15">
        <f t="shared" si="33"/>
        <v>0</v>
      </c>
      <c r="K454" s="2" t="str">
        <f t="shared" si="34"/>
        <v xml:space="preserve"> </v>
      </c>
      <c r="L454" s="2" t="str">
        <f t="shared" si="31"/>
        <v xml:space="preserve"> </v>
      </c>
      <c r="M454" s="2" t="str">
        <f t="shared" si="32"/>
        <v xml:space="preserve"> </v>
      </c>
    </row>
    <row r="455" spans="1:13" x14ac:dyDescent="0.25">
      <c r="A455" s="40" t="str">
        <f t="shared" si="30"/>
        <v xml:space="preserve"> </v>
      </c>
      <c r="D455" s="39"/>
      <c r="E455" s="39"/>
      <c r="J455" s="15">
        <f t="shared" si="33"/>
        <v>0</v>
      </c>
      <c r="K455" s="2" t="str">
        <f t="shared" si="34"/>
        <v xml:space="preserve"> </v>
      </c>
      <c r="L455" s="2" t="str">
        <f t="shared" si="31"/>
        <v xml:space="preserve"> </v>
      </c>
      <c r="M455" s="2" t="str">
        <f t="shared" si="32"/>
        <v xml:space="preserve"> </v>
      </c>
    </row>
    <row r="456" spans="1:13" x14ac:dyDescent="0.25">
      <c r="A456" s="40" t="str">
        <f t="shared" si="30"/>
        <v xml:space="preserve"> </v>
      </c>
      <c r="D456" s="39"/>
      <c r="E456" s="39"/>
      <c r="J456" s="15">
        <f t="shared" si="33"/>
        <v>0</v>
      </c>
      <c r="K456" s="2" t="str">
        <f t="shared" si="34"/>
        <v xml:space="preserve"> </v>
      </c>
      <c r="L456" s="2" t="str">
        <f t="shared" si="31"/>
        <v xml:space="preserve"> </v>
      </c>
      <c r="M456" s="2" t="str">
        <f t="shared" si="32"/>
        <v xml:space="preserve"> </v>
      </c>
    </row>
    <row r="457" spans="1:13" x14ac:dyDescent="0.25">
      <c r="A457" s="40" t="str">
        <f t="shared" si="30"/>
        <v xml:space="preserve"> </v>
      </c>
      <c r="D457" s="39"/>
      <c r="E457" s="39"/>
      <c r="J457" s="15">
        <f t="shared" si="33"/>
        <v>0</v>
      </c>
      <c r="K457" s="2" t="str">
        <f t="shared" si="34"/>
        <v xml:space="preserve"> </v>
      </c>
      <c r="L457" s="2" t="str">
        <f t="shared" si="31"/>
        <v xml:space="preserve"> </v>
      </c>
      <c r="M457" s="2" t="str">
        <f t="shared" si="32"/>
        <v xml:space="preserve"> </v>
      </c>
    </row>
    <row r="458" spans="1:13" x14ac:dyDescent="0.25">
      <c r="A458" s="40" t="str">
        <f t="shared" si="30"/>
        <v xml:space="preserve"> </v>
      </c>
      <c r="D458" s="39"/>
      <c r="E458" s="39"/>
      <c r="J458" s="15">
        <f t="shared" si="33"/>
        <v>0</v>
      </c>
      <c r="K458" s="2" t="str">
        <f t="shared" si="34"/>
        <v xml:space="preserve"> </v>
      </c>
      <c r="L458" s="2" t="str">
        <f t="shared" si="31"/>
        <v xml:space="preserve"> </v>
      </c>
      <c r="M458" s="2" t="str">
        <f t="shared" si="32"/>
        <v xml:space="preserve"> </v>
      </c>
    </row>
    <row r="459" spans="1:13" x14ac:dyDescent="0.25">
      <c r="A459" s="40" t="str">
        <f t="shared" si="30"/>
        <v xml:space="preserve"> </v>
      </c>
      <c r="D459" s="39"/>
      <c r="E459" s="39"/>
      <c r="J459" s="15">
        <f t="shared" si="33"/>
        <v>0</v>
      </c>
      <c r="K459" s="2" t="str">
        <f t="shared" si="34"/>
        <v xml:space="preserve"> </v>
      </c>
      <c r="L459" s="2" t="str">
        <f t="shared" si="31"/>
        <v xml:space="preserve"> </v>
      </c>
      <c r="M459" s="2" t="str">
        <f t="shared" si="32"/>
        <v xml:space="preserve"> </v>
      </c>
    </row>
    <row r="460" spans="1:13" x14ac:dyDescent="0.25">
      <c r="A460" s="40" t="str">
        <f t="shared" si="30"/>
        <v xml:space="preserve"> </v>
      </c>
      <c r="D460" s="39"/>
      <c r="E460" s="39"/>
      <c r="J460" s="15">
        <f t="shared" si="33"/>
        <v>0</v>
      </c>
      <c r="K460" s="2" t="str">
        <f t="shared" si="34"/>
        <v xml:space="preserve"> </v>
      </c>
      <c r="L460" s="2" t="str">
        <f t="shared" si="31"/>
        <v xml:space="preserve"> </v>
      </c>
      <c r="M460" s="2" t="str">
        <f t="shared" si="32"/>
        <v xml:space="preserve"> </v>
      </c>
    </row>
    <row r="461" spans="1:13" x14ac:dyDescent="0.25">
      <c r="A461" s="40" t="str">
        <f t="shared" si="30"/>
        <v xml:space="preserve"> </v>
      </c>
      <c r="D461" s="39"/>
      <c r="E461" s="39"/>
      <c r="J461" s="15">
        <f t="shared" si="33"/>
        <v>0</v>
      </c>
      <c r="K461" s="2" t="str">
        <f t="shared" si="34"/>
        <v xml:space="preserve"> </v>
      </c>
      <c r="L461" s="2" t="str">
        <f t="shared" si="31"/>
        <v xml:space="preserve"> </v>
      </c>
      <c r="M461" s="2" t="str">
        <f t="shared" si="32"/>
        <v xml:space="preserve"> </v>
      </c>
    </row>
    <row r="462" spans="1:13" x14ac:dyDescent="0.25">
      <c r="A462" s="40" t="str">
        <f t="shared" si="30"/>
        <v xml:space="preserve"> </v>
      </c>
      <c r="D462" s="39"/>
      <c r="E462" s="39"/>
      <c r="J462" s="15">
        <f t="shared" si="33"/>
        <v>0</v>
      </c>
      <c r="K462" s="2" t="str">
        <f t="shared" si="34"/>
        <v xml:space="preserve"> </v>
      </c>
      <c r="L462" s="2" t="str">
        <f t="shared" si="31"/>
        <v xml:space="preserve"> </v>
      </c>
      <c r="M462" s="2" t="str">
        <f t="shared" si="32"/>
        <v xml:space="preserve"> </v>
      </c>
    </row>
    <row r="463" spans="1:13" x14ac:dyDescent="0.25">
      <c r="A463" s="40" t="str">
        <f t="shared" ref="A463:A482" si="35">IF(COUNTIF(K463:M463,"ERROR")&gt;0,"ERROR"," ")</f>
        <v xml:space="preserve"> </v>
      </c>
      <c r="D463" s="39"/>
      <c r="E463" s="39"/>
      <c r="J463" s="15">
        <f t="shared" si="33"/>
        <v>0</v>
      </c>
      <c r="K463" s="2" t="str">
        <f t="shared" si="34"/>
        <v xml:space="preserve"> </v>
      </c>
      <c r="L463" s="2" t="str">
        <f t="shared" ref="L463:L482" si="36">IF(D463=0," ",IF(COUNTIF(ProfitLoss3,D463)&gt;0," ","ERROR"))</f>
        <v xml:space="preserve"> </v>
      </c>
      <c r="M463" s="2" t="str">
        <f t="shared" ref="M463:M482" si="37">IF(E463=0," ",IF(COUNTIF(BalanceSheet3,E463)&gt;0," ","ERROR"))</f>
        <v xml:space="preserve"> </v>
      </c>
    </row>
    <row r="464" spans="1:13" x14ac:dyDescent="0.25">
      <c r="A464" s="40" t="str">
        <f t="shared" si="35"/>
        <v xml:space="preserve"> </v>
      </c>
      <c r="D464" s="39"/>
      <c r="E464" s="39"/>
      <c r="J464" s="15">
        <f t="shared" ref="J464:J482" si="38">F464-G464+H464-I464</f>
        <v>0</v>
      </c>
      <c r="K464" s="2" t="str">
        <f t="shared" ref="K464:K482" si="39">IF(COUNTA(D464:E464)=2,"ERROR"," ")</f>
        <v xml:space="preserve"> </v>
      </c>
      <c r="L464" s="2" t="str">
        <f t="shared" si="36"/>
        <v xml:space="preserve"> </v>
      </c>
      <c r="M464" s="2" t="str">
        <f t="shared" si="37"/>
        <v xml:space="preserve"> </v>
      </c>
    </row>
    <row r="465" spans="1:13" x14ac:dyDescent="0.25">
      <c r="A465" s="40" t="str">
        <f t="shared" si="35"/>
        <v xml:space="preserve"> </v>
      </c>
      <c r="D465" s="39"/>
      <c r="E465" s="39"/>
      <c r="J465" s="15">
        <f t="shared" si="38"/>
        <v>0</v>
      </c>
      <c r="K465" s="2" t="str">
        <f t="shared" si="39"/>
        <v xml:space="preserve"> </v>
      </c>
      <c r="L465" s="2" t="str">
        <f t="shared" si="36"/>
        <v xml:space="preserve"> </v>
      </c>
      <c r="M465" s="2" t="str">
        <f t="shared" si="37"/>
        <v xml:space="preserve"> </v>
      </c>
    </row>
    <row r="466" spans="1:13" x14ac:dyDescent="0.25">
      <c r="A466" s="40" t="str">
        <f t="shared" si="35"/>
        <v xml:space="preserve"> </v>
      </c>
      <c r="D466" s="39"/>
      <c r="E466" s="39"/>
      <c r="J466" s="15">
        <f t="shared" si="38"/>
        <v>0</v>
      </c>
      <c r="K466" s="2" t="str">
        <f t="shared" si="39"/>
        <v xml:space="preserve"> </v>
      </c>
      <c r="L466" s="2" t="str">
        <f t="shared" si="36"/>
        <v xml:space="preserve"> </v>
      </c>
      <c r="M466" s="2" t="str">
        <f t="shared" si="37"/>
        <v xml:space="preserve"> </v>
      </c>
    </row>
    <row r="467" spans="1:13" x14ac:dyDescent="0.25">
      <c r="A467" s="40" t="str">
        <f t="shared" si="35"/>
        <v xml:space="preserve"> </v>
      </c>
      <c r="D467" s="39"/>
      <c r="E467" s="39"/>
      <c r="J467" s="15">
        <f t="shared" si="38"/>
        <v>0</v>
      </c>
      <c r="K467" s="2" t="str">
        <f t="shared" si="39"/>
        <v xml:space="preserve"> </v>
      </c>
      <c r="L467" s="2" t="str">
        <f t="shared" si="36"/>
        <v xml:space="preserve"> </v>
      </c>
      <c r="M467" s="2" t="str">
        <f t="shared" si="37"/>
        <v xml:space="preserve"> </v>
      </c>
    </row>
    <row r="468" spans="1:13" x14ac:dyDescent="0.25">
      <c r="A468" s="40" t="str">
        <f t="shared" si="35"/>
        <v xml:space="preserve"> </v>
      </c>
      <c r="D468" s="39"/>
      <c r="E468" s="39"/>
      <c r="J468" s="15">
        <f t="shared" si="38"/>
        <v>0</v>
      </c>
      <c r="K468" s="2" t="str">
        <f t="shared" si="39"/>
        <v xml:space="preserve"> </v>
      </c>
      <c r="L468" s="2" t="str">
        <f t="shared" si="36"/>
        <v xml:space="preserve"> </v>
      </c>
      <c r="M468" s="2" t="str">
        <f t="shared" si="37"/>
        <v xml:space="preserve"> </v>
      </c>
    </row>
    <row r="469" spans="1:13" x14ac:dyDescent="0.25">
      <c r="A469" s="40" t="str">
        <f t="shared" si="35"/>
        <v xml:space="preserve"> </v>
      </c>
      <c r="D469" s="39"/>
      <c r="E469" s="39"/>
      <c r="J469" s="15">
        <f t="shared" si="38"/>
        <v>0</v>
      </c>
      <c r="K469" s="2" t="str">
        <f t="shared" si="39"/>
        <v xml:space="preserve"> </v>
      </c>
      <c r="L469" s="2" t="str">
        <f t="shared" si="36"/>
        <v xml:space="preserve"> </v>
      </c>
      <c r="M469" s="2" t="str">
        <f t="shared" si="37"/>
        <v xml:space="preserve"> </v>
      </c>
    </row>
    <row r="470" spans="1:13" x14ac:dyDescent="0.25">
      <c r="A470" s="40" t="str">
        <f t="shared" si="35"/>
        <v xml:space="preserve"> </v>
      </c>
      <c r="D470" s="39"/>
      <c r="E470" s="39"/>
      <c r="J470" s="15">
        <f t="shared" si="38"/>
        <v>0</v>
      </c>
      <c r="K470" s="2" t="str">
        <f t="shared" si="39"/>
        <v xml:space="preserve"> </v>
      </c>
      <c r="L470" s="2" t="str">
        <f t="shared" si="36"/>
        <v xml:space="preserve"> </v>
      </c>
      <c r="M470" s="2" t="str">
        <f t="shared" si="37"/>
        <v xml:space="preserve"> </v>
      </c>
    </row>
    <row r="471" spans="1:13" x14ac:dyDescent="0.25">
      <c r="A471" s="40" t="str">
        <f t="shared" si="35"/>
        <v xml:space="preserve"> </v>
      </c>
      <c r="D471" s="39"/>
      <c r="E471" s="39"/>
      <c r="J471" s="15">
        <f t="shared" si="38"/>
        <v>0</v>
      </c>
      <c r="K471" s="2" t="str">
        <f t="shared" si="39"/>
        <v xml:space="preserve"> </v>
      </c>
      <c r="L471" s="2" t="str">
        <f t="shared" si="36"/>
        <v xml:space="preserve"> </v>
      </c>
      <c r="M471" s="2" t="str">
        <f t="shared" si="37"/>
        <v xml:space="preserve"> </v>
      </c>
    </row>
    <row r="472" spans="1:13" x14ac:dyDescent="0.25">
      <c r="A472" s="40" t="str">
        <f t="shared" si="35"/>
        <v xml:space="preserve"> </v>
      </c>
      <c r="D472" s="39"/>
      <c r="E472" s="39"/>
      <c r="J472" s="15">
        <f t="shared" si="38"/>
        <v>0</v>
      </c>
      <c r="K472" s="2" t="str">
        <f t="shared" si="39"/>
        <v xml:space="preserve"> </v>
      </c>
      <c r="L472" s="2" t="str">
        <f t="shared" si="36"/>
        <v xml:space="preserve"> </v>
      </c>
      <c r="M472" s="2" t="str">
        <f t="shared" si="37"/>
        <v xml:space="preserve"> </v>
      </c>
    </row>
    <row r="473" spans="1:13" x14ac:dyDescent="0.25">
      <c r="A473" s="40" t="str">
        <f t="shared" si="35"/>
        <v xml:space="preserve"> </v>
      </c>
      <c r="D473" s="39"/>
      <c r="E473" s="39"/>
      <c r="J473" s="15">
        <f t="shared" si="38"/>
        <v>0</v>
      </c>
      <c r="K473" s="2" t="str">
        <f t="shared" si="39"/>
        <v xml:space="preserve"> </v>
      </c>
      <c r="L473" s="2" t="str">
        <f t="shared" si="36"/>
        <v xml:space="preserve"> </v>
      </c>
      <c r="M473" s="2" t="str">
        <f t="shared" si="37"/>
        <v xml:space="preserve"> </v>
      </c>
    </row>
    <row r="474" spans="1:13" x14ac:dyDescent="0.25">
      <c r="A474" s="40" t="str">
        <f t="shared" si="35"/>
        <v xml:space="preserve"> </v>
      </c>
      <c r="D474" s="39"/>
      <c r="E474" s="39"/>
      <c r="J474" s="15">
        <f t="shared" si="38"/>
        <v>0</v>
      </c>
      <c r="K474" s="2" t="str">
        <f t="shared" si="39"/>
        <v xml:space="preserve"> </v>
      </c>
      <c r="L474" s="2" t="str">
        <f t="shared" si="36"/>
        <v xml:space="preserve"> </v>
      </c>
      <c r="M474" s="2" t="str">
        <f t="shared" si="37"/>
        <v xml:space="preserve"> </v>
      </c>
    </row>
    <row r="475" spans="1:13" x14ac:dyDescent="0.25">
      <c r="A475" s="40" t="str">
        <f t="shared" si="35"/>
        <v xml:space="preserve"> </v>
      </c>
      <c r="D475" s="39"/>
      <c r="E475" s="39"/>
      <c r="J475" s="15">
        <f t="shared" si="38"/>
        <v>0</v>
      </c>
      <c r="K475" s="2" t="str">
        <f t="shared" si="39"/>
        <v xml:space="preserve"> </v>
      </c>
      <c r="L475" s="2" t="str">
        <f t="shared" si="36"/>
        <v xml:space="preserve"> </v>
      </c>
      <c r="M475" s="2" t="str">
        <f t="shared" si="37"/>
        <v xml:space="preserve"> </v>
      </c>
    </row>
    <row r="476" spans="1:13" x14ac:dyDescent="0.25">
      <c r="A476" s="40" t="str">
        <f t="shared" si="35"/>
        <v xml:space="preserve"> </v>
      </c>
      <c r="D476" s="39"/>
      <c r="E476" s="39"/>
      <c r="J476" s="15">
        <f t="shared" si="38"/>
        <v>0</v>
      </c>
      <c r="K476" s="2" t="str">
        <f t="shared" si="39"/>
        <v xml:space="preserve"> </v>
      </c>
      <c r="L476" s="2" t="str">
        <f t="shared" si="36"/>
        <v xml:space="preserve"> </v>
      </c>
      <c r="M476" s="2" t="str">
        <f t="shared" si="37"/>
        <v xml:space="preserve"> </v>
      </c>
    </row>
    <row r="477" spans="1:13" x14ac:dyDescent="0.25">
      <c r="A477" s="40" t="str">
        <f t="shared" si="35"/>
        <v xml:space="preserve"> </v>
      </c>
      <c r="D477" s="39"/>
      <c r="E477" s="39"/>
      <c r="J477" s="15">
        <f t="shared" si="38"/>
        <v>0</v>
      </c>
      <c r="K477" s="2" t="str">
        <f t="shared" si="39"/>
        <v xml:space="preserve"> </v>
      </c>
      <c r="L477" s="2" t="str">
        <f t="shared" si="36"/>
        <v xml:space="preserve"> </v>
      </c>
      <c r="M477" s="2" t="str">
        <f t="shared" si="37"/>
        <v xml:space="preserve"> </v>
      </c>
    </row>
    <row r="478" spans="1:13" x14ac:dyDescent="0.25">
      <c r="A478" s="40" t="str">
        <f t="shared" si="35"/>
        <v xml:space="preserve"> </v>
      </c>
      <c r="D478" s="39"/>
      <c r="E478" s="39"/>
      <c r="J478" s="15">
        <f t="shared" si="38"/>
        <v>0</v>
      </c>
      <c r="K478" s="2" t="str">
        <f t="shared" si="39"/>
        <v xml:space="preserve"> </v>
      </c>
      <c r="L478" s="2" t="str">
        <f t="shared" si="36"/>
        <v xml:space="preserve"> </v>
      </c>
      <c r="M478" s="2" t="str">
        <f t="shared" si="37"/>
        <v xml:space="preserve"> </v>
      </c>
    </row>
    <row r="479" spans="1:13" x14ac:dyDescent="0.25">
      <c r="A479" s="40" t="str">
        <f t="shared" si="35"/>
        <v xml:space="preserve"> </v>
      </c>
      <c r="D479" s="39"/>
      <c r="E479" s="39"/>
      <c r="J479" s="15">
        <f t="shared" si="38"/>
        <v>0</v>
      </c>
      <c r="K479" s="2" t="str">
        <f t="shared" si="39"/>
        <v xml:space="preserve"> </v>
      </c>
      <c r="L479" s="2" t="str">
        <f t="shared" si="36"/>
        <v xml:space="preserve"> </v>
      </c>
      <c r="M479" s="2" t="str">
        <f t="shared" si="37"/>
        <v xml:space="preserve"> </v>
      </c>
    </row>
    <row r="480" spans="1:13" x14ac:dyDescent="0.25">
      <c r="A480" s="40" t="str">
        <f t="shared" si="35"/>
        <v xml:space="preserve"> </v>
      </c>
      <c r="D480" s="39"/>
      <c r="E480" s="39"/>
      <c r="J480" s="15">
        <f t="shared" si="38"/>
        <v>0</v>
      </c>
      <c r="K480" s="2" t="str">
        <f t="shared" si="39"/>
        <v xml:space="preserve"> </v>
      </c>
      <c r="L480" s="2" t="str">
        <f t="shared" si="36"/>
        <v xml:space="preserve"> </v>
      </c>
      <c r="M480" s="2" t="str">
        <f t="shared" si="37"/>
        <v xml:space="preserve"> </v>
      </c>
    </row>
    <row r="481" spans="1:13" x14ac:dyDescent="0.25">
      <c r="A481" s="40" t="str">
        <f t="shared" si="35"/>
        <v xml:space="preserve"> </v>
      </c>
      <c r="D481" s="39"/>
      <c r="E481" s="39"/>
      <c r="J481" s="15">
        <f t="shared" si="38"/>
        <v>0</v>
      </c>
      <c r="K481" s="2" t="str">
        <f t="shared" si="39"/>
        <v xml:space="preserve"> </v>
      </c>
      <c r="L481" s="2" t="str">
        <f t="shared" si="36"/>
        <v xml:space="preserve"> </v>
      </c>
      <c r="M481" s="2" t="str">
        <f t="shared" si="37"/>
        <v xml:space="preserve"> </v>
      </c>
    </row>
    <row r="482" spans="1:13" x14ac:dyDescent="0.25">
      <c r="A482" s="40" t="str">
        <f t="shared" si="35"/>
        <v xml:space="preserve"> </v>
      </c>
      <c r="D482" s="39"/>
      <c r="E482" s="39"/>
      <c r="J482" s="15">
        <f t="shared" si="38"/>
        <v>0</v>
      </c>
      <c r="K482" s="2" t="str">
        <f t="shared" si="39"/>
        <v xml:space="preserve"> </v>
      </c>
      <c r="L482" s="2" t="str">
        <f t="shared" si="36"/>
        <v xml:space="preserve"> </v>
      </c>
      <c r="M482" s="2" t="str">
        <f t="shared" si="37"/>
        <v xml:space="preserve"> </v>
      </c>
    </row>
    <row r="483" spans="1:13" x14ac:dyDescent="0.25">
      <c r="A483" s="40"/>
    </row>
    <row r="484" spans="1:13" ht="16.5" thickBot="1" x14ac:dyDescent="0.3">
      <c r="A484" s="40"/>
      <c r="F484" s="17">
        <f>SUM(F14:F483)</f>
        <v>0</v>
      </c>
      <c r="G484" s="17">
        <f>SUM(G14:G483)</f>
        <v>0</v>
      </c>
      <c r="H484" s="17">
        <f>SUM(H14:H483)</f>
        <v>0</v>
      </c>
      <c r="I484" s="17">
        <f>SUM(I14:I483)</f>
        <v>0</v>
      </c>
    </row>
    <row r="485" spans="1:13" ht="16.5" thickTop="1" x14ac:dyDescent="0.25">
      <c r="A485" s="40"/>
    </row>
    <row r="486" spans="1:13" x14ac:dyDescent="0.25">
      <c r="A486" s="40"/>
      <c r="C486" s="2" t="s">
        <v>296</v>
      </c>
      <c r="F486" s="4">
        <f>G484-F484</f>
        <v>0</v>
      </c>
    </row>
  </sheetData>
  <sheetProtection formatCells="0" formatColumns="0" formatRows="0" insertHyperlinks="0" deleteColumns="0" deleteRows="0" sort="0" autoFilter="0" pivotTables="0"/>
  <mergeCells count="4">
    <mergeCell ref="F11:G11"/>
    <mergeCell ref="H11:I11"/>
    <mergeCell ref="F12:G12"/>
    <mergeCell ref="H12:I12"/>
  </mergeCells>
  <dataValidations count="2">
    <dataValidation type="list" showInputMessage="1" showErrorMessage="1" sqref="D15:D482" xr:uid="{D913EFBA-5E9C-4892-9088-017450859EE6}">
      <formula1>ProfitLoss3</formula1>
    </dataValidation>
    <dataValidation type="list" showInputMessage="1" showErrorMessage="1" sqref="E15:E482" xr:uid="{155D97F6-0FC9-48A1-9CBF-07C0586A28D4}">
      <formula1>BalanceSheet3</formula1>
    </dataValidation>
  </dataValidations>
  <pageMargins left="0.75" right="0.75" top="1" bottom="1" header="0.5" footer="0.5"/>
  <pageSetup paperSize="9" scale="46" orientation="portrait" r:id="rId1"/>
  <headerFooter alignWithMargins="0"/>
  <colBreaks count="1" manualBreakCount="1">
    <brk id="10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8B0466-4F88-4834-8C9B-3410FFCA8EE2}">
  <dimension ref="A1:Q428"/>
  <sheetViews>
    <sheetView zoomScale="89" zoomScaleNormal="89" workbookViewId="0">
      <pane ySplit="3" topLeftCell="A4" activePane="bottomLeft" state="frozen"/>
      <selection pane="bottomLeft" activeCell="C1" sqref="C1"/>
    </sheetView>
  </sheetViews>
  <sheetFormatPr defaultRowHeight="12.75" x14ac:dyDescent="0.2"/>
  <cols>
    <col min="1" max="1" width="17.7109375" style="12" customWidth="1"/>
    <col min="3" max="3" width="46.42578125" style="13" bestFit="1" customWidth="1"/>
    <col min="4" max="5" width="15.42578125" style="14" bestFit="1" customWidth="1"/>
    <col min="6" max="6" width="15.42578125" style="14" customWidth="1"/>
    <col min="7" max="7" width="13.7109375" style="14" customWidth="1"/>
    <col min="8" max="8" width="15.85546875" style="14" bestFit="1" customWidth="1"/>
    <col min="9" max="9" width="16" style="82" customWidth="1"/>
    <col min="10" max="10" width="3.85546875" style="82" customWidth="1"/>
    <col min="11" max="11" width="16.140625" bestFit="1" customWidth="1"/>
    <col min="12" max="12" width="4.140625" customWidth="1"/>
    <col min="13" max="13" width="8.85546875" customWidth="1"/>
    <col min="14" max="14" width="15.85546875" style="48" bestFit="1" customWidth="1"/>
    <col min="15" max="15" width="15.85546875" bestFit="1" customWidth="1"/>
    <col min="16" max="16" width="13.140625" bestFit="1" customWidth="1"/>
    <col min="17" max="17" width="13.85546875" bestFit="1" customWidth="1"/>
  </cols>
  <sheetData>
    <row r="1" spans="1:17" x14ac:dyDescent="0.2">
      <c r="A1" s="333"/>
      <c r="B1" s="334"/>
      <c r="C1" s="349">
        <f>Criteria!E16</f>
        <v>0</v>
      </c>
      <c r="D1" s="350"/>
      <c r="E1" s="350"/>
      <c r="F1" s="335"/>
      <c r="G1" s="336" t="s">
        <v>176</v>
      </c>
      <c r="H1" s="336"/>
      <c r="I1" s="337">
        <f>Criteria!E22</f>
        <v>2024</v>
      </c>
      <c r="J1" s="337"/>
      <c r="K1" s="337">
        <f>Criteria!E27</f>
        <v>2023</v>
      </c>
      <c r="L1" s="334"/>
      <c r="M1" s="334"/>
      <c r="N1" s="337">
        <f>Criteria!E22</f>
        <v>2024</v>
      </c>
      <c r="O1" s="337">
        <f>Criteria!E27</f>
        <v>2023</v>
      </c>
    </row>
    <row r="2" spans="1:17" x14ac:dyDescent="0.2">
      <c r="A2" s="338" t="s">
        <v>1055</v>
      </c>
      <c r="B2" s="334"/>
      <c r="C2" s="334"/>
      <c r="D2" s="518">
        <f>D400-E400</f>
        <v>0</v>
      </c>
      <c r="E2" s="518"/>
      <c r="F2" s="340" t="s">
        <v>450</v>
      </c>
      <c r="G2" s="335">
        <f>G400</f>
        <v>0</v>
      </c>
      <c r="H2" s="335">
        <f>D2-E2</f>
        <v>0</v>
      </c>
      <c r="I2" s="343">
        <f>I400</f>
        <v>0</v>
      </c>
      <c r="J2" s="343"/>
      <c r="K2" s="344">
        <f>K400</f>
        <v>0</v>
      </c>
      <c r="L2" s="334"/>
      <c r="M2" s="334"/>
      <c r="N2" s="321" t="s">
        <v>347</v>
      </c>
      <c r="O2" s="321" t="s">
        <v>347</v>
      </c>
    </row>
    <row r="3" spans="1:17" x14ac:dyDescent="0.2">
      <c r="A3" s="338" t="s">
        <v>596</v>
      </c>
      <c r="B3" s="351" t="s">
        <v>232</v>
      </c>
      <c r="C3" s="345" t="s">
        <v>233</v>
      </c>
      <c r="D3" s="338" t="s">
        <v>234</v>
      </c>
      <c r="E3" s="338" t="s">
        <v>235</v>
      </c>
      <c r="F3" s="346" t="s">
        <v>144</v>
      </c>
      <c r="G3" s="333"/>
      <c r="H3" s="333"/>
      <c r="I3" s="348"/>
      <c r="J3" s="348"/>
      <c r="K3" s="334"/>
      <c r="L3" s="334"/>
      <c r="M3" s="334"/>
      <c r="N3" s="344">
        <f>SUM(I6:I175)</f>
        <v>0</v>
      </c>
      <c r="O3" s="344">
        <f>SUM(K6:K175)</f>
        <v>0</v>
      </c>
    </row>
    <row r="4" spans="1:17" x14ac:dyDescent="0.2">
      <c r="A4" s="161"/>
      <c r="B4" s="164"/>
      <c r="C4" s="61" t="s">
        <v>948</v>
      </c>
      <c r="D4" s="161"/>
      <c r="E4" s="161"/>
      <c r="F4" s="83"/>
      <c r="G4" s="11"/>
      <c r="H4" s="11"/>
      <c r="I4" s="65"/>
      <c r="J4" s="65"/>
      <c r="N4" s="49"/>
    </row>
    <row r="5" spans="1:17" x14ac:dyDescent="0.2">
      <c r="A5" s="160"/>
      <c r="B5" s="60" t="s">
        <v>236</v>
      </c>
      <c r="C5" s="316" t="s">
        <v>237</v>
      </c>
      <c r="D5" s="90"/>
      <c r="E5" s="57"/>
      <c r="F5" s="57"/>
      <c r="G5" s="44"/>
      <c r="H5" s="44"/>
      <c r="I5" s="65"/>
      <c r="J5" s="65"/>
      <c r="K5" s="52" t="s">
        <v>233</v>
      </c>
      <c r="N5" s="49"/>
    </row>
    <row r="6" spans="1:17" x14ac:dyDescent="0.2">
      <c r="A6" s="315"/>
      <c r="B6" s="10" t="s">
        <v>238</v>
      </c>
      <c r="C6" s="319" t="s">
        <v>164</v>
      </c>
      <c r="D6" s="359"/>
      <c r="E6" s="356"/>
      <c r="F6" s="86"/>
      <c r="G6" s="53">
        <f>SUMIF(JournalsC!D$14:D$920,TrialBalanceC!M6,JournalsC!J$14:J$920)+SUMIF(JournalsC!E$14:E$920,TrialBalanceC!M6,JournalsC!J$14:J$920)</f>
        <v>0</v>
      </c>
      <c r="H6" s="363"/>
      <c r="I6" s="366">
        <f t="shared" ref="I6:I69" si="0">ROUND(D6-E6+G6+F6,0)</f>
        <v>0</v>
      </c>
      <c r="J6" s="81"/>
      <c r="K6" s="54">
        <f t="shared" ref="K6:K69" si="1">ROUND(SUM(A6),0)</f>
        <v>0</v>
      </c>
      <c r="M6" s="192" t="str">
        <f t="shared" ref="M6:M69" si="2">CONCATENATE(B6,C6)</f>
        <v>1000/001Sales</v>
      </c>
      <c r="N6" s="76"/>
      <c r="O6" s="77"/>
      <c r="P6" s="57"/>
      <c r="Q6" s="31"/>
    </row>
    <row r="7" spans="1:17" x14ac:dyDescent="0.2">
      <c r="A7" s="315"/>
      <c r="B7" s="60" t="s">
        <v>239</v>
      </c>
      <c r="C7" s="317" t="s">
        <v>240</v>
      </c>
      <c r="D7" s="357"/>
      <c r="E7" s="356"/>
      <c r="F7" s="86"/>
      <c r="G7" s="53">
        <f>SUMIF(JournalsC!D$14:D$920,TrialBalanceC!M7,JournalsC!J$14:J$920)+SUMIF(JournalsC!E$14:E$920,TrialBalanceC!M7,JournalsC!J$14:J$920)</f>
        <v>0</v>
      </c>
      <c r="H7" s="363"/>
      <c r="I7" s="366">
        <f t="shared" si="0"/>
        <v>0</v>
      </c>
      <c r="J7" s="81"/>
      <c r="K7" s="54">
        <f t="shared" si="1"/>
        <v>0</v>
      </c>
      <c r="M7" s="192" t="str">
        <f t="shared" si="2"/>
        <v>1000/002Sales 2</v>
      </c>
      <c r="N7" s="76"/>
      <c r="O7" s="77"/>
      <c r="P7" s="57"/>
      <c r="Q7" s="31"/>
    </row>
    <row r="8" spans="1:17" x14ac:dyDescent="0.2">
      <c r="A8" s="315"/>
      <c r="B8" s="60" t="s">
        <v>241</v>
      </c>
      <c r="C8" s="318" t="s">
        <v>365</v>
      </c>
      <c r="D8" s="356"/>
      <c r="E8" s="356"/>
      <c r="F8" s="86"/>
      <c r="G8" s="53">
        <f>SUMIF(JournalsC!D$14:D$920,TrialBalanceC!M8,JournalsC!J$14:J$920)+SUMIF(JournalsC!E$14:E$920,TrialBalanceC!M8,JournalsC!J$14:J$920)</f>
        <v>0</v>
      </c>
      <c r="H8" s="363"/>
      <c r="I8" s="366">
        <f t="shared" si="0"/>
        <v>0</v>
      </c>
      <c r="J8" s="81"/>
      <c r="K8" s="54">
        <f t="shared" si="1"/>
        <v>0</v>
      </c>
      <c r="M8" s="192" t="str">
        <f t="shared" si="2"/>
        <v>1000/003Rent received</v>
      </c>
      <c r="N8" s="76"/>
      <c r="O8" s="77"/>
      <c r="P8" s="57"/>
      <c r="Q8" s="31"/>
    </row>
    <row r="9" spans="1:17" x14ac:dyDescent="0.2">
      <c r="A9" s="315"/>
      <c r="B9" s="60" t="s">
        <v>242</v>
      </c>
      <c r="C9" s="316" t="s">
        <v>121</v>
      </c>
      <c r="D9" s="358"/>
      <c r="E9" s="356"/>
      <c r="F9" s="86"/>
      <c r="G9" s="53">
        <f>SUMIF(JournalsC!D$14:D$920,TrialBalanceC!M9,JournalsC!J$14:J$920)+SUMIF(JournalsC!E$14:E$920,TrialBalanceC!M9,JournalsC!J$14:J$920)</f>
        <v>0</v>
      </c>
      <c r="H9" s="363"/>
      <c r="I9" s="366">
        <f t="shared" si="0"/>
        <v>0</v>
      </c>
      <c r="J9" s="81"/>
      <c r="K9" s="54">
        <f t="shared" si="1"/>
        <v>0</v>
      </c>
      <c r="M9" s="192" t="str">
        <f t="shared" si="2"/>
        <v>2000/000COST OF SALES</v>
      </c>
      <c r="N9" s="76"/>
      <c r="O9" s="77"/>
      <c r="P9" s="57"/>
      <c r="Q9" s="31"/>
    </row>
    <row r="10" spans="1:17" x14ac:dyDescent="0.2">
      <c r="A10" s="315"/>
      <c r="B10" s="60" t="s">
        <v>243</v>
      </c>
      <c r="C10" s="319" t="s">
        <v>629</v>
      </c>
      <c r="D10" s="359"/>
      <c r="E10" s="356"/>
      <c r="F10" s="86"/>
      <c r="G10" s="53">
        <f>SUMIF(JournalsC!D$14:D$920,TrialBalanceC!M10,JournalsC!J$14:J$920)+SUMIF(JournalsC!E$14:E$920,TrialBalanceC!M10,JournalsC!J$14:J$920)</f>
        <v>0</v>
      </c>
      <c r="H10" s="363"/>
      <c r="I10" s="366">
        <f t="shared" si="0"/>
        <v>0</v>
      </c>
      <c r="J10" s="81"/>
      <c r="K10" s="54">
        <f t="shared" si="1"/>
        <v>0</v>
      </c>
      <c r="M10" s="192" t="str">
        <f t="shared" si="2"/>
        <v>2000/001Opening stock - Raw materials</v>
      </c>
      <c r="N10" s="76"/>
      <c r="O10" s="77"/>
      <c r="P10" s="57"/>
      <c r="Q10" s="31"/>
    </row>
    <row r="11" spans="1:17" x14ac:dyDescent="0.2">
      <c r="A11" s="315"/>
      <c r="B11" s="60" t="s">
        <v>393</v>
      </c>
      <c r="C11" s="317" t="s">
        <v>394</v>
      </c>
      <c r="D11" s="357"/>
      <c r="E11" s="356"/>
      <c r="F11" s="86"/>
      <c r="G11" s="53">
        <f>SUMIF(JournalsC!D$14:D$920,TrialBalanceC!M11,JournalsC!J$14:J$920)+SUMIF(JournalsC!E$14:E$920,TrialBalanceC!M11,JournalsC!J$14:J$920)</f>
        <v>0</v>
      </c>
      <c r="H11" s="363"/>
      <c r="I11" s="366">
        <f t="shared" si="0"/>
        <v>0</v>
      </c>
      <c r="J11" s="81"/>
      <c r="K11" s="54">
        <f t="shared" si="1"/>
        <v>0</v>
      </c>
      <c r="M11" s="192" t="str">
        <f t="shared" si="2"/>
        <v>2000/002Opening stock - WIP</v>
      </c>
      <c r="N11" s="76"/>
      <c r="O11" s="77"/>
      <c r="P11" s="57"/>
      <c r="Q11" s="31"/>
    </row>
    <row r="12" spans="1:17" x14ac:dyDescent="0.2">
      <c r="A12" s="315"/>
      <c r="B12" s="60" t="s">
        <v>395</v>
      </c>
      <c r="C12" s="317" t="s">
        <v>396</v>
      </c>
      <c r="D12" s="357"/>
      <c r="E12" s="356"/>
      <c r="F12" s="86"/>
      <c r="G12" s="53">
        <f>SUMIF(JournalsC!D$14:D$920,TrialBalanceC!M12,JournalsC!J$14:J$920)+SUMIF(JournalsC!E$14:E$920,TrialBalanceC!M12,JournalsC!J$14:J$920)</f>
        <v>0</v>
      </c>
      <c r="H12" s="363"/>
      <c r="I12" s="366">
        <f t="shared" si="0"/>
        <v>0</v>
      </c>
      <c r="J12" s="81"/>
      <c r="K12" s="54">
        <f t="shared" si="1"/>
        <v>0</v>
      </c>
      <c r="M12" s="192" t="str">
        <f t="shared" si="2"/>
        <v>2000/003Opening stock - Finished goods</v>
      </c>
      <c r="N12" s="76"/>
      <c r="O12" s="77"/>
      <c r="P12" s="57"/>
      <c r="Q12" s="31"/>
    </row>
    <row r="13" spans="1:17" x14ac:dyDescent="0.2">
      <c r="A13" s="315"/>
      <c r="B13" s="60" t="s">
        <v>397</v>
      </c>
      <c r="C13" s="317" t="s">
        <v>398</v>
      </c>
      <c r="D13" s="357"/>
      <c r="E13" s="356"/>
      <c r="F13" s="86"/>
      <c r="G13" s="53">
        <f>SUMIF(JournalsC!D$14:D$920,TrialBalanceC!M13,JournalsC!J$14:J$920)+SUMIF(JournalsC!E$14:E$920,TrialBalanceC!M13,JournalsC!J$14:J$920)</f>
        <v>0</v>
      </c>
      <c r="H13" s="363"/>
      <c r="I13" s="366">
        <f t="shared" si="0"/>
        <v>0</v>
      </c>
      <c r="J13" s="81"/>
      <c r="K13" s="54">
        <f t="shared" si="1"/>
        <v>0</v>
      </c>
      <c r="M13" s="192" t="str">
        <f t="shared" si="2"/>
        <v>2000/004Opening stock - Trading stock</v>
      </c>
      <c r="N13" s="76"/>
      <c r="O13" s="77"/>
      <c r="P13" s="57"/>
      <c r="Q13" s="31"/>
    </row>
    <row r="14" spans="1:17" x14ac:dyDescent="0.2">
      <c r="A14" s="315"/>
      <c r="B14" s="10" t="s">
        <v>399</v>
      </c>
      <c r="C14" s="317" t="s">
        <v>276</v>
      </c>
      <c r="D14" s="357"/>
      <c r="E14" s="356"/>
      <c r="F14" s="86"/>
      <c r="G14" s="53">
        <f>SUMIF(JournalsC!D$14:D$920,TrialBalanceC!M14,JournalsC!J$14:J$920)+SUMIF(JournalsC!E$14:E$920,TrialBalanceC!M14,JournalsC!J$14:J$920)</f>
        <v>0</v>
      </c>
      <c r="H14" s="363"/>
      <c r="I14" s="366">
        <f t="shared" si="0"/>
        <v>0</v>
      </c>
      <c r="J14" s="81"/>
      <c r="K14" s="54">
        <f t="shared" si="1"/>
        <v>0</v>
      </c>
      <c r="M14" s="192" t="str">
        <f t="shared" si="2"/>
        <v>2000/010Purchases</v>
      </c>
      <c r="N14" s="76"/>
      <c r="O14" s="77"/>
      <c r="P14" s="57"/>
      <c r="Q14" s="31"/>
    </row>
    <row r="15" spans="1:17" x14ac:dyDescent="0.2">
      <c r="A15" s="315"/>
      <c r="B15" s="10" t="s">
        <v>400</v>
      </c>
      <c r="C15" s="352"/>
      <c r="D15" s="356"/>
      <c r="E15" s="356"/>
      <c r="F15" s="86"/>
      <c r="G15" s="53">
        <f>SUMIF(JournalsC!D$14:D$920,TrialBalanceC!M15,JournalsC!J$14:J$920)+SUMIF(JournalsC!E$14:E$920,TrialBalanceC!M15,JournalsC!J$14:J$920)</f>
        <v>0</v>
      </c>
      <c r="H15" s="363"/>
      <c r="I15" s="366">
        <f t="shared" si="0"/>
        <v>0</v>
      </c>
      <c r="J15" s="81"/>
      <c r="K15" s="54">
        <f t="shared" si="1"/>
        <v>0</v>
      </c>
      <c r="M15" s="192" t="str">
        <f t="shared" si="2"/>
        <v>2000/011</v>
      </c>
      <c r="N15" s="76"/>
      <c r="O15" s="77"/>
      <c r="P15" s="57"/>
      <c r="Q15" s="31"/>
    </row>
    <row r="16" spans="1:17" x14ac:dyDescent="0.2">
      <c r="A16" s="315"/>
      <c r="B16" s="60" t="s">
        <v>401</v>
      </c>
      <c r="C16" s="352"/>
      <c r="D16" s="348"/>
      <c r="E16" s="356"/>
      <c r="F16" s="86"/>
      <c r="G16" s="53">
        <f>SUMIF(JournalsC!D$14:D$920,TrialBalanceC!M16,JournalsC!J$14:J$920)+SUMIF(JournalsC!E$14:E$920,TrialBalanceC!M16,JournalsC!J$14:J$920)</f>
        <v>0</v>
      </c>
      <c r="H16" s="363"/>
      <c r="I16" s="366">
        <f t="shared" si="0"/>
        <v>0</v>
      </c>
      <c r="J16" s="81"/>
      <c r="K16" s="54">
        <f t="shared" si="1"/>
        <v>0</v>
      </c>
      <c r="M16" s="192" t="str">
        <f t="shared" si="2"/>
        <v>2000/012</v>
      </c>
      <c r="N16" s="76"/>
      <c r="O16" s="77"/>
      <c r="P16" s="57"/>
      <c r="Q16" s="31"/>
    </row>
    <row r="17" spans="1:17" x14ac:dyDescent="0.2">
      <c r="A17" s="315"/>
      <c r="B17" s="60" t="s">
        <v>402</v>
      </c>
      <c r="C17" s="353"/>
      <c r="D17" s="348"/>
      <c r="E17" s="356"/>
      <c r="F17" s="86"/>
      <c r="G17" s="53">
        <f>SUMIF(JournalsC!D$14:D$920,TrialBalanceC!M17,JournalsC!J$14:J$920)+SUMIF(JournalsC!E$14:E$920,TrialBalanceC!M17,JournalsC!J$14:J$920)</f>
        <v>0</v>
      </c>
      <c r="H17" s="363"/>
      <c r="I17" s="366">
        <f t="shared" si="0"/>
        <v>0</v>
      </c>
      <c r="J17" s="81"/>
      <c r="K17" s="54">
        <f t="shared" si="1"/>
        <v>0</v>
      </c>
      <c r="M17" s="192" t="str">
        <f t="shared" si="2"/>
        <v>2000/013</v>
      </c>
      <c r="N17" s="76"/>
      <c r="O17" s="77"/>
      <c r="P17" s="57"/>
      <c r="Q17" s="31"/>
    </row>
    <row r="18" spans="1:17" x14ac:dyDescent="0.2">
      <c r="A18" s="315"/>
      <c r="B18" s="60" t="s">
        <v>403</v>
      </c>
      <c r="C18" s="353"/>
      <c r="D18" s="348"/>
      <c r="E18" s="356"/>
      <c r="F18" s="86"/>
      <c r="G18" s="53">
        <f>SUMIF(JournalsC!D$14:D$920,TrialBalanceC!M18,JournalsC!J$14:J$920)+SUMIF(JournalsC!E$14:E$920,TrialBalanceC!M18,JournalsC!J$14:J$920)</f>
        <v>0</v>
      </c>
      <c r="H18" s="363"/>
      <c r="I18" s="366">
        <f t="shared" si="0"/>
        <v>0</v>
      </c>
      <c r="J18" s="81"/>
      <c r="K18" s="54">
        <f t="shared" si="1"/>
        <v>0</v>
      </c>
      <c r="M18" s="192" t="str">
        <f t="shared" si="2"/>
        <v>2000/014</v>
      </c>
      <c r="N18" s="76"/>
      <c r="O18" s="77"/>
      <c r="P18" s="57"/>
      <c r="Q18" s="31"/>
    </row>
    <row r="19" spans="1:17" x14ac:dyDescent="0.2">
      <c r="A19" s="315"/>
      <c r="B19" s="60" t="s">
        <v>404</v>
      </c>
      <c r="C19" s="353"/>
      <c r="D19" s="348"/>
      <c r="E19" s="356"/>
      <c r="F19" s="86"/>
      <c r="G19" s="53">
        <f>SUMIF(JournalsC!D$14:D$920,TrialBalanceC!M19,JournalsC!J$14:J$920)+SUMIF(JournalsC!E$14:E$920,TrialBalanceC!M19,JournalsC!J$14:J$920)</f>
        <v>0</v>
      </c>
      <c r="H19" s="363"/>
      <c r="I19" s="366">
        <f t="shared" si="0"/>
        <v>0</v>
      </c>
      <c r="J19" s="81"/>
      <c r="K19" s="54">
        <f t="shared" si="1"/>
        <v>0</v>
      </c>
      <c r="M19" s="192" t="str">
        <f t="shared" si="2"/>
        <v>2000/015</v>
      </c>
      <c r="N19" s="76"/>
      <c r="O19" s="77"/>
      <c r="P19" s="57"/>
      <c r="Q19" s="31"/>
    </row>
    <row r="20" spans="1:17" x14ac:dyDescent="0.2">
      <c r="A20" s="315"/>
      <c r="B20" s="60" t="s">
        <v>405</v>
      </c>
      <c r="C20" s="317" t="s">
        <v>406</v>
      </c>
      <c r="D20" s="357"/>
      <c r="E20" s="356"/>
      <c r="F20" s="86"/>
      <c r="G20" s="53">
        <f>SUMIF(JournalsC!D$14:D$920,TrialBalanceC!M20,JournalsC!J$14:J$920)+SUMIF(JournalsC!E$14:E$920,TrialBalanceC!M20,JournalsC!J$14:J$920)</f>
        <v>0</v>
      </c>
      <c r="H20" s="363"/>
      <c r="I20" s="366">
        <f t="shared" si="0"/>
        <v>0</v>
      </c>
      <c r="J20" s="81"/>
      <c r="K20" s="54">
        <f t="shared" si="1"/>
        <v>0</v>
      </c>
      <c r="M20" s="192" t="str">
        <f t="shared" si="2"/>
        <v>2000/050Closing stock - Raw materials</v>
      </c>
      <c r="N20" s="76"/>
      <c r="O20" s="77"/>
      <c r="P20" s="57"/>
      <c r="Q20" s="31"/>
    </row>
    <row r="21" spans="1:17" x14ac:dyDescent="0.2">
      <c r="A21" s="315"/>
      <c r="B21" s="60" t="s">
        <v>407</v>
      </c>
      <c r="C21" s="317" t="s">
        <v>408</v>
      </c>
      <c r="D21" s="357"/>
      <c r="E21" s="356"/>
      <c r="F21" s="86"/>
      <c r="G21" s="53">
        <f>SUMIF(JournalsC!D$14:D$920,TrialBalanceC!M21,JournalsC!J$14:J$920)+SUMIF(JournalsC!E$14:E$920,TrialBalanceC!M21,JournalsC!J$14:J$920)</f>
        <v>0</v>
      </c>
      <c r="H21" s="363"/>
      <c r="I21" s="366">
        <f t="shared" si="0"/>
        <v>0</v>
      </c>
      <c r="J21" s="81"/>
      <c r="K21" s="54">
        <f t="shared" si="1"/>
        <v>0</v>
      </c>
      <c r="M21" s="192" t="str">
        <f t="shared" si="2"/>
        <v>2000/051Closing stock - WIP</v>
      </c>
      <c r="N21" s="76"/>
      <c r="O21" s="77"/>
      <c r="P21" s="57"/>
      <c r="Q21" s="31"/>
    </row>
    <row r="22" spans="1:17" x14ac:dyDescent="0.2">
      <c r="A22" s="315"/>
      <c r="B22" s="60" t="s">
        <v>409</v>
      </c>
      <c r="C22" s="317" t="s">
        <v>410</v>
      </c>
      <c r="D22" s="357"/>
      <c r="E22" s="356"/>
      <c r="F22" s="86"/>
      <c r="G22" s="53">
        <f>SUMIF(JournalsC!D$14:D$920,TrialBalanceC!M22,JournalsC!J$14:J$920)+SUMIF(JournalsC!E$14:E$920,TrialBalanceC!M22,JournalsC!J$14:J$920)</f>
        <v>0</v>
      </c>
      <c r="H22" s="363"/>
      <c r="I22" s="366">
        <f t="shared" si="0"/>
        <v>0</v>
      </c>
      <c r="J22" s="81"/>
      <c r="K22" s="54">
        <f t="shared" si="1"/>
        <v>0</v>
      </c>
      <c r="M22" s="192" t="str">
        <f t="shared" si="2"/>
        <v>2000/052Closing stock - Finished goods</v>
      </c>
      <c r="N22" s="76"/>
      <c r="O22" s="77"/>
      <c r="P22" s="57"/>
      <c r="Q22" s="31"/>
    </row>
    <row r="23" spans="1:17" x14ac:dyDescent="0.2">
      <c r="A23" s="315"/>
      <c r="B23" s="60" t="s">
        <v>411</v>
      </c>
      <c r="C23" s="317" t="s">
        <v>412</v>
      </c>
      <c r="D23" s="357"/>
      <c r="E23" s="356"/>
      <c r="F23" s="86"/>
      <c r="G23" s="53">
        <f>SUMIF(JournalsC!D$14:D$920,TrialBalanceC!M23,JournalsC!J$14:J$920)+SUMIF(JournalsC!E$14:E$920,TrialBalanceC!M23,JournalsC!J$14:J$920)</f>
        <v>0</v>
      </c>
      <c r="H23" s="363"/>
      <c r="I23" s="366">
        <f t="shared" si="0"/>
        <v>0</v>
      </c>
      <c r="J23" s="81"/>
      <c r="K23" s="54">
        <f t="shared" si="1"/>
        <v>0</v>
      </c>
      <c r="M23" s="192" t="str">
        <f t="shared" si="2"/>
        <v>2000/053Closing stock - Trading stock</v>
      </c>
      <c r="N23" s="76"/>
      <c r="O23" s="77"/>
      <c r="P23" s="57"/>
      <c r="Q23" s="31"/>
    </row>
    <row r="24" spans="1:17" x14ac:dyDescent="0.2">
      <c r="A24" s="315"/>
      <c r="B24" s="62" t="s">
        <v>320</v>
      </c>
      <c r="C24" s="321" t="s">
        <v>319</v>
      </c>
      <c r="D24" s="346"/>
      <c r="E24" s="356"/>
      <c r="F24" s="86"/>
      <c r="G24" s="53">
        <f>SUMIF(JournalsC!D$14:D$920,TrialBalanceC!M24,JournalsC!J$14:J$920)+SUMIF(JournalsC!E$14:E$920,TrialBalanceC!M24,JournalsC!J$14:J$920)</f>
        <v>0</v>
      </c>
      <c r="H24" s="363"/>
      <c r="I24" s="366">
        <f t="shared" si="0"/>
        <v>0</v>
      </c>
      <c r="J24" s="81"/>
      <c r="K24" s="54">
        <f t="shared" si="1"/>
        <v>0</v>
      </c>
      <c r="M24" s="192" t="str">
        <f t="shared" si="2"/>
        <v>2050/000OTHER OPERATING INCOME</v>
      </c>
      <c r="N24" s="76"/>
      <c r="O24" s="77"/>
      <c r="P24" s="57"/>
      <c r="Q24" s="31"/>
    </row>
    <row r="25" spans="1:17" x14ac:dyDescent="0.2">
      <c r="A25" s="315"/>
      <c r="B25" s="62" t="s">
        <v>321</v>
      </c>
      <c r="C25" s="318" t="str">
        <f>CONCATENATE("Insurance claims - ",Criteria!H16)</f>
        <v xml:space="preserve">Insurance claims - </v>
      </c>
      <c r="D25" s="356"/>
      <c r="E25" s="356"/>
      <c r="F25" s="86"/>
      <c r="G25" s="53">
        <f>SUMIF(JournalsC!D$14:D$920,TrialBalanceC!M25,JournalsC!J$14:J$920)+SUMIF(JournalsC!E$14:E$920,TrialBalanceC!M25,JournalsC!J$14:J$920)</f>
        <v>0</v>
      </c>
      <c r="H25" s="363"/>
      <c r="I25" s="366">
        <f t="shared" si="0"/>
        <v>0</v>
      </c>
      <c r="J25" s="81"/>
      <c r="K25" s="54">
        <f t="shared" si="1"/>
        <v>0</v>
      </c>
      <c r="M25" s="192" t="str">
        <f t="shared" si="2"/>
        <v xml:space="preserve">2050/001Insurance claims - </v>
      </c>
      <c r="N25" s="76"/>
      <c r="O25" s="77"/>
      <c r="P25" s="57"/>
      <c r="Q25" s="31"/>
    </row>
    <row r="26" spans="1:17" x14ac:dyDescent="0.2">
      <c r="A26" s="315"/>
      <c r="B26" s="62" t="s">
        <v>322</v>
      </c>
      <c r="C26" s="318" t="s">
        <v>809</v>
      </c>
      <c r="D26" s="348"/>
      <c r="E26" s="356"/>
      <c r="F26" s="86"/>
      <c r="G26" s="53">
        <f>SUMIF(JournalsC!D$14:D$920,TrialBalanceC!M26,JournalsC!J$14:J$920)+SUMIF(JournalsC!E$14:E$920,TrialBalanceC!M26,JournalsC!J$14:J$920)</f>
        <v>0</v>
      </c>
      <c r="H26" s="363"/>
      <c r="I26" s="366">
        <f t="shared" si="0"/>
        <v>0</v>
      </c>
      <c r="J26" s="81"/>
      <c r="K26" s="54">
        <f t="shared" si="1"/>
        <v>0</v>
      </c>
      <c r="M26" s="192" t="str">
        <f t="shared" si="2"/>
        <v>2050/002Government grants received</v>
      </c>
      <c r="N26" s="76"/>
      <c r="O26" s="77"/>
      <c r="P26" s="57"/>
      <c r="Q26" s="31"/>
    </row>
    <row r="27" spans="1:17" x14ac:dyDescent="0.2">
      <c r="A27" s="315"/>
      <c r="B27" s="62" t="s">
        <v>323</v>
      </c>
      <c r="C27" s="353"/>
      <c r="D27" s="348"/>
      <c r="E27" s="356"/>
      <c r="F27" s="86"/>
      <c r="G27" s="53">
        <f>SUMIF(JournalsC!D$14:D$920,TrialBalanceC!M27,JournalsC!J$14:J$920)+SUMIF(JournalsC!E$14:E$920,TrialBalanceC!M27,JournalsC!J$14:J$920)</f>
        <v>0</v>
      </c>
      <c r="H27" s="363"/>
      <c r="I27" s="366">
        <f t="shared" si="0"/>
        <v>0</v>
      </c>
      <c r="J27" s="81"/>
      <c r="K27" s="54">
        <f t="shared" si="1"/>
        <v>0</v>
      </c>
      <c r="M27" s="192" t="str">
        <f t="shared" si="2"/>
        <v>2050/003</v>
      </c>
      <c r="N27" s="76"/>
      <c r="O27" s="77"/>
      <c r="P27" s="57"/>
      <c r="Q27" s="31"/>
    </row>
    <row r="28" spans="1:17" x14ac:dyDescent="0.2">
      <c r="A28" s="315"/>
      <c r="B28" s="62" t="s">
        <v>324</v>
      </c>
      <c r="C28" s="353"/>
      <c r="D28" s="348"/>
      <c r="E28" s="356"/>
      <c r="F28" s="86"/>
      <c r="G28" s="53">
        <f>SUMIF(JournalsC!D$14:D$920,TrialBalanceC!M28,JournalsC!J$14:J$920)+SUMIF(JournalsC!E$14:E$920,TrialBalanceC!M28,JournalsC!J$14:J$920)</f>
        <v>0</v>
      </c>
      <c r="H28" s="363"/>
      <c r="I28" s="366">
        <f t="shared" si="0"/>
        <v>0</v>
      </c>
      <c r="J28" s="81"/>
      <c r="K28" s="54">
        <f t="shared" si="1"/>
        <v>0</v>
      </c>
      <c r="M28" s="192" t="str">
        <f t="shared" si="2"/>
        <v>2050/004</v>
      </c>
      <c r="N28" s="76"/>
      <c r="O28" s="77"/>
      <c r="P28" s="57"/>
      <c r="Q28" s="31"/>
    </row>
    <row r="29" spans="1:17" x14ac:dyDescent="0.2">
      <c r="A29" s="315"/>
      <c r="B29" s="62" t="s">
        <v>325</v>
      </c>
      <c r="C29" s="353"/>
      <c r="D29" s="348"/>
      <c r="E29" s="356"/>
      <c r="F29" s="86"/>
      <c r="G29" s="53">
        <f>SUMIF(JournalsC!D$14:D$920,TrialBalanceC!M29,JournalsC!J$14:J$920)+SUMIF(JournalsC!E$14:E$920,TrialBalanceC!M29,JournalsC!J$14:J$920)</f>
        <v>0</v>
      </c>
      <c r="H29" s="363"/>
      <c r="I29" s="366">
        <f t="shared" si="0"/>
        <v>0</v>
      </c>
      <c r="J29" s="81"/>
      <c r="K29" s="54">
        <f t="shared" si="1"/>
        <v>0</v>
      </c>
      <c r="M29" s="192" t="str">
        <f t="shared" si="2"/>
        <v>2050/005</v>
      </c>
      <c r="N29" s="76"/>
      <c r="O29" s="77"/>
      <c r="P29" s="57"/>
      <c r="Q29" s="31"/>
    </row>
    <row r="30" spans="1:17" x14ac:dyDescent="0.2">
      <c r="A30" s="315"/>
      <c r="B30" s="49" t="s">
        <v>1156</v>
      </c>
      <c r="C30" s="318" t="s">
        <v>1157</v>
      </c>
      <c r="D30" s="348"/>
      <c r="E30" s="356"/>
      <c r="F30" s="86"/>
      <c r="G30" s="53">
        <f>SUMIF(JournalsC!D$14:D$920,TrialBalanceC!M30,JournalsC!J$14:J$920)+SUMIF(JournalsC!E$14:E$920,TrialBalanceC!M30,JournalsC!J$14:J$920)</f>
        <v>0</v>
      </c>
      <c r="H30" s="363"/>
      <c r="I30" s="366">
        <f t="shared" ref="I30" si="3">ROUND(D30-E30+G30+F30,0)</f>
        <v>0</v>
      </c>
      <c r="J30" s="81"/>
      <c r="K30" s="54">
        <f t="shared" ref="K30" si="4">ROUND(SUM(A30),0)</f>
        <v>0</v>
      </c>
      <c r="M30" s="192" t="str">
        <f t="shared" ref="M30" si="5">CONCATENATE(B30,C30)</f>
        <v>2050/006Recoupment of depreciation</v>
      </c>
      <c r="N30" s="76"/>
      <c r="O30" s="77"/>
      <c r="P30" s="57"/>
      <c r="Q30" s="31"/>
    </row>
    <row r="31" spans="1:17" x14ac:dyDescent="0.2">
      <c r="A31" s="315"/>
      <c r="B31" s="49" t="s">
        <v>631</v>
      </c>
      <c r="C31" s="321" t="s">
        <v>630</v>
      </c>
      <c r="D31" s="346"/>
      <c r="E31" s="356"/>
      <c r="F31" s="86"/>
      <c r="G31" s="53">
        <f>SUMIF(JournalsC!D$14:D$920,TrialBalanceC!M31,JournalsC!J$14:J$920)+SUMIF(JournalsC!E$14:E$920,TrialBalanceC!M31,JournalsC!J$14:J$920)</f>
        <v>0</v>
      </c>
      <c r="H31" s="363"/>
      <c r="I31" s="366">
        <f t="shared" si="0"/>
        <v>0</v>
      </c>
      <c r="J31" s="81"/>
      <c r="K31" s="54">
        <f t="shared" si="1"/>
        <v>0</v>
      </c>
      <c r="M31" s="192" t="str">
        <f t="shared" si="2"/>
        <v>2060/000NET (PROFIT)/LOSS OTHER</v>
      </c>
      <c r="N31" s="76"/>
      <c r="O31" s="77"/>
      <c r="P31" s="57"/>
      <c r="Q31" s="31"/>
    </row>
    <row r="32" spans="1:17" x14ac:dyDescent="0.2">
      <c r="A32" s="315"/>
      <c r="B32" s="49" t="s">
        <v>544</v>
      </c>
      <c r="C32" s="318"/>
      <c r="D32" s="356"/>
      <c r="E32" s="356"/>
      <c r="F32" s="86"/>
      <c r="G32" s="53">
        <f>SUMIF(JournalsC!D$14:D$920,TrialBalanceC!M32,JournalsC!J$14:J$920)+SUMIF(JournalsC!E$14:E$920,TrialBalanceC!M32,JournalsC!J$14:J$920)</f>
        <v>0</v>
      </c>
      <c r="H32" s="363"/>
      <c r="I32" s="366">
        <f t="shared" si="0"/>
        <v>0</v>
      </c>
      <c r="J32" s="81"/>
      <c r="K32" s="54">
        <f t="shared" si="1"/>
        <v>0</v>
      </c>
      <c r="M32" s="192" t="str">
        <f t="shared" si="2"/>
        <v>2060/001</v>
      </c>
      <c r="N32" s="76"/>
      <c r="O32" s="77"/>
      <c r="P32" s="57"/>
      <c r="Q32" s="31"/>
    </row>
    <row r="33" spans="1:17" x14ac:dyDescent="0.2">
      <c r="A33" s="315"/>
      <c r="B33" s="49" t="s">
        <v>545</v>
      </c>
      <c r="C33" s="323"/>
      <c r="D33" s="348"/>
      <c r="E33" s="356"/>
      <c r="F33" s="86"/>
      <c r="G33" s="53">
        <f>SUMIF(JournalsC!D$14:D$920,TrialBalanceC!M33,JournalsC!J$14:J$920)+SUMIF(JournalsC!E$14:E$920,TrialBalanceC!M33,JournalsC!J$14:J$920)</f>
        <v>0</v>
      </c>
      <c r="H33" s="363"/>
      <c r="I33" s="366">
        <f t="shared" si="0"/>
        <v>0</v>
      </c>
      <c r="J33" s="81"/>
      <c r="K33" s="54">
        <f t="shared" si="1"/>
        <v>0</v>
      </c>
      <c r="M33" s="192" t="str">
        <f t="shared" si="2"/>
        <v>2060/002</v>
      </c>
      <c r="N33" s="76"/>
      <c r="O33" s="77"/>
      <c r="P33" s="57"/>
      <c r="Q33" s="31"/>
    </row>
    <row r="34" spans="1:17" x14ac:dyDescent="0.2">
      <c r="A34" s="315"/>
      <c r="B34" s="49" t="s">
        <v>546</v>
      </c>
      <c r="C34" s="323"/>
      <c r="D34" s="348"/>
      <c r="E34" s="356"/>
      <c r="F34" s="86"/>
      <c r="G34" s="53">
        <f>SUMIF(JournalsC!D$14:D$920,TrialBalanceC!M34,JournalsC!J$14:J$920)+SUMIF(JournalsC!E$14:E$920,TrialBalanceC!M34,JournalsC!J$14:J$920)</f>
        <v>0</v>
      </c>
      <c r="H34" s="363"/>
      <c r="I34" s="366">
        <f t="shared" si="0"/>
        <v>0</v>
      </c>
      <c r="J34" s="81"/>
      <c r="K34" s="54">
        <f t="shared" si="1"/>
        <v>0</v>
      </c>
      <c r="M34" s="192" t="str">
        <f t="shared" si="2"/>
        <v>2060/003</v>
      </c>
      <c r="N34" s="76"/>
      <c r="O34" s="77"/>
      <c r="P34" s="57"/>
      <c r="Q34" s="31"/>
    </row>
    <row r="35" spans="1:17" x14ac:dyDescent="0.2">
      <c r="A35" s="315"/>
      <c r="B35" s="49" t="s">
        <v>547</v>
      </c>
      <c r="C35" s="323"/>
      <c r="D35" s="348"/>
      <c r="E35" s="356"/>
      <c r="F35" s="86"/>
      <c r="G35" s="53">
        <f>SUMIF(JournalsC!D$14:D$920,TrialBalanceC!M35,JournalsC!J$14:J$920)+SUMIF(JournalsC!E$14:E$920,TrialBalanceC!M35,JournalsC!J$14:J$920)</f>
        <v>0</v>
      </c>
      <c r="H35" s="363"/>
      <c r="I35" s="366">
        <f t="shared" si="0"/>
        <v>0</v>
      </c>
      <c r="J35" s="81"/>
      <c r="K35" s="54">
        <f t="shared" si="1"/>
        <v>0</v>
      </c>
      <c r="M35" s="192" t="str">
        <f t="shared" si="2"/>
        <v>2060/004</v>
      </c>
      <c r="N35" s="76"/>
      <c r="O35" s="77"/>
      <c r="P35" s="57"/>
      <c r="Q35" s="31"/>
    </row>
    <row r="36" spans="1:17" x14ac:dyDescent="0.2">
      <c r="A36" s="315"/>
      <c r="B36" s="60" t="s">
        <v>413</v>
      </c>
      <c r="C36" s="316" t="s">
        <v>1050</v>
      </c>
      <c r="D36" s="358"/>
      <c r="E36" s="356"/>
      <c r="F36" s="86"/>
      <c r="G36" s="53">
        <f>SUMIF(JournalsC!D$14:D$920,TrialBalanceC!M36,JournalsC!J$14:J$920)+SUMIF(JournalsC!E$14:E$920,TrialBalanceC!M36,JournalsC!J$14:J$920)</f>
        <v>0</v>
      </c>
      <c r="H36" s="363"/>
      <c r="I36" s="366">
        <f t="shared" si="0"/>
        <v>0</v>
      </c>
      <c r="J36" s="81"/>
      <c r="K36" s="54">
        <f t="shared" si="1"/>
        <v>0</v>
      </c>
      <c r="M36" s="192" t="str">
        <f t="shared" si="2"/>
        <v>2100/000OPERATING EXPENSES</v>
      </c>
      <c r="N36" s="76"/>
      <c r="O36" s="77"/>
      <c r="P36" s="57"/>
      <c r="Q36" s="31"/>
    </row>
    <row r="37" spans="1:17" x14ac:dyDescent="0.2">
      <c r="A37" s="315"/>
      <c r="B37" s="60" t="s">
        <v>414</v>
      </c>
      <c r="C37" s="317" t="s">
        <v>277</v>
      </c>
      <c r="D37" s="357"/>
      <c r="E37" s="356"/>
      <c r="F37" s="86"/>
      <c r="G37" s="53">
        <f>SUMIF(JournalsC!D$14:D$920,TrialBalanceC!M37,JournalsC!J$14:J$920)+SUMIF(JournalsC!E$14:E$920,TrialBalanceC!M37,JournalsC!J$14:J$920)</f>
        <v>0</v>
      </c>
      <c r="H37" s="363"/>
      <c r="I37" s="366">
        <f t="shared" si="0"/>
        <v>0</v>
      </c>
      <c r="J37" s="81"/>
      <c r="K37" s="54">
        <f t="shared" si="1"/>
        <v>0</v>
      </c>
      <c r="M37" s="192" t="str">
        <f t="shared" si="2"/>
        <v>2100/001Advertising</v>
      </c>
      <c r="N37" s="76"/>
      <c r="O37" s="77"/>
      <c r="P37" s="57"/>
      <c r="Q37" s="31"/>
    </row>
    <row r="38" spans="1:17" x14ac:dyDescent="0.2">
      <c r="A38" s="315"/>
      <c r="B38" s="60" t="s">
        <v>415</v>
      </c>
      <c r="C38" s="319" t="s">
        <v>702</v>
      </c>
      <c r="D38" s="359"/>
      <c r="E38" s="356"/>
      <c r="F38" s="86"/>
      <c r="G38" s="53">
        <f>SUMIF(JournalsC!D$14:D$920,TrialBalanceC!M38,JournalsC!J$14:J$920)+SUMIF(JournalsC!E$14:E$920,TrialBalanceC!M38,JournalsC!J$14:J$920)</f>
        <v>0</v>
      </c>
      <c r="H38" s="363"/>
      <c r="I38" s="366">
        <f t="shared" si="0"/>
        <v>0</v>
      </c>
      <c r="J38" s="81"/>
      <c r="K38" s="54">
        <f t="shared" si="1"/>
        <v>0</v>
      </c>
      <c r="M38" s="192" t="str">
        <f t="shared" si="2"/>
        <v>2100/010Assets less than R7,000</v>
      </c>
      <c r="N38" s="76"/>
      <c r="O38" s="77"/>
      <c r="P38" s="57"/>
      <c r="Q38" s="31"/>
    </row>
    <row r="39" spans="1:17" x14ac:dyDescent="0.2">
      <c r="A39" s="315"/>
      <c r="B39" s="60" t="s">
        <v>416</v>
      </c>
      <c r="C39" s="317" t="s">
        <v>278</v>
      </c>
      <c r="D39" s="357"/>
      <c r="E39" s="356"/>
      <c r="F39" s="86"/>
      <c r="G39" s="53">
        <f>SUMIF(JournalsC!D$14:D$920,TrialBalanceC!M39,JournalsC!J$14:J$920)+SUMIF(JournalsC!E$14:E$920,TrialBalanceC!M39,JournalsC!J$14:J$920)</f>
        <v>0</v>
      </c>
      <c r="H39" s="363"/>
      <c r="I39" s="366">
        <f t="shared" si="0"/>
        <v>0</v>
      </c>
      <c r="J39" s="81"/>
      <c r="K39" s="54">
        <f t="shared" si="1"/>
        <v>0</v>
      </c>
      <c r="M39" s="192" t="str">
        <f t="shared" si="2"/>
        <v>2100/020Consumables</v>
      </c>
      <c r="N39" s="76"/>
      <c r="O39" s="77"/>
      <c r="P39" s="57"/>
      <c r="Q39" s="31"/>
    </row>
    <row r="40" spans="1:17" x14ac:dyDescent="0.2">
      <c r="A40" s="315"/>
      <c r="B40" s="60" t="s">
        <v>417</v>
      </c>
      <c r="C40" s="316" t="s">
        <v>613</v>
      </c>
      <c r="D40" s="358"/>
      <c r="E40" s="356"/>
      <c r="F40" s="86"/>
      <c r="G40" s="53">
        <f>SUMIF(JournalsC!D$14:D$920,TrialBalanceC!M40,JournalsC!J$14:J$920)+SUMIF(JournalsC!E$14:E$920,TrialBalanceC!M40,JournalsC!J$14:J$920)</f>
        <v>0</v>
      </c>
      <c r="H40" s="363"/>
      <c r="I40" s="366">
        <f t="shared" si="0"/>
        <v>0</v>
      </c>
      <c r="J40" s="81"/>
      <c r="K40" s="54">
        <f t="shared" si="1"/>
        <v>0</v>
      </c>
      <c r="M40" s="192" t="str">
        <f t="shared" si="2"/>
        <v>2100/030Depreciation--------------------------------------------------</v>
      </c>
      <c r="N40" s="76"/>
      <c r="O40" s="77"/>
      <c r="P40" s="57"/>
      <c r="Q40" s="31"/>
    </row>
    <row r="41" spans="1:17" x14ac:dyDescent="0.2">
      <c r="A41" s="315"/>
      <c r="B41" s="60" t="s">
        <v>419</v>
      </c>
      <c r="C41" s="319" t="s">
        <v>1128</v>
      </c>
      <c r="D41" s="357"/>
      <c r="E41" s="356"/>
      <c r="F41" s="86"/>
      <c r="G41" s="53">
        <f>SUMIF(JournalsC!D$14:D$920,TrialBalanceC!M41,JournalsC!J$14:J$920)+SUMIF(JournalsC!E$14:E$920,TrialBalanceC!M41,JournalsC!J$14:J$920)</f>
        <v>0</v>
      </c>
      <c r="H41" s="363"/>
      <c r="I41" s="366">
        <f t="shared" si="0"/>
        <v>0</v>
      </c>
      <c r="J41" s="81"/>
      <c r="K41" s="54">
        <f t="shared" si="1"/>
        <v>0</v>
      </c>
      <c r="M41" s="192" t="str">
        <f t="shared" si="2"/>
        <v>2100/031Depr - Property</v>
      </c>
      <c r="N41" s="76"/>
      <c r="O41" s="77"/>
      <c r="P41" s="57"/>
      <c r="Q41" s="31"/>
    </row>
    <row r="42" spans="1:17" x14ac:dyDescent="0.2">
      <c r="A42" s="315"/>
      <c r="B42" s="60" t="s">
        <v>420</v>
      </c>
      <c r="C42" s="319" t="s">
        <v>762</v>
      </c>
      <c r="D42" s="357"/>
      <c r="E42" s="356"/>
      <c r="F42" s="86"/>
      <c r="G42" s="53">
        <f>SUMIF(JournalsC!D$14:D$920,TrialBalanceC!M42,JournalsC!J$14:J$920)+SUMIF(JournalsC!E$14:E$920,TrialBalanceC!M42,JournalsC!J$14:J$920)</f>
        <v>0</v>
      </c>
      <c r="H42" s="363"/>
      <c r="I42" s="366">
        <f t="shared" si="0"/>
        <v>0</v>
      </c>
      <c r="J42" s="81"/>
      <c r="K42" s="54">
        <f t="shared" si="1"/>
        <v>0</v>
      </c>
      <c r="M42" s="192" t="str">
        <f t="shared" si="2"/>
        <v>2100/032Depr - Plant and machinery</v>
      </c>
      <c r="N42" s="76"/>
      <c r="O42" s="77"/>
      <c r="P42" s="57"/>
      <c r="Q42" s="31"/>
    </row>
    <row r="43" spans="1:17" x14ac:dyDescent="0.2">
      <c r="A43" s="315"/>
      <c r="B43" s="60" t="s">
        <v>58</v>
      </c>
      <c r="C43" s="317" t="s">
        <v>59</v>
      </c>
      <c r="D43" s="357"/>
      <c r="E43" s="356"/>
      <c r="F43" s="86"/>
      <c r="G43" s="53">
        <f>SUMIF(JournalsC!D$14:D$920,TrialBalanceC!M43,JournalsC!J$14:J$920)+SUMIF(JournalsC!E$14:E$920,TrialBalanceC!M43,JournalsC!J$14:J$920)</f>
        <v>0</v>
      </c>
      <c r="H43" s="363"/>
      <c r="I43" s="366">
        <f t="shared" si="0"/>
        <v>0</v>
      </c>
      <c r="J43" s="81"/>
      <c r="K43" s="54">
        <f t="shared" si="1"/>
        <v>0</v>
      </c>
      <c r="M43" s="192" t="str">
        <f t="shared" si="2"/>
        <v>2100/033Depr - Motor vehicles</v>
      </c>
      <c r="N43" s="76"/>
      <c r="O43" s="77"/>
      <c r="P43" s="57"/>
      <c r="Q43" s="31"/>
    </row>
    <row r="44" spans="1:17" x14ac:dyDescent="0.2">
      <c r="A44" s="315"/>
      <c r="B44" s="60" t="s">
        <v>61</v>
      </c>
      <c r="C44" s="317" t="s">
        <v>62</v>
      </c>
      <c r="D44" s="357"/>
      <c r="E44" s="356"/>
      <c r="F44" s="86"/>
      <c r="G44" s="53">
        <f>SUMIF(JournalsC!D$14:D$920,TrialBalanceC!M44,JournalsC!J$14:J$920)+SUMIF(JournalsC!E$14:E$920,TrialBalanceC!M44,JournalsC!J$14:J$920)</f>
        <v>0</v>
      </c>
      <c r="H44" s="363"/>
      <c r="I44" s="366">
        <f t="shared" si="0"/>
        <v>0</v>
      </c>
      <c r="J44" s="81"/>
      <c r="K44" s="54">
        <f t="shared" si="1"/>
        <v>0</v>
      </c>
      <c r="M44" s="192" t="str">
        <f t="shared" si="2"/>
        <v>2100/040Discounts allowed</v>
      </c>
      <c r="N44" s="76"/>
      <c r="O44" s="77"/>
      <c r="P44" s="57"/>
      <c r="Q44" s="31"/>
    </row>
    <row r="45" spans="1:17" x14ac:dyDescent="0.2">
      <c r="A45" s="315"/>
      <c r="B45" s="60" t="s">
        <v>63</v>
      </c>
      <c r="C45" s="319" t="s">
        <v>733</v>
      </c>
      <c r="D45" s="357"/>
      <c r="E45" s="356"/>
      <c r="F45" s="86"/>
      <c r="G45" s="53">
        <f>SUMIF(JournalsC!D$14:D$920,TrialBalanceC!M45,JournalsC!J$14:J$920)+SUMIF(JournalsC!E$14:E$920,TrialBalanceC!M45,JournalsC!J$14:J$920)</f>
        <v>0</v>
      </c>
      <c r="H45" s="363"/>
      <c r="I45" s="366">
        <f t="shared" si="0"/>
        <v>0</v>
      </c>
      <c r="J45" s="81"/>
      <c r="K45" s="54">
        <f t="shared" si="1"/>
        <v>0</v>
      </c>
      <c r="M45" s="192" t="str">
        <f t="shared" si="2"/>
        <v>2100/050Electricity and water</v>
      </c>
      <c r="N45" s="76"/>
      <c r="O45" s="77"/>
      <c r="P45" s="57"/>
      <c r="Q45" s="31"/>
    </row>
    <row r="46" spans="1:17" x14ac:dyDescent="0.2">
      <c r="A46" s="315"/>
      <c r="B46" s="60" t="s">
        <v>64</v>
      </c>
      <c r="C46" s="317" t="s">
        <v>68</v>
      </c>
      <c r="D46" s="357"/>
      <c r="E46" s="356"/>
      <c r="F46" s="86"/>
      <c r="G46" s="53">
        <f>SUMIF(JournalsC!D$14:D$920,TrialBalanceC!M46,JournalsC!J$14:J$920)+SUMIF(JournalsC!E$14:E$920,TrialBalanceC!M46,JournalsC!J$14:J$920)</f>
        <v>0</v>
      </c>
      <c r="H46" s="363"/>
      <c r="I46" s="366">
        <f t="shared" si="0"/>
        <v>0</v>
      </c>
      <c r="J46" s="81"/>
      <c r="K46" s="54">
        <f t="shared" si="1"/>
        <v>0</v>
      </c>
      <c r="M46" s="192" t="str">
        <f t="shared" si="2"/>
        <v>2100/055Equipment lease</v>
      </c>
      <c r="N46" s="76"/>
      <c r="O46" s="77"/>
      <c r="P46" s="57"/>
      <c r="Q46" s="31"/>
    </row>
    <row r="47" spans="1:17" x14ac:dyDescent="0.2">
      <c r="A47" s="315"/>
      <c r="B47" s="60" t="s">
        <v>69</v>
      </c>
      <c r="C47" s="317" t="s">
        <v>280</v>
      </c>
      <c r="D47" s="357"/>
      <c r="E47" s="356"/>
      <c r="F47" s="86"/>
      <c r="G47" s="53">
        <f>SUMIF(JournalsC!D$14:D$920,TrialBalanceC!M47,JournalsC!J$14:J$920)+SUMIF(JournalsC!E$14:E$920,TrialBalanceC!M47,JournalsC!J$14:J$920)</f>
        <v>0</v>
      </c>
      <c r="H47" s="363"/>
      <c r="I47" s="366">
        <f t="shared" si="0"/>
        <v>0</v>
      </c>
      <c r="J47" s="81"/>
      <c r="K47" s="54">
        <f t="shared" si="1"/>
        <v>0</v>
      </c>
      <c r="M47" s="192" t="str">
        <f t="shared" si="2"/>
        <v>2100/060Insurance</v>
      </c>
      <c r="N47" s="76"/>
      <c r="O47" s="57"/>
      <c r="P47" s="57"/>
      <c r="Q47" s="31"/>
    </row>
    <row r="48" spans="1:17" x14ac:dyDescent="0.2">
      <c r="A48" s="315"/>
      <c r="B48" s="60" t="s">
        <v>451</v>
      </c>
      <c r="C48" s="317" t="s">
        <v>184</v>
      </c>
      <c r="D48" s="357"/>
      <c r="E48" s="356"/>
      <c r="F48" s="86"/>
      <c r="G48" s="53">
        <f>SUMIF(JournalsC!D$14:D$920,TrialBalanceC!M48,JournalsC!J$14:J$920)+SUMIF(JournalsC!E$14:E$920,TrialBalanceC!M48,JournalsC!J$14:J$920)</f>
        <v>0</v>
      </c>
      <c r="H48" s="363"/>
      <c r="I48" s="366">
        <f t="shared" si="0"/>
        <v>0</v>
      </c>
      <c r="J48" s="81"/>
      <c r="K48" s="54">
        <f t="shared" si="1"/>
        <v>0</v>
      </c>
      <c r="M48" s="192" t="str">
        <f t="shared" si="2"/>
        <v>2100/071Levies - SDL</v>
      </c>
      <c r="N48" s="76"/>
      <c r="O48" s="77"/>
      <c r="P48" s="57"/>
      <c r="Q48" s="31"/>
    </row>
    <row r="49" spans="1:17" x14ac:dyDescent="0.2">
      <c r="A49" s="315"/>
      <c r="B49" s="60" t="s">
        <v>185</v>
      </c>
      <c r="C49" s="317" t="s">
        <v>186</v>
      </c>
      <c r="D49" s="357"/>
      <c r="E49" s="356"/>
      <c r="F49" s="86"/>
      <c r="G49" s="53">
        <f>SUMIF(JournalsC!D$14:D$920,TrialBalanceC!M49,JournalsC!J$14:J$920)+SUMIF(JournalsC!E$14:E$920,TrialBalanceC!M49,JournalsC!J$14:J$920)</f>
        <v>0</v>
      </c>
      <c r="H49" s="363"/>
      <c r="I49" s="366">
        <f t="shared" si="0"/>
        <v>0</v>
      </c>
      <c r="J49" s="81"/>
      <c r="K49" s="54">
        <f t="shared" si="1"/>
        <v>0</v>
      </c>
      <c r="M49" s="192" t="str">
        <f t="shared" si="2"/>
        <v>2100/072Levies - other</v>
      </c>
      <c r="N49" s="76"/>
      <c r="O49" s="77"/>
      <c r="P49" s="57"/>
      <c r="Q49" s="31"/>
    </row>
    <row r="50" spans="1:17" x14ac:dyDescent="0.2">
      <c r="A50" s="315"/>
      <c r="B50" s="60" t="s">
        <v>187</v>
      </c>
      <c r="C50" s="323" t="s">
        <v>354</v>
      </c>
      <c r="D50" s="348"/>
      <c r="E50" s="356"/>
      <c r="F50" s="86"/>
      <c r="G50" s="53">
        <f>SUMIF(JournalsC!D$14:D$920,TrialBalanceC!M50,JournalsC!J$14:J$920)+SUMIF(JournalsC!E$14:E$920,TrialBalanceC!M50,JournalsC!J$14:J$920)</f>
        <v>0</v>
      </c>
      <c r="H50" s="363"/>
      <c r="I50" s="366">
        <f t="shared" si="0"/>
        <v>0</v>
      </c>
      <c r="J50" s="81"/>
      <c r="K50" s="54">
        <f t="shared" si="1"/>
        <v>0</v>
      </c>
      <c r="M50" s="192" t="str">
        <f t="shared" si="2"/>
        <v>2100/080Trade licenses</v>
      </c>
      <c r="N50" s="76"/>
      <c r="O50" s="77"/>
      <c r="P50" s="57"/>
      <c r="Q50" s="31"/>
    </row>
    <row r="51" spans="1:17" x14ac:dyDescent="0.2">
      <c r="A51" s="315"/>
      <c r="B51" s="60" t="s">
        <v>188</v>
      </c>
      <c r="C51" s="316" t="s">
        <v>641</v>
      </c>
      <c r="D51" s="358"/>
      <c r="E51" s="356"/>
      <c r="F51" s="86"/>
      <c r="G51" s="53">
        <f>SUMIF(JournalsC!D$14:D$920,TrialBalanceC!M51,JournalsC!J$14:J$920)+SUMIF(JournalsC!E$14:E$920,TrialBalanceC!M51,JournalsC!J$14:J$920)</f>
        <v>0</v>
      </c>
      <c r="H51" s="363"/>
      <c r="I51" s="366">
        <f t="shared" si="0"/>
        <v>0</v>
      </c>
      <c r="J51" s="81"/>
      <c r="K51" s="54">
        <f t="shared" si="1"/>
        <v>0</v>
      </c>
      <c r="M51" s="192" t="str">
        <f t="shared" si="2"/>
        <v>2100/090Motor vehicle expenses----------------------------------</v>
      </c>
      <c r="N51" s="76"/>
      <c r="O51" s="77"/>
      <c r="P51" s="57"/>
      <c r="Q51" s="31"/>
    </row>
    <row r="52" spans="1:17" x14ac:dyDescent="0.2">
      <c r="A52" s="315"/>
      <c r="B52" s="60" t="s">
        <v>190</v>
      </c>
      <c r="C52" s="317" t="s">
        <v>191</v>
      </c>
      <c r="D52" s="357"/>
      <c r="E52" s="356"/>
      <c r="F52" s="86"/>
      <c r="G52" s="53">
        <f>SUMIF(JournalsC!D$14:D$920,TrialBalanceC!M52,JournalsC!J$14:J$920)+SUMIF(JournalsC!E$14:E$920,TrialBalanceC!M52,JournalsC!J$14:J$920)</f>
        <v>0</v>
      </c>
      <c r="H52" s="363"/>
      <c r="I52" s="366">
        <f t="shared" si="0"/>
        <v>0</v>
      </c>
      <c r="J52" s="81"/>
      <c r="K52" s="54">
        <f t="shared" si="1"/>
        <v>0</v>
      </c>
      <c r="M52" s="192" t="str">
        <f t="shared" si="2"/>
        <v>2100/091Motor vehicle expenses - Petrol and oil</v>
      </c>
      <c r="N52" s="76"/>
      <c r="O52" s="77"/>
      <c r="P52" s="57"/>
      <c r="Q52" s="31"/>
    </row>
    <row r="53" spans="1:17" x14ac:dyDescent="0.2">
      <c r="A53" s="315"/>
      <c r="B53" s="60" t="s">
        <v>192</v>
      </c>
      <c r="C53" s="317" t="s">
        <v>193</v>
      </c>
      <c r="D53" s="357"/>
      <c r="E53" s="356"/>
      <c r="F53" s="86"/>
      <c r="G53" s="53">
        <f>SUMIF(JournalsC!D$14:D$920,TrialBalanceC!M53,JournalsC!J$14:J$920)+SUMIF(JournalsC!E$14:E$920,TrialBalanceC!M53,JournalsC!J$14:J$920)</f>
        <v>0</v>
      </c>
      <c r="H53" s="363"/>
      <c r="I53" s="366">
        <f t="shared" si="0"/>
        <v>0</v>
      </c>
      <c r="J53" s="81"/>
      <c r="K53" s="54">
        <f t="shared" si="1"/>
        <v>0</v>
      </c>
      <c r="M53" s="192" t="str">
        <f t="shared" si="2"/>
        <v>2100/092Motor vehicle expenses - R&amp;M</v>
      </c>
      <c r="N53" s="76"/>
      <c r="O53" s="77"/>
      <c r="P53" s="57"/>
      <c r="Q53" s="31"/>
    </row>
    <row r="54" spans="1:17" x14ac:dyDescent="0.2">
      <c r="A54" s="315"/>
      <c r="B54" s="60" t="s">
        <v>194</v>
      </c>
      <c r="C54" s="317" t="s">
        <v>195</v>
      </c>
      <c r="D54" s="357"/>
      <c r="E54" s="356"/>
      <c r="F54" s="86"/>
      <c r="G54" s="53">
        <f>SUMIF(JournalsC!D$14:D$920,TrialBalanceC!M54,JournalsC!J$14:J$920)+SUMIF(JournalsC!E$14:E$920,TrialBalanceC!M54,JournalsC!J$14:J$920)</f>
        <v>0</v>
      </c>
      <c r="H54" s="363"/>
      <c r="I54" s="366">
        <f t="shared" si="0"/>
        <v>0</v>
      </c>
      <c r="J54" s="81"/>
      <c r="K54" s="54">
        <f t="shared" si="1"/>
        <v>0</v>
      </c>
      <c r="M54" s="192" t="str">
        <f t="shared" si="2"/>
        <v>2100/093Motor vehicle expenses - Insurance</v>
      </c>
      <c r="N54" s="76"/>
      <c r="O54" s="77"/>
      <c r="P54" s="57"/>
      <c r="Q54" s="31"/>
    </row>
    <row r="55" spans="1:17" x14ac:dyDescent="0.2">
      <c r="A55" s="315"/>
      <c r="B55" s="60" t="s">
        <v>196</v>
      </c>
      <c r="C55" s="318" t="s">
        <v>763</v>
      </c>
      <c r="D55" s="348"/>
      <c r="E55" s="356"/>
      <c r="F55" s="86"/>
      <c r="G55" s="53">
        <f>SUMIF(JournalsC!D$14:D$920,TrialBalanceC!M55,JournalsC!J$14:J$920)+SUMIF(JournalsC!E$14:E$920,TrialBalanceC!M55,JournalsC!J$14:J$920)</f>
        <v>0</v>
      </c>
      <c r="H55" s="363"/>
      <c r="I55" s="366">
        <f t="shared" si="0"/>
        <v>0</v>
      </c>
      <c r="J55" s="81"/>
      <c r="K55" s="54">
        <f t="shared" si="1"/>
        <v>0</v>
      </c>
      <c r="M55" s="192" t="str">
        <f t="shared" si="2"/>
        <v>2100/094Motor vehicle expenses - Licenses</v>
      </c>
      <c r="N55" s="76"/>
      <c r="O55" s="77"/>
      <c r="P55" s="57"/>
      <c r="Q55" s="31"/>
    </row>
    <row r="56" spans="1:17" x14ac:dyDescent="0.2">
      <c r="A56" s="315"/>
      <c r="B56" s="60" t="s">
        <v>197</v>
      </c>
      <c r="C56" s="319" t="s">
        <v>764</v>
      </c>
      <c r="D56" s="357"/>
      <c r="E56" s="356"/>
      <c r="F56" s="86"/>
      <c r="G56" s="53">
        <f>SUMIF(JournalsC!D$14:D$920,TrialBalanceC!M56,JournalsC!J$14:J$920)+SUMIF(JournalsC!E$14:E$920,TrialBalanceC!M56,JournalsC!J$14:J$920)</f>
        <v>0</v>
      </c>
      <c r="H56" s="363"/>
      <c r="I56" s="366">
        <f t="shared" si="0"/>
        <v>0</v>
      </c>
      <c r="J56" s="81"/>
      <c r="K56" s="54">
        <f t="shared" si="1"/>
        <v>0</v>
      </c>
      <c r="M56" s="192" t="str">
        <f t="shared" si="2"/>
        <v>2100/095Motor vehicle expenses - General</v>
      </c>
      <c r="N56" s="76"/>
      <c r="O56" s="77"/>
      <c r="P56" s="57"/>
      <c r="Q56" s="31"/>
    </row>
    <row r="57" spans="1:17" x14ac:dyDescent="0.2">
      <c r="A57" s="315"/>
      <c r="B57" s="60" t="s">
        <v>198</v>
      </c>
      <c r="C57" s="316" t="s">
        <v>199</v>
      </c>
      <c r="D57" s="358"/>
      <c r="E57" s="356"/>
      <c r="F57" s="86"/>
      <c r="G57" s="53">
        <f>SUMIF(JournalsC!D$14:D$920,TrialBalanceC!M57,JournalsC!J$14:J$920)+SUMIF(JournalsC!E$14:E$920,TrialBalanceC!M57,JournalsC!J$14:J$920)</f>
        <v>0</v>
      </c>
      <c r="H57" s="363"/>
      <c r="I57" s="366">
        <f t="shared" si="0"/>
        <v>0</v>
      </c>
      <c r="J57" s="81"/>
      <c r="K57" s="54">
        <f t="shared" si="1"/>
        <v>0</v>
      </c>
      <c r="M57" s="192" t="str">
        <f t="shared" si="2"/>
        <v>2100/100Rent paid-------------------------------</v>
      </c>
      <c r="N57" s="76"/>
      <c r="O57" s="77"/>
      <c r="P57" s="57"/>
      <c r="Q57" s="31"/>
    </row>
    <row r="58" spans="1:17" x14ac:dyDescent="0.2">
      <c r="A58" s="315"/>
      <c r="B58" s="60" t="s">
        <v>200</v>
      </c>
      <c r="C58" s="353"/>
      <c r="D58" s="356"/>
      <c r="E58" s="356"/>
      <c r="F58" s="86"/>
      <c r="G58" s="53">
        <f>SUMIF(JournalsC!D$14:D$920,TrialBalanceC!M58,JournalsC!J$14:J$920)+SUMIF(JournalsC!E$14:E$920,TrialBalanceC!M58,JournalsC!J$14:J$920)</f>
        <v>0</v>
      </c>
      <c r="H58" s="363"/>
      <c r="I58" s="366">
        <f t="shared" si="0"/>
        <v>0</v>
      </c>
      <c r="J58" s="81"/>
      <c r="K58" s="54">
        <f t="shared" si="1"/>
        <v>0</v>
      </c>
      <c r="M58" s="192" t="str">
        <f t="shared" si="2"/>
        <v>2100/101</v>
      </c>
      <c r="N58" s="76"/>
      <c r="O58" s="77"/>
      <c r="P58" s="57"/>
      <c r="Q58" s="31"/>
    </row>
    <row r="59" spans="1:17" x14ac:dyDescent="0.2">
      <c r="A59" s="315"/>
      <c r="B59" s="60" t="s">
        <v>201</v>
      </c>
      <c r="C59" s="353"/>
      <c r="D59" s="348"/>
      <c r="E59" s="356"/>
      <c r="F59" s="86"/>
      <c r="G59" s="53">
        <f>SUMIF(JournalsC!D$14:D$920,TrialBalanceC!M59,JournalsC!J$14:J$920)+SUMIF(JournalsC!E$14:E$920,TrialBalanceC!M59,JournalsC!J$14:J$920)</f>
        <v>0</v>
      </c>
      <c r="H59" s="363"/>
      <c r="I59" s="366">
        <f t="shared" si="0"/>
        <v>0</v>
      </c>
      <c r="J59" s="81"/>
      <c r="K59" s="54">
        <f t="shared" si="1"/>
        <v>0</v>
      </c>
      <c r="M59" s="192" t="str">
        <f t="shared" si="2"/>
        <v>2100/102</v>
      </c>
      <c r="N59" s="76"/>
      <c r="O59" s="77"/>
      <c r="P59" s="57"/>
      <c r="Q59" s="31"/>
    </row>
    <row r="60" spans="1:17" x14ac:dyDescent="0.2">
      <c r="A60" s="315"/>
      <c r="B60" s="60" t="s">
        <v>202</v>
      </c>
      <c r="C60" s="353"/>
      <c r="D60" s="348"/>
      <c r="E60" s="356"/>
      <c r="F60" s="86"/>
      <c r="G60" s="53">
        <f>SUMIF(JournalsC!D$14:D$920,TrialBalanceC!M60,JournalsC!J$14:J$920)+SUMIF(JournalsC!E$14:E$920,TrialBalanceC!M60,JournalsC!J$14:J$920)</f>
        <v>0</v>
      </c>
      <c r="H60" s="363"/>
      <c r="I60" s="366">
        <f t="shared" si="0"/>
        <v>0</v>
      </c>
      <c r="J60" s="81"/>
      <c r="K60" s="54">
        <f t="shared" si="1"/>
        <v>0</v>
      </c>
      <c r="M60" s="192" t="str">
        <f t="shared" si="2"/>
        <v>2100/103</v>
      </c>
      <c r="N60" s="76"/>
      <c r="O60" s="77"/>
      <c r="P60" s="57"/>
      <c r="Q60" s="31"/>
    </row>
    <row r="61" spans="1:17" x14ac:dyDescent="0.2">
      <c r="A61" s="315"/>
      <c r="B61" s="60" t="s">
        <v>203</v>
      </c>
      <c r="C61" s="317" t="s">
        <v>76</v>
      </c>
      <c r="D61" s="357"/>
      <c r="E61" s="356"/>
      <c r="F61" s="86"/>
      <c r="G61" s="53">
        <f>SUMIF(JournalsC!D$14:D$920,TrialBalanceC!M61,JournalsC!J$14:J$920)+SUMIF(JournalsC!E$14:E$920,TrialBalanceC!M61,JournalsC!J$14:J$920)</f>
        <v>0</v>
      </c>
      <c r="H61" s="363"/>
      <c r="I61" s="366">
        <f t="shared" si="0"/>
        <v>0</v>
      </c>
      <c r="J61" s="81"/>
      <c r="K61" s="54">
        <f t="shared" si="1"/>
        <v>0</v>
      </c>
      <c r="M61" s="192" t="str">
        <f t="shared" si="2"/>
        <v>2100/110Repairs and maintenance</v>
      </c>
      <c r="N61" s="76"/>
      <c r="O61" s="77"/>
      <c r="P61" s="57"/>
      <c r="Q61" s="31"/>
    </row>
    <row r="62" spans="1:17" x14ac:dyDescent="0.2">
      <c r="A62" s="315"/>
      <c r="B62" s="60" t="s">
        <v>77</v>
      </c>
      <c r="C62" s="317" t="s">
        <v>78</v>
      </c>
      <c r="D62" s="357"/>
      <c r="E62" s="356"/>
      <c r="F62" s="86"/>
      <c r="G62" s="53">
        <f>SUMIF(JournalsC!D$14:D$920,TrialBalanceC!M62,JournalsC!J$14:J$920)+SUMIF(JournalsC!E$14:E$920,TrialBalanceC!M62,JournalsC!J$14:J$920)</f>
        <v>0</v>
      </c>
      <c r="H62" s="363"/>
      <c r="I62" s="366">
        <f t="shared" si="0"/>
        <v>0</v>
      </c>
      <c r="J62" s="81"/>
      <c r="K62" s="54">
        <f t="shared" si="1"/>
        <v>0</v>
      </c>
      <c r="M62" s="192" t="str">
        <f t="shared" si="2"/>
        <v>2100/120Salaries</v>
      </c>
      <c r="N62" s="76"/>
      <c r="O62" s="77"/>
      <c r="P62" s="57"/>
      <c r="Q62" s="31"/>
    </row>
    <row r="63" spans="1:17" x14ac:dyDescent="0.2">
      <c r="A63" s="315"/>
      <c r="B63" s="60" t="s">
        <v>79</v>
      </c>
      <c r="C63" s="317" t="s">
        <v>80</v>
      </c>
      <c r="D63" s="357"/>
      <c r="E63" s="356"/>
      <c r="F63" s="86"/>
      <c r="G63" s="53">
        <f>SUMIF(JournalsC!D$14:D$920,TrialBalanceC!M63,JournalsC!J$14:J$920)+SUMIF(JournalsC!E$14:E$920,TrialBalanceC!M63,JournalsC!J$14:J$920)</f>
        <v>0</v>
      </c>
      <c r="H63" s="363"/>
      <c r="I63" s="366">
        <f t="shared" si="0"/>
        <v>0</v>
      </c>
      <c r="J63" s="81"/>
      <c r="K63" s="54">
        <f t="shared" si="1"/>
        <v>0</v>
      </c>
      <c r="M63" s="192" t="str">
        <f t="shared" si="2"/>
        <v>2100/121UIF - Employer</v>
      </c>
      <c r="N63" s="76"/>
      <c r="O63" s="77"/>
      <c r="P63" s="57"/>
      <c r="Q63" s="31"/>
    </row>
    <row r="64" spans="1:17" x14ac:dyDescent="0.2">
      <c r="A64" s="315"/>
      <c r="B64" s="60" t="s">
        <v>81</v>
      </c>
      <c r="C64" s="317" t="s">
        <v>82</v>
      </c>
      <c r="D64" s="357"/>
      <c r="E64" s="356"/>
      <c r="F64" s="86"/>
      <c r="G64" s="53">
        <f>SUMIF(JournalsC!D$14:D$920,TrialBalanceC!M64,JournalsC!J$14:J$920)+SUMIF(JournalsC!E$14:E$920,TrialBalanceC!M64,JournalsC!J$14:J$920)</f>
        <v>0</v>
      </c>
      <c r="H64" s="363"/>
      <c r="I64" s="366">
        <f t="shared" si="0"/>
        <v>0</v>
      </c>
      <c r="J64" s="81"/>
      <c r="K64" s="54">
        <f t="shared" si="1"/>
        <v>0</v>
      </c>
      <c r="M64" s="192" t="str">
        <f t="shared" si="2"/>
        <v>2100/122Casual wages</v>
      </c>
      <c r="N64" s="76"/>
      <c r="O64" s="77"/>
      <c r="P64" s="57"/>
      <c r="Q64" s="31"/>
    </row>
    <row r="65" spans="1:17" x14ac:dyDescent="0.2">
      <c r="A65" s="315"/>
      <c r="B65" s="60" t="s">
        <v>83</v>
      </c>
      <c r="C65" s="317" t="s">
        <v>84</v>
      </c>
      <c r="D65" s="357"/>
      <c r="E65" s="356"/>
      <c r="F65" s="86"/>
      <c r="G65" s="53">
        <f>SUMIF(JournalsC!D$14:D$920,TrialBalanceC!M65,JournalsC!J$14:J$920)+SUMIF(JournalsC!E$14:E$920,TrialBalanceC!M65,JournalsC!J$14:J$920)</f>
        <v>0</v>
      </c>
      <c r="H65" s="363"/>
      <c r="I65" s="366">
        <f t="shared" si="0"/>
        <v>0</v>
      </c>
      <c r="J65" s="81"/>
      <c r="K65" s="54">
        <f t="shared" si="1"/>
        <v>0</v>
      </c>
      <c r="M65" s="192" t="str">
        <f t="shared" si="2"/>
        <v>2100/130Telephone</v>
      </c>
      <c r="N65" s="76"/>
      <c r="O65" s="77"/>
      <c r="P65" s="57"/>
      <c r="Q65" s="31"/>
    </row>
    <row r="66" spans="1:17" x14ac:dyDescent="0.2">
      <c r="A66" s="315"/>
      <c r="B66" s="60" t="s">
        <v>85</v>
      </c>
      <c r="C66" s="317" t="s">
        <v>479</v>
      </c>
      <c r="D66" s="357"/>
      <c r="E66" s="356"/>
      <c r="F66" s="86"/>
      <c r="G66" s="53">
        <f>SUMIF(JournalsC!D$14:D$920,TrialBalanceC!M66,JournalsC!J$14:J$920)+SUMIF(JournalsC!E$14:E$920,TrialBalanceC!M66,JournalsC!J$14:J$920)</f>
        <v>0</v>
      </c>
      <c r="H66" s="363"/>
      <c r="I66" s="366">
        <f t="shared" si="0"/>
        <v>0</v>
      </c>
      <c r="J66" s="81"/>
      <c r="K66" s="54">
        <f t="shared" si="1"/>
        <v>0</v>
      </c>
      <c r="M66" s="192" t="str">
        <f t="shared" si="2"/>
        <v>2100/135Postage and courier</v>
      </c>
      <c r="N66" s="76"/>
      <c r="O66" s="77"/>
      <c r="P66" s="57"/>
      <c r="Q66" s="31"/>
    </row>
    <row r="67" spans="1:17" x14ac:dyDescent="0.2">
      <c r="A67" s="315"/>
      <c r="B67" s="60" t="s">
        <v>86</v>
      </c>
      <c r="C67" s="317" t="s">
        <v>255</v>
      </c>
      <c r="D67" s="357"/>
      <c r="E67" s="356"/>
      <c r="F67" s="86"/>
      <c r="G67" s="53">
        <f>SUMIF(JournalsC!D$14:D$920,TrialBalanceC!M67,JournalsC!J$14:J$920)+SUMIF(JournalsC!E$14:E$920,TrialBalanceC!M67,JournalsC!J$14:J$920)</f>
        <v>0</v>
      </c>
      <c r="H67" s="363"/>
      <c r="I67" s="366">
        <f t="shared" si="0"/>
        <v>0</v>
      </c>
      <c r="J67" s="81"/>
      <c r="K67" s="54">
        <f t="shared" si="1"/>
        <v>0</v>
      </c>
      <c r="M67" s="192" t="str">
        <f t="shared" si="2"/>
        <v>2100/140Training</v>
      </c>
      <c r="N67" s="76"/>
      <c r="O67" s="77"/>
      <c r="P67" s="57"/>
      <c r="Q67" s="31"/>
    </row>
    <row r="68" spans="1:17" x14ac:dyDescent="0.2">
      <c r="A68" s="315"/>
      <c r="B68" s="60" t="s">
        <v>87</v>
      </c>
      <c r="C68" s="318" t="s">
        <v>805</v>
      </c>
      <c r="D68" s="348"/>
      <c r="E68" s="356"/>
      <c r="F68" s="86"/>
      <c r="G68" s="53">
        <f>SUMIF(JournalsC!D$14:D$920,TrialBalanceC!M68,JournalsC!J$14:J$920)+SUMIF(JournalsC!E$14:E$920,TrialBalanceC!M68,JournalsC!J$14:J$920)</f>
        <v>0</v>
      </c>
      <c r="H68" s="363"/>
      <c r="I68" s="366">
        <f t="shared" si="0"/>
        <v>0</v>
      </c>
      <c r="J68" s="81"/>
      <c r="K68" s="54">
        <f t="shared" si="1"/>
        <v>0</v>
      </c>
      <c r="M68" s="192" t="str">
        <f t="shared" si="2"/>
        <v>2100/150Traveling and accommodation</v>
      </c>
      <c r="N68" s="76"/>
      <c r="O68" s="77"/>
      <c r="P68" s="57"/>
      <c r="Q68" s="31"/>
    </row>
    <row r="69" spans="1:17" x14ac:dyDescent="0.2">
      <c r="A69" s="315"/>
      <c r="B69" s="110" t="s">
        <v>597</v>
      </c>
      <c r="C69" s="352"/>
      <c r="D69" s="356"/>
      <c r="E69" s="356"/>
      <c r="F69" s="86"/>
      <c r="G69" s="53">
        <f>SUMIF(JournalsC!D$14:D$920,TrialBalanceC!M69,JournalsC!J$14:J$920)+SUMIF(JournalsC!E$14:E$920,TrialBalanceC!M69,JournalsC!J$14:J$920)</f>
        <v>0</v>
      </c>
      <c r="H69" s="363"/>
      <c r="I69" s="366">
        <f t="shared" si="0"/>
        <v>0</v>
      </c>
      <c r="J69" s="81"/>
      <c r="K69" s="54">
        <f t="shared" si="1"/>
        <v>0</v>
      </c>
      <c r="M69" s="192" t="str">
        <f t="shared" si="2"/>
        <v>2150/001</v>
      </c>
      <c r="N69" s="76"/>
      <c r="O69" s="77"/>
      <c r="P69" s="57"/>
      <c r="Q69" s="31"/>
    </row>
    <row r="70" spans="1:17" x14ac:dyDescent="0.2">
      <c r="A70" s="315"/>
      <c r="B70" s="110" t="s">
        <v>598</v>
      </c>
      <c r="C70" s="352"/>
      <c r="D70" s="356"/>
      <c r="E70" s="356"/>
      <c r="F70" s="86"/>
      <c r="G70" s="53">
        <f>SUMIF(JournalsC!D$14:D$920,TrialBalanceC!M70,JournalsC!J$14:J$920)+SUMIF(JournalsC!E$14:E$920,TrialBalanceC!M70,JournalsC!J$14:J$920)</f>
        <v>0</v>
      </c>
      <c r="H70" s="363"/>
      <c r="I70" s="366">
        <f t="shared" ref="I70:I88" si="6">ROUND(D70-E70+G70+F70,0)</f>
        <v>0</v>
      </c>
      <c r="J70" s="81"/>
      <c r="K70" s="54">
        <f t="shared" ref="K70:K123" si="7">ROUND(SUM(A70),0)</f>
        <v>0</v>
      </c>
      <c r="M70" s="192" t="str">
        <f t="shared" ref="M70:M123" si="8">CONCATENATE(B70,C70)</f>
        <v>2150/002</v>
      </c>
      <c r="N70" s="76"/>
      <c r="O70" s="77"/>
      <c r="P70" s="57"/>
      <c r="Q70" s="31"/>
    </row>
    <row r="71" spans="1:17" x14ac:dyDescent="0.2">
      <c r="A71" s="315"/>
      <c r="B71" s="110" t="s">
        <v>599</v>
      </c>
      <c r="C71" s="352"/>
      <c r="D71" s="356"/>
      <c r="E71" s="356"/>
      <c r="F71" s="86"/>
      <c r="G71" s="53">
        <f>SUMIF(JournalsC!D$14:D$920,TrialBalanceC!M71,JournalsC!J$14:J$920)+SUMIF(JournalsC!E$14:E$920,TrialBalanceC!M71,JournalsC!J$14:J$920)</f>
        <v>0</v>
      </c>
      <c r="H71" s="363"/>
      <c r="I71" s="366">
        <f t="shared" si="6"/>
        <v>0</v>
      </c>
      <c r="J71" s="81"/>
      <c r="K71" s="54">
        <f t="shared" si="7"/>
        <v>0</v>
      </c>
      <c r="M71" s="192" t="str">
        <f t="shared" si="8"/>
        <v>2150/003</v>
      </c>
      <c r="N71" s="76"/>
      <c r="O71" s="77"/>
      <c r="P71" s="57"/>
      <c r="Q71" s="31"/>
    </row>
    <row r="72" spans="1:17" x14ac:dyDescent="0.2">
      <c r="A72" s="315"/>
      <c r="B72" s="110" t="s">
        <v>600</v>
      </c>
      <c r="C72" s="352"/>
      <c r="D72" s="356"/>
      <c r="E72" s="356"/>
      <c r="F72" s="86"/>
      <c r="G72" s="53">
        <f>SUMIF(JournalsC!D$14:D$920,TrialBalanceC!M72,JournalsC!J$14:J$920)+SUMIF(JournalsC!E$14:E$920,TrialBalanceC!M72,JournalsC!J$14:J$920)</f>
        <v>0</v>
      </c>
      <c r="H72" s="363"/>
      <c r="I72" s="366">
        <f t="shared" si="6"/>
        <v>0</v>
      </c>
      <c r="J72" s="81"/>
      <c r="K72" s="54">
        <f t="shared" si="7"/>
        <v>0</v>
      </c>
      <c r="M72" s="192" t="str">
        <f t="shared" si="8"/>
        <v>2150/004</v>
      </c>
      <c r="N72" s="76"/>
      <c r="O72" s="77"/>
      <c r="P72" s="57"/>
      <c r="Q72" s="31"/>
    </row>
    <row r="73" spans="1:17" x14ac:dyDescent="0.2">
      <c r="A73" s="315"/>
      <c r="B73" s="110" t="s">
        <v>601</v>
      </c>
      <c r="C73" s="352"/>
      <c r="D73" s="356"/>
      <c r="E73" s="356"/>
      <c r="F73" s="86"/>
      <c r="G73" s="53">
        <f>SUMIF(JournalsC!D$14:D$920,TrialBalanceC!M73,JournalsC!J$14:J$920)+SUMIF(JournalsC!E$14:E$920,TrialBalanceC!M73,JournalsC!J$14:J$920)</f>
        <v>0</v>
      </c>
      <c r="H73" s="363"/>
      <c r="I73" s="366">
        <f t="shared" si="6"/>
        <v>0</v>
      </c>
      <c r="J73" s="81"/>
      <c r="K73" s="54">
        <f t="shared" si="7"/>
        <v>0</v>
      </c>
      <c r="M73" s="192" t="str">
        <f t="shared" si="8"/>
        <v>2150/005</v>
      </c>
      <c r="N73" s="76"/>
      <c r="O73" s="77"/>
      <c r="P73" s="57"/>
      <c r="Q73" s="31"/>
    </row>
    <row r="74" spans="1:17" x14ac:dyDescent="0.2">
      <c r="A74" s="315"/>
      <c r="B74" s="110" t="s">
        <v>602</v>
      </c>
      <c r="C74" s="352"/>
      <c r="D74" s="356"/>
      <c r="E74" s="356"/>
      <c r="F74" s="86"/>
      <c r="G74" s="53">
        <f>SUMIF(JournalsC!D$14:D$920,TrialBalanceC!M74,JournalsC!J$14:J$920)+SUMIF(JournalsC!E$14:E$920,TrialBalanceC!M74,JournalsC!J$14:J$920)</f>
        <v>0</v>
      </c>
      <c r="H74" s="363"/>
      <c r="I74" s="366">
        <f t="shared" si="6"/>
        <v>0</v>
      </c>
      <c r="J74" s="81"/>
      <c r="K74" s="54">
        <f t="shared" si="7"/>
        <v>0</v>
      </c>
      <c r="M74" s="192" t="str">
        <f t="shared" si="8"/>
        <v>2150/006</v>
      </c>
      <c r="N74" s="76"/>
      <c r="O74" s="77"/>
      <c r="P74" s="57"/>
      <c r="Q74" s="31"/>
    </row>
    <row r="75" spans="1:17" x14ac:dyDescent="0.2">
      <c r="A75" s="315"/>
      <c r="B75" s="110" t="s">
        <v>603</v>
      </c>
      <c r="C75" s="354"/>
      <c r="D75" s="350"/>
      <c r="E75" s="356"/>
      <c r="F75" s="86"/>
      <c r="G75" s="53">
        <f>SUMIF(JournalsC!D$14:D$920,TrialBalanceC!M75,JournalsC!J$14:J$920)+SUMIF(JournalsC!E$14:E$920,TrialBalanceC!M75,JournalsC!J$14:J$920)</f>
        <v>0</v>
      </c>
      <c r="H75" s="363"/>
      <c r="I75" s="366">
        <f t="shared" si="6"/>
        <v>0</v>
      </c>
      <c r="J75" s="81"/>
      <c r="K75" s="54">
        <f t="shared" si="7"/>
        <v>0</v>
      </c>
      <c r="M75" s="192" t="str">
        <f t="shared" si="8"/>
        <v>2150/007</v>
      </c>
      <c r="N75" s="76"/>
      <c r="O75" s="77"/>
      <c r="P75" s="57"/>
      <c r="Q75" s="31"/>
    </row>
    <row r="76" spans="1:17" x14ac:dyDescent="0.2">
      <c r="A76" s="315"/>
      <c r="B76" s="110" t="s">
        <v>604</v>
      </c>
      <c r="C76" s="354"/>
      <c r="D76" s="350"/>
      <c r="E76" s="356"/>
      <c r="F76" s="86"/>
      <c r="G76" s="53">
        <f>SUMIF(JournalsC!D$14:D$920,TrialBalanceC!M76,JournalsC!J$14:J$920)+SUMIF(JournalsC!E$14:E$920,TrialBalanceC!M76,JournalsC!J$14:J$920)</f>
        <v>0</v>
      </c>
      <c r="H76" s="363"/>
      <c r="I76" s="366">
        <f t="shared" si="6"/>
        <v>0</v>
      </c>
      <c r="J76" s="81"/>
      <c r="K76" s="54">
        <f t="shared" si="7"/>
        <v>0</v>
      </c>
      <c r="M76" s="192" t="str">
        <f t="shared" si="8"/>
        <v>2150/008</v>
      </c>
      <c r="N76" s="76"/>
      <c r="O76" s="77"/>
      <c r="P76" s="57"/>
      <c r="Q76" s="31"/>
    </row>
    <row r="77" spans="1:17" x14ac:dyDescent="0.2">
      <c r="A77" s="315"/>
      <c r="B77" s="110" t="s">
        <v>605</v>
      </c>
      <c r="C77" s="352"/>
      <c r="D77" s="356"/>
      <c r="E77" s="356"/>
      <c r="F77" s="86"/>
      <c r="G77" s="53">
        <f>SUMIF(JournalsC!D$14:D$920,TrialBalanceC!M77,JournalsC!J$14:J$920)+SUMIF(JournalsC!E$14:E$920,TrialBalanceC!M77,JournalsC!J$14:J$920)</f>
        <v>0</v>
      </c>
      <c r="H77" s="363"/>
      <c r="I77" s="366">
        <f t="shared" si="6"/>
        <v>0</v>
      </c>
      <c r="J77" s="81"/>
      <c r="K77" s="54">
        <f t="shared" si="7"/>
        <v>0</v>
      </c>
      <c r="M77" s="192" t="str">
        <f t="shared" si="8"/>
        <v>2150/009</v>
      </c>
      <c r="N77" s="76"/>
      <c r="O77" s="77"/>
      <c r="P77" s="57"/>
      <c r="Q77" s="31"/>
    </row>
    <row r="78" spans="1:17" x14ac:dyDescent="0.2">
      <c r="A78" s="315"/>
      <c r="B78" s="110" t="s">
        <v>606</v>
      </c>
      <c r="C78" s="352"/>
      <c r="D78" s="356"/>
      <c r="E78" s="356"/>
      <c r="F78" s="86"/>
      <c r="G78" s="53">
        <f>SUMIF(JournalsC!D$14:D$920,TrialBalanceC!M78,JournalsC!J$14:J$920)+SUMIF(JournalsC!E$14:E$920,TrialBalanceC!M78,JournalsC!J$14:J$920)</f>
        <v>0</v>
      </c>
      <c r="H78" s="363"/>
      <c r="I78" s="366">
        <f t="shared" si="6"/>
        <v>0</v>
      </c>
      <c r="J78" s="81"/>
      <c r="K78" s="54">
        <f t="shared" si="7"/>
        <v>0</v>
      </c>
      <c r="M78" s="192" t="str">
        <f t="shared" si="8"/>
        <v>2150/010</v>
      </c>
      <c r="N78" s="76"/>
      <c r="O78" s="77"/>
      <c r="P78" s="57"/>
      <c r="Q78" s="31"/>
    </row>
    <row r="79" spans="1:17" x14ac:dyDescent="0.2">
      <c r="A79" s="315"/>
      <c r="B79" s="60" t="s">
        <v>21</v>
      </c>
      <c r="C79" s="316" t="s">
        <v>949</v>
      </c>
      <c r="D79" s="358"/>
      <c r="E79" s="356"/>
      <c r="F79" s="86"/>
      <c r="G79" s="53">
        <f>SUMIF(JournalsC!D$14:D$920,TrialBalanceC!M79,JournalsC!J$14:J$920)+SUMIF(JournalsC!E$14:E$920,TrialBalanceC!M79,JournalsC!J$14:J$920)</f>
        <v>0</v>
      </c>
      <c r="H79" s="363"/>
      <c r="I79" s="366">
        <f t="shared" si="6"/>
        <v>0</v>
      </c>
      <c r="J79" s="81"/>
      <c r="K79" s="54">
        <f t="shared" si="7"/>
        <v>0</v>
      </c>
      <c r="M79" s="192" t="str">
        <f t="shared" si="8"/>
        <v>2500/000OTHER INCOME (TRADING ACTIVITY)</v>
      </c>
      <c r="N79" s="76"/>
      <c r="O79" s="77"/>
      <c r="P79" s="57"/>
      <c r="Q79" s="31"/>
    </row>
    <row r="80" spans="1:17" x14ac:dyDescent="0.2">
      <c r="A80" s="315"/>
      <c r="B80" s="60" t="s">
        <v>364</v>
      </c>
      <c r="C80" s="318" t="s">
        <v>765</v>
      </c>
      <c r="D80" s="348"/>
      <c r="E80" s="356"/>
      <c r="F80" s="86"/>
      <c r="G80" s="53">
        <f>SUMIF(JournalsC!D$14:D$920,TrialBalanceC!M80,JournalsC!J$14:J$920)+SUMIF(JournalsC!E$14:E$920,TrialBalanceC!M80,JournalsC!J$14:J$920)</f>
        <v>0</v>
      </c>
      <c r="H80" s="363"/>
      <c r="I80" s="366">
        <f t="shared" si="6"/>
        <v>0</v>
      </c>
      <c r="J80" s="81"/>
      <c r="K80" s="54">
        <f t="shared" si="7"/>
        <v>0</v>
      </c>
      <c r="M80" s="192" t="str">
        <f t="shared" si="8"/>
        <v>2710/000Rent received (not main income)</v>
      </c>
      <c r="N80" s="76"/>
      <c r="O80" s="77"/>
      <c r="P80" s="57"/>
      <c r="Q80" s="31"/>
    </row>
    <row r="81" spans="1:17" x14ac:dyDescent="0.2">
      <c r="A81" s="315"/>
      <c r="B81" s="60" t="s">
        <v>206</v>
      </c>
      <c r="C81" s="319" t="s">
        <v>632</v>
      </c>
      <c r="D81" s="359"/>
      <c r="E81" s="356"/>
      <c r="F81" s="86"/>
      <c r="G81" s="53">
        <f>SUMIF(JournalsC!D$14:D$920,TrialBalanceC!M81,JournalsC!J$14:J$920)+SUMIF(JournalsC!E$14:E$920,TrialBalanceC!M81,JournalsC!J$14:J$920)</f>
        <v>0</v>
      </c>
      <c r="H81" s="363"/>
      <c r="I81" s="366">
        <f t="shared" si="6"/>
        <v>0</v>
      </c>
      <c r="J81" s="81"/>
      <c r="K81" s="54">
        <f t="shared" si="7"/>
        <v>0</v>
      </c>
      <c r="M81" s="192" t="str">
        <f t="shared" si="8"/>
        <v>2810/000(Profit)/Loss on sale of fixed assets</v>
      </c>
      <c r="N81" s="76"/>
      <c r="O81" s="77"/>
      <c r="P81" s="57"/>
      <c r="Q81" s="31"/>
    </row>
    <row r="82" spans="1:17" x14ac:dyDescent="0.2">
      <c r="A82" s="315"/>
      <c r="B82" s="60" t="s">
        <v>207</v>
      </c>
      <c r="C82" s="317" t="s">
        <v>208</v>
      </c>
      <c r="D82" s="357"/>
      <c r="E82" s="356"/>
      <c r="F82" s="86"/>
      <c r="G82" s="53">
        <f>SUMIF(JournalsC!D$14:D$920,TrialBalanceC!M82,JournalsC!J$14:J$920)+SUMIF(JournalsC!E$14:E$920,TrialBalanceC!M82,JournalsC!J$14:J$920)</f>
        <v>0</v>
      </c>
      <c r="H82" s="363"/>
      <c r="I82" s="366">
        <f t="shared" si="6"/>
        <v>0</v>
      </c>
      <c r="J82" s="81"/>
      <c r="K82" s="54">
        <f t="shared" si="7"/>
        <v>0</v>
      </c>
      <c r="M82" s="192" t="str">
        <f t="shared" si="8"/>
        <v>2820/000Bad debts recovered</v>
      </c>
      <c r="N82" s="76"/>
      <c r="O82" s="77"/>
      <c r="P82" s="57"/>
      <c r="Q82" s="31"/>
    </row>
    <row r="83" spans="1:17" x14ac:dyDescent="0.2">
      <c r="A83" s="315"/>
      <c r="B83" s="60" t="s">
        <v>209</v>
      </c>
      <c r="C83" s="317" t="s">
        <v>210</v>
      </c>
      <c r="D83" s="357"/>
      <c r="E83" s="356"/>
      <c r="F83" s="86"/>
      <c r="G83" s="53">
        <f>SUMIF(JournalsC!D$14:D$920,TrialBalanceC!M83,JournalsC!J$14:J$920)+SUMIF(JournalsC!E$14:E$920,TrialBalanceC!M83,JournalsC!J$14:J$920)</f>
        <v>0</v>
      </c>
      <c r="H83" s="363"/>
      <c r="I83" s="366">
        <f t="shared" si="6"/>
        <v>0</v>
      </c>
      <c r="J83" s="81"/>
      <c r="K83" s="54">
        <f t="shared" si="7"/>
        <v>0</v>
      </c>
      <c r="M83" s="192" t="str">
        <f t="shared" si="8"/>
        <v>2830/000Other income</v>
      </c>
      <c r="N83" s="76"/>
      <c r="O83" s="57"/>
      <c r="P83" s="57"/>
      <c r="Q83" s="31"/>
    </row>
    <row r="84" spans="1:17" x14ac:dyDescent="0.2">
      <c r="A84" s="315"/>
      <c r="B84" s="60" t="s">
        <v>211</v>
      </c>
      <c r="C84" s="316" t="s">
        <v>1043</v>
      </c>
      <c r="D84" s="358"/>
      <c r="E84" s="356"/>
      <c r="F84" s="86"/>
      <c r="G84" s="53">
        <f>SUMIF(JournalsC!D$14:D$920,TrialBalanceC!M84,JournalsC!J$14:J$920)+SUMIF(JournalsC!E$14:E$920,TrialBalanceC!M84,JournalsC!J$14:J$920)</f>
        <v>0</v>
      </c>
      <c r="H84" s="363"/>
      <c r="I84" s="366">
        <f t="shared" si="6"/>
        <v>0</v>
      </c>
      <c r="J84" s="81"/>
      <c r="K84" s="54">
        <f t="shared" si="7"/>
        <v>0</v>
      </c>
      <c r="M84" s="192" t="str">
        <f t="shared" si="8"/>
        <v>3000/000ADMINISTRATIVE EXPENSES</v>
      </c>
      <c r="N84" s="76"/>
      <c r="O84" s="77"/>
      <c r="P84" s="57"/>
      <c r="Q84" s="31"/>
    </row>
    <row r="85" spans="1:17" x14ac:dyDescent="0.2">
      <c r="A85" s="315"/>
      <c r="B85" s="60" t="s">
        <v>212</v>
      </c>
      <c r="C85" s="317" t="s">
        <v>213</v>
      </c>
      <c r="D85" s="357"/>
      <c r="E85" s="356"/>
      <c r="F85" s="86"/>
      <c r="G85" s="53">
        <f>SUMIF(JournalsC!D$14:D$920,TrialBalanceC!M85,JournalsC!J$14:J$920)+SUMIF(JournalsC!E$14:E$920,TrialBalanceC!M85,JournalsC!J$14:J$920)</f>
        <v>0</v>
      </c>
      <c r="H85" s="363"/>
      <c r="I85" s="366">
        <f t="shared" si="6"/>
        <v>0</v>
      </c>
      <c r="J85" s="81"/>
      <c r="K85" s="54">
        <f t="shared" si="7"/>
        <v>0</v>
      </c>
      <c r="M85" s="192" t="str">
        <f t="shared" si="8"/>
        <v>3000/011Audit fees for current year</v>
      </c>
      <c r="N85" s="76"/>
      <c r="O85" s="57"/>
      <c r="P85" s="57"/>
      <c r="Q85" s="31"/>
    </row>
    <row r="86" spans="1:17" x14ac:dyDescent="0.2">
      <c r="A86" s="315"/>
      <c r="B86" s="60" t="s">
        <v>214</v>
      </c>
      <c r="C86" s="323" t="s">
        <v>353</v>
      </c>
      <c r="D86" s="348"/>
      <c r="E86" s="356"/>
      <c r="F86" s="86"/>
      <c r="G86" s="53">
        <f>SUMIF(JournalsC!D$14:D$920,TrialBalanceC!M86,JournalsC!J$14:J$920)+SUMIF(JournalsC!E$14:E$920,TrialBalanceC!M86,JournalsC!J$14:J$920)</f>
        <v>0</v>
      </c>
      <c r="H86" s="363"/>
      <c r="I86" s="366">
        <f t="shared" si="6"/>
        <v>0</v>
      </c>
      <c r="J86" s="81"/>
      <c r="K86" s="54">
        <f t="shared" si="7"/>
        <v>0</v>
      </c>
      <c r="M86" s="192" t="str">
        <f t="shared" si="8"/>
        <v>3000/012Under provision previous year</v>
      </c>
      <c r="N86" s="76"/>
      <c r="O86" s="77"/>
      <c r="P86" s="57"/>
      <c r="Q86" s="31"/>
    </row>
    <row r="87" spans="1:17" x14ac:dyDescent="0.2">
      <c r="A87" s="315"/>
      <c r="B87" s="60" t="s">
        <v>215</v>
      </c>
      <c r="C87" s="317" t="s">
        <v>216</v>
      </c>
      <c r="D87" s="357"/>
      <c r="E87" s="356"/>
      <c r="F87" s="86"/>
      <c r="G87" s="53">
        <f>SUMIF(JournalsC!D$14:D$920,TrialBalanceC!M87,JournalsC!J$14:J$920)+SUMIF(JournalsC!E$14:E$920,TrialBalanceC!M87,JournalsC!J$14:J$920)</f>
        <v>0</v>
      </c>
      <c r="H87" s="363"/>
      <c r="I87" s="366">
        <f t="shared" si="6"/>
        <v>0</v>
      </c>
      <c r="J87" s="81"/>
      <c r="K87" s="54">
        <f t="shared" si="7"/>
        <v>0</v>
      </c>
      <c r="M87" s="192" t="str">
        <f t="shared" si="8"/>
        <v>3000/013Overprovision previous year</v>
      </c>
      <c r="N87" s="76"/>
      <c r="O87" s="77"/>
      <c r="P87" s="57"/>
      <c r="Q87" s="31"/>
    </row>
    <row r="88" spans="1:17" x14ac:dyDescent="0.2">
      <c r="A88" s="315"/>
      <c r="B88" s="60" t="s">
        <v>217</v>
      </c>
      <c r="C88" s="317" t="s">
        <v>218</v>
      </c>
      <c r="D88" s="357"/>
      <c r="E88" s="356"/>
      <c r="F88" s="86"/>
      <c r="G88" s="53">
        <f>SUMIF(JournalsC!D$14:D$920,TrialBalanceC!M88,JournalsC!J$14:J$920)+SUMIF(JournalsC!E$14:E$920,TrialBalanceC!M88,JournalsC!J$14:J$920)</f>
        <v>0</v>
      </c>
      <c r="H88" s="363"/>
      <c r="I88" s="366">
        <f t="shared" si="6"/>
        <v>0</v>
      </c>
      <c r="J88" s="81"/>
      <c r="K88" s="54">
        <f t="shared" si="7"/>
        <v>0</v>
      </c>
      <c r="M88" s="192" t="str">
        <f t="shared" si="8"/>
        <v>3000/014Accounting fees</v>
      </c>
      <c r="N88" s="76"/>
      <c r="O88" s="77"/>
      <c r="P88" s="57"/>
      <c r="Q88" s="31"/>
    </row>
    <row r="89" spans="1:17" x14ac:dyDescent="0.2">
      <c r="A89" s="315"/>
      <c r="B89" s="60" t="s">
        <v>219</v>
      </c>
      <c r="C89" s="317" t="s">
        <v>220</v>
      </c>
      <c r="D89" s="357"/>
      <c r="E89" s="356"/>
      <c r="F89" s="86"/>
      <c r="G89" s="53">
        <f>SUMIF(JournalsC!D$14:D$920,TrialBalanceC!M89,JournalsC!J$14:J$920)+SUMIF(JournalsC!E$14:E$920,TrialBalanceC!M89,JournalsC!J$14:J$920)</f>
        <v>0</v>
      </c>
      <c r="H89" s="363"/>
      <c r="I89" s="366">
        <f>ROUND(D89-E89+G89+F89,0)</f>
        <v>0</v>
      </c>
      <c r="J89" s="81"/>
      <c r="K89" s="54">
        <f t="shared" si="7"/>
        <v>0</v>
      </c>
      <c r="M89" s="192" t="str">
        <f t="shared" si="8"/>
        <v>3000/020Bank charges</v>
      </c>
      <c r="N89" s="76"/>
      <c r="O89" s="77"/>
      <c r="P89" s="57"/>
      <c r="Q89" s="31"/>
    </row>
    <row r="90" spans="1:17" x14ac:dyDescent="0.2">
      <c r="A90" s="315"/>
      <c r="B90" s="60" t="s">
        <v>221</v>
      </c>
      <c r="C90" s="317" t="s">
        <v>222</v>
      </c>
      <c r="D90" s="357"/>
      <c r="E90" s="356"/>
      <c r="F90" s="86"/>
      <c r="G90" s="53">
        <f>SUMIF(JournalsC!D$14:D$920,TrialBalanceC!M90,JournalsC!J$14:J$920)+SUMIF(JournalsC!E$14:E$920,TrialBalanceC!M90,JournalsC!J$14:J$920)</f>
        <v>0</v>
      </c>
      <c r="H90" s="363"/>
      <c r="I90" s="366">
        <f t="shared" ref="I90:I179" si="9">ROUND(D90-E90+G90+F90,0)</f>
        <v>0</v>
      </c>
      <c r="J90" s="81"/>
      <c r="K90" s="54">
        <f t="shared" si="7"/>
        <v>0</v>
      </c>
      <c r="M90" s="192" t="str">
        <f t="shared" si="8"/>
        <v>3000/030Bad debts</v>
      </c>
      <c r="N90" s="76"/>
      <c r="O90" s="77"/>
      <c r="P90" s="57"/>
      <c r="Q90" s="31"/>
    </row>
    <row r="91" spans="1:17" x14ac:dyDescent="0.2">
      <c r="A91" s="315"/>
      <c r="B91" s="60" t="s">
        <v>223</v>
      </c>
      <c r="C91" s="317" t="s">
        <v>259</v>
      </c>
      <c r="D91" s="357"/>
      <c r="E91" s="356"/>
      <c r="F91" s="86"/>
      <c r="G91" s="53">
        <f>SUMIF(JournalsC!D$14:D$920,TrialBalanceC!M91,JournalsC!J$14:J$920)+SUMIF(JournalsC!E$14:E$920,TrialBalanceC!M91,JournalsC!J$14:J$920)</f>
        <v>0</v>
      </c>
      <c r="H91" s="363"/>
      <c r="I91" s="366">
        <f t="shared" si="9"/>
        <v>0</v>
      </c>
      <c r="J91" s="81"/>
      <c r="K91" s="54">
        <f t="shared" si="7"/>
        <v>0</v>
      </c>
      <c r="M91" s="192" t="str">
        <f t="shared" si="8"/>
        <v>3000/040Cleaning</v>
      </c>
      <c r="N91" s="76"/>
      <c r="O91" s="77"/>
      <c r="P91" s="57"/>
      <c r="Q91" s="31"/>
    </row>
    <row r="92" spans="1:17" x14ac:dyDescent="0.2">
      <c r="A92" s="315"/>
      <c r="B92" s="60" t="s">
        <v>224</v>
      </c>
      <c r="C92" s="317" t="s">
        <v>225</v>
      </c>
      <c r="D92" s="357"/>
      <c r="E92" s="356"/>
      <c r="F92" s="86"/>
      <c r="G92" s="53">
        <f>SUMIF(JournalsC!D$14:D$920,TrialBalanceC!M92,JournalsC!J$14:J$920)+SUMIF(JournalsC!E$14:E$920,TrialBalanceC!M92,JournalsC!J$14:J$920)</f>
        <v>0</v>
      </c>
      <c r="H92" s="363"/>
      <c r="I92" s="366">
        <f t="shared" si="9"/>
        <v>0</v>
      </c>
      <c r="J92" s="81"/>
      <c r="K92" s="54">
        <f t="shared" si="7"/>
        <v>0</v>
      </c>
      <c r="M92" s="192" t="str">
        <f t="shared" si="8"/>
        <v>3000/050Computer expenses</v>
      </c>
      <c r="N92" s="76"/>
      <c r="O92" s="77"/>
      <c r="P92" s="57"/>
      <c r="Q92" s="31"/>
    </row>
    <row r="93" spans="1:17" x14ac:dyDescent="0.2">
      <c r="A93" s="315"/>
      <c r="B93" s="110" t="s">
        <v>659</v>
      </c>
      <c r="C93" s="319" t="s">
        <v>735</v>
      </c>
      <c r="D93" s="357"/>
      <c r="E93" s="356"/>
      <c r="F93" s="86"/>
      <c r="G93" s="53">
        <f>SUMIF(JournalsC!D$14:D$920,TrialBalanceC!M93,JournalsC!J$14:J$920)+SUMIF(JournalsC!E$14:E$920,TrialBalanceC!M93,JournalsC!J$14:J$920)</f>
        <v>0</v>
      </c>
      <c r="H93" s="363"/>
      <c r="I93" s="366">
        <f t="shared" ref="I93" si="10">ROUND(D93-E93+G93+F93,0)</f>
        <v>0</v>
      </c>
      <c r="J93" s="81"/>
      <c r="K93" s="54">
        <f t="shared" ref="K93" si="11">ROUND(SUM(A93),0)</f>
        <v>0</v>
      </c>
      <c r="M93" s="192" t="str">
        <f t="shared" ref="M93" si="12">CONCATENATE(B93,C93)</f>
        <v>3000/055Consulting and professional fees</v>
      </c>
      <c r="N93" s="76"/>
      <c r="O93" s="77"/>
      <c r="P93" s="57"/>
      <c r="Q93" s="31"/>
    </row>
    <row r="94" spans="1:17" x14ac:dyDescent="0.2">
      <c r="A94" s="315"/>
      <c r="B94" s="60" t="s">
        <v>226</v>
      </c>
      <c r="C94" s="316" t="s">
        <v>418</v>
      </c>
      <c r="D94" s="358"/>
      <c r="E94" s="356"/>
      <c r="F94" s="86"/>
      <c r="G94" s="53">
        <f>SUMIF(JournalsC!D$14:D$920,TrialBalanceC!M94,JournalsC!J$14:J$920)+SUMIF(JournalsC!E$14:E$920,TrialBalanceC!M94,JournalsC!J$14:J$920)</f>
        <v>0</v>
      </c>
      <c r="H94" s="363"/>
      <c r="I94" s="366">
        <f t="shared" si="9"/>
        <v>0</v>
      </c>
      <c r="J94" s="81"/>
      <c r="K94" s="54">
        <f t="shared" si="7"/>
        <v>0</v>
      </c>
      <c r="M94" s="192" t="str">
        <f t="shared" si="8"/>
        <v>3000/060Depreciation----------------------------</v>
      </c>
      <c r="N94" s="76"/>
      <c r="O94" s="77"/>
      <c r="P94" s="57"/>
      <c r="Q94" s="31"/>
    </row>
    <row r="95" spans="1:17" x14ac:dyDescent="0.2">
      <c r="A95" s="315"/>
      <c r="B95" s="110" t="s">
        <v>227</v>
      </c>
      <c r="C95" s="318" t="s">
        <v>60</v>
      </c>
      <c r="D95" s="356"/>
      <c r="E95" s="356"/>
      <c r="F95" s="86"/>
      <c r="G95" s="53">
        <f>SUMIF(JournalsC!D$14:D$920,TrialBalanceC!M95,JournalsC!J$14:J$920)+SUMIF(JournalsC!E$14:E$920,TrialBalanceC!M95,JournalsC!J$14:J$920)</f>
        <v>0</v>
      </c>
      <c r="H95" s="363"/>
      <c r="I95" s="366">
        <f t="shared" si="9"/>
        <v>0</v>
      </c>
      <c r="J95" s="81"/>
      <c r="K95" s="54">
        <f t="shared" si="7"/>
        <v>0</v>
      </c>
      <c r="M95" s="192" t="str">
        <f t="shared" si="8"/>
        <v>3000/061Depr - Electronic equipment</v>
      </c>
      <c r="N95" s="76"/>
      <c r="O95" s="77"/>
      <c r="P95" s="57"/>
      <c r="Q95" s="31"/>
    </row>
    <row r="96" spans="1:17" x14ac:dyDescent="0.2">
      <c r="A96" s="315"/>
      <c r="B96" s="110" t="s">
        <v>366</v>
      </c>
      <c r="C96" s="319" t="s">
        <v>770</v>
      </c>
      <c r="D96" s="357"/>
      <c r="E96" s="356"/>
      <c r="F96" s="86"/>
      <c r="G96" s="53">
        <f>SUMIF(JournalsC!D$14:D$920,TrialBalanceC!M96,JournalsC!J$14:J$920)+SUMIF(JournalsC!E$14:E$920,TrialBalanceC!M96,JournalsC!J$14:J$920)</f>
        <v>0</v>
      </c>
      <c r="H96" s="363"/>
      <c r="I96" s="366">
        <f t="shared" si="9"/>
        <v>0</v>
      </c>
      <c r="J96" s="81"/>
      <c r="K96" s="54">
        <f t="shared" si="7"/>
        <v>0</v>
      </c>
      <c r="M96" s="192" t="str">
        <f t="shared" si="8"/>
        <v>3000/063Depr - Furniture and fittings</v>
      </c>
      <c r="N96" s="76"/>
      <c r="O96" s="77"/>
      <c r="P96" s="57"/>
      <c r="Q96" s="31"/>
    </row>
    <row r="97" spans="1:17" x14ac:dyDescent="0.2">
      <c r="A97" s="315"/>
      <c r="B97" s="60" t="s">
        <v>367</v>
      </c>
      <c r="C97" s="316" t="s">
        <v>942</v>
      </c>
      <c r="D97" s="358"/>
      <c r="E97" s="356"/>
      <c r="F97" s="86"/>
      <c r="G97" s="53">
        <f>SUMIF(JournalsC!D$14:D$920,TrialBalanceC!M97,JournalsC!J$14:J$920)+SUMIF(JournalsC!E$14:E$920,TrialBalanceC!M97,JournalsC!J$14:J$920)</f>
        <v>0</v>
      </c>
      <c r="H97" s="363"/>
      <c r="I97" s="366">
        <f t="shared" si="9"/>
        <v>0</v>
      </c>
      <c r="J97" s="81"/>
      <c r="K97" s="54">
        <f t="shared" si="7"/>
        <v>0</v>
      </c>
      <c r="M97" s="192" t="str">
        <f t="shared" si="8"/>
        <v>3000/070Trustees' remuneration-----------------</v>
      </c>
      <c r="N97" s="76"/>
      <c r="O97" s="77"/>
      <c r="P97" s="57"/>
      <c r="Q97" s="31"/>
    </row>
    <row r="98" spans="1:17" x14ac:dyDescent="0.2">
      <c r="A98" s="315"/>
      <c r="B98" s="60" t="s">
        <v>368</v>
      </c>
      <c r="C98" s="352" t="str">
        <f>Criteria!E38</f>
        <v>A Trustee</v>
      </c>
      <c r="D98" s="356"/>
      <c r="E98" s="356"/>
      <c r="F98" s="86"/>
      <c r="G98" s="53">
        <f>SUMIF(JournalsC!D$14:D$920,TrialBalanceC!M98,JournalsC!J$14:J$920)+SUMIF(JournalsC!E$14:E$920,TrialBalanceC!M98,JournalsC!J$14:J$920)</f>
        <v>0</v>
      </c>
      <c r="H98" s="363"/>
      <c r="I98" s="366">
        <f t="shared" si="9"/>
        <v>0</v>
      </c>
      <c r="J98" s="81"/>
      <c r="K98" s="54">
        <f t="shared" si="7"/>
        <v>0</v>
      </c>
      <c r="M98" s="192" t="str">
        <f t="shared" si="8"/>
        <v>3000/071A Trustee</v>
      </c>
      <c r="N98" s="76"/>
      <c r="O98" s="77"/>
      <c r="P98" s="57"/>
      <c r="Q98" s="31"/>
    </row>
    <row r="99" spans="1:17" x14ac:dyDescent="0.2">
      <c r="A99" s="315"/>
      <c r="B99" s="60" t="s">
        <v>369</v>
      </c>
      <c r="C99" s="352" t="str">
        <f>Criteria!E39</f>
        <v>C Trustee</v>
      </c>
      <c r="D99" s="356"/>
      <c r="E99" s="356"/>
      <c r="F99" s="86"/>
      <c r="G99" s="53">
        <f>SUMIF(JournalsC!D$14:D$920,TrialBalanceC!M99,JournalsC!J$14:J$920)+SUMIF(JournalsC!E$14:E$920,TrialBalanceC!M99,JournalsC!J$14:J$920)</f>
        <v>0</v>
      </c>
      <c r="H99" s="363"/>
      <c r="I99" s="366">
        <f t="shared" si="9"/>
        <v>0</v>
      </c>
      <c r="J99" s="81"/>
      <c r="K99" s="54">
        <f t="shared" si="7"/>
        <v>0</v>
      </c>
      <c r="M99" s="192" t="str">
        <f t="shared" si="8"/>
        <v>3000/072C Trustee</v>
      </c>
      <c r="N99" s="76"/>
      <c r="O99" s="77"/>
      <c r="P99" s="57"/>
      <c r="Q99" s="31"/>
    </row>
    <row r="100" spans="1:17" x14ac:dyDescent="0.2">
      <c r="A100" s="315"/>
      <c r="B100" s="60" t="s">
        <v>370</v>
      </c>
      <c r="C100" s="352">
        <f>Criteria!E40</f>
        <v>0</v>
      </c>
      <c r="D100" s="356"/>
      <c r="E100" s="356"/>
      <c r="F100" s="86"/>
      <c r="G100" s="53">
        <f>SUMIF(JournalsC!D$14:D$920,TrialBalanceC!M100,JournalsC!J$14:J$920)+SUMIF(JournalsC!E$14:E$920,TrialBalanceC!M100,JournalsC!J$14:J$920)</f>
        <v>0</v>
      </c>
      <c r="H100" s="363"/>
      <c r="I100" s="366">
        <f t="shared" si="9"/>
        <v>0</v>
      </c>
      <c r="J100" s="81"/>
      <c r="K100" s="54">
        <f t="shared" si="7"/>
        <v>0</v>
      </c>
      <c r="M100" s="192" t="str">
        <f t="shared" si="8"/>
        <v>3000/0730</v>
      </c>
      <c r="N100" s="76"/>
      <c r="O100" s="77"/>
      <c r="P100" s="57"/>
      <c r="Q100" s="31"/>
    </row>
    <row r="101" spans="1:17" x14ac:dyDescent="0.2">
      <c r="A101" s="315"/>
      <c r="B101" s="60" t="s">
        <v>371</v>
      </c>
      <c r="C101" s="352">
        <f>Criteria!E41</f>
        <v>0</v>
      </c>
      <c r="D101" s="356"/>
      <c r="E101" s="356"/>
      <c r="F101" s="86"/>
      <c r="G101" s="53">
        <f>SUMIF(JournalsC!D$14:D$920,TrialBalanceC!M101,JournalsC!J$14:J$920)+SUMIF(JournalsC!E$14:E$920,TrialBalanceC!M101,JournalsC!J$14:J$920)</f>
        <v>0</v>
      </c>
      <c r="H101" s="363"/>
      <c r="I101" s="366">
        <f t="shared" si="9"/>
        <v>0</v>
      </c>
      <c r="J101" s="81"/>
      <c r="K101" s="54">
        <f t="shared" si="7"/>
        <v>0</v>
      </c>
      <c r="M101" s="192" t="str">
        <f t="shared" si="8"/>
        <v>3000/0740</v>
      </c>
      <c r="N101" s="76"/>
      <c r="O101" s="77"/>
      <c r="P101" s="57"/>
      <c r="Q101" s="31"/>
    </row>
    <row r="102" spans="1:17" x14ac:dyDescent="0.2">
      <c r="A102" s="315"/>
      <c r="B102" s="60" t="s">
        <v>372</v>
      </c>
      <c r="C102" s="352">
        <f>Criteria!E42</f>
        <v>0</v>
      </c>
      <c r="D102" s="357"/>
      <c r="E102" s="356"/>
      <c r="F102" s="86"/>
      <c r="G102" s="53">
        <f>SUMIF(JournalsC!D$14:D$920,TrialBalanceC!M102,JournalsC!J$14:J$920)+SUMIF(JournalsC!E$14:E$920,TrialBalanceC!M102,JournalsC!J$14:J$920)</f>
        <v>0</v>
      </c>
      <c r="H102" s="363"/>
      <c r="I102" s="366">
        <f t="shared" si="9"/>
        <v>0</v>
      </c>
      <c r="J102" s="81"/>
      <c r="K102" s="54">
        <f t="shared" si="7"/>
        <v>0</v>
      </c>
      <c r="M102" s="192" t="str">
        <f t="shared" si="8"/>
        <v>3000/0750</v>
      </c>
      <c r="N102" s="76"/>
      <c r="O102" s="77"/>
      <c r="P102" s="57"/>
      <c r="Q102" s="31"/>
    </row>
    <row r="103" spans="1:17" x14ac:dyDescent="0.2">
      <c r="A103" s="315"/>
      <c r="B103" s="60" t="s">
        <v>373</v>
      </c>
      <c r="C103" s="317" t="s">
        <v>260</v>
      </c>
      <c r="D103" s="357"/>
      <c r="E103" s="356"/>
      <c r="F103" s="86"/>
      <c r="G103" s="53">
        <f>SUMIF(JournalsC!D$14:D$920,TrialBalanceC!M103,JournalsC!J$14:J$920)+SUMIF(JournalsC!E$14:E$920,TrialBalanceC!M103,JournalsC!J$14:J$920)</f>
        <v>0</v>
      </c>
      <c r="H103" s="363"/>
      <c r="I103" s="366">
        <f t="shared" si="9"/>
        <v>0</v>
      </c>
      <c r="J103" s="81"/>
      <c r="K103" s="54">
        <f t="shared" si="7"/>
        <v>0</v>
      </c>
      <c r="M103" s="192" t="str">
        <f t="shared" si="8"/>
        <v>3000/080Donations</v>
      </c>
      <c r="N103" s="76"/>
      <c r="O103" s="77"/>
      <c r="P103" s="57"/>
      <c r="Q103" s="31"/>
    </row>
    <row r="104" spans="1:17" x14ac:dyDescent="0.2">
      <c r="A104" s="315"/>
      <c r="B104" s="60" t="s">
        <v>374</v>
      </c>
      <c r="C104" s="317" t="s">
        <v>375</v>
      </c>
      <c r="D104" s="357"/>
      <c r="E104" s="356"/>
      <c r="F104" s="86"/>
      <c r="G104" s="53">
        <f>SUMIF(JournalsC!D$14:D$920,TrialBalanceC!M104,JournalsC!J$14:J$920)+SUMIF(JournalsC!E$14:E$920,TrialBalanceC!M104,JournalsC!J$14:J$920)</f>
        <v>0</v>
      </c>
      <c r="H104" s="363"/>
      <c r="I104" s="366">
        <f t="shared" si="9"/>
        <v>0</v>
      </c>
      <c r="J104" s="81"/>
      <c r="K104" s="54">
        <f t="shared" si="7"/>
        <v>0</v>
      </c>
      <c r="M104" s="192" t="str">
        <f t="shared" si="8"/>
        <v>3000/090Entertainment expenses</v>
      </c>
      <c r="N104" s="76"/>
      <c r="O104" s="77"/>
      <c r="P104" s="57"/>
      <c r="Q104" s="31"/>
    </row>
    <row r="105" spans="1:17" x14ac:dyDescent="0.2">
      <c r="A105" s="315"/>
      <c r="B105" s="62" t="s">
        <v>70</v>
      </c>
      <c r="C105" s="323" t="s">
        <v>326</v>
      </c>
      <c r="D105" s="348"/>
      <c r="E105" s="356"/>
      <c r="F105" s="86"/>
      <c r="G105" s="53">
        <f>SUMIF(JournalsC!D$14:D$920,TrialBalanceC!M105,JournalsC!J$14:J$920)+SUMIF(JournalsC!E$14:E$920,TrialBalanceC!M105,JournalsC!J$14:J$920)</f>
        <v>0</v>
      </c>
      <c r="H105" s="363"/>
      <c r="I105" s="366">
        <f t="shared" si="9"/>
        <v>0</v>
      </c>
      <c r="J105" s="81"/>
      <c r="K105" s="54">
        <f t="shared" si="7"/>
        <v>0</v>
      </c>
      <c r="M105" s="192" t="str">
        <f t="shared" si="8"/>
        <v>3000/095Fines</v>
      </c>
      <c r="N105" s="76"/>
      <c r="O105" s="77"/>
      <c r="P105" s="57"/>
      <c r="Q105" s="31"/>
    </row>
    <row r="106" spans="1:17" x14ac:dyDescent="0.2">
      <c r="A106" s="315"/>
      <c r="B106" s="60" t="s">
        <v>376</v>
      </c>
      <c r="C106" s="317" t="s">
        <v>377</v>
      </c>
      <c r="D106" s="357"/>
      <c r="E106" s="356"/>
      <c r="F106" s="86"/>
      <c r="G106" s="53">
        <f>SUMIF(JournalsC!D$14:D$920,TrialBalanceC!M106,JournalsC!J$14:J$920)+SUMIF(JournalsC!E$14:E$920,TrialBalanceC!M106,JournalsC!J$14:J$920)</f>
        <v>0</v>
      </c>
      <c r="H106" s="363"/>
      <c r="I106" s="366">
        <f t="shared" si="9"/>
        <v>0</v>
      </c>
      <c r="J106" s="81"/>
      <c r="K106" s="54">
        <f t="shared" si="7"/>
        <v>0</v>
      </c>
      <c r="M106" s="192" t="str">
        <f t="shared" si="8"/>
        <v>3000/100General expenses</v>
      </c>
      <c r="N106" s="76"/>
      <c r="O106" s="77"/>
      <c r="P106" s="57"/>
      <c r="Q106" s="31"/>
    </row>
    <row r="107" spans="1:17" x14ac:dyDescent="0.2">
      <c r="A107" s="315"/>
      <c r="B107" s="60" t="s">
        <v>304</v>
      </c>
      <c r="C107" s="318" t="s">
        <v>767</v>
      </c>
      <c r="D107" s="348"/>
      <c r="E107" s="356"/>
      <c r="F107" s="86"/>
      <c r="G107" s="53">
        <f>SUMIF(JournalsC!D$14:D$920,TrialBalanceC!M107,JournalsC!J$14:J$920)+SUMIF(JournalsC!E$14:E$920,TrialBalanceC!M107,JournalsC!J$14:J$920)</f>
        <v>0</v>
      </c>
      <c r="H107" s="363"/>
      <c r="I107" s="366">
        <f t="shared" si="9"/>
        <v>0</v>
      </c>
      <c r="J107" s="81"/>
      <c r="K107" s="54">
        <f t="shared" si="7"/>
        <v>0</v>
      </c>
      <c r="M107" s="192" t="str">
        <f t="shared" si="8"/>
        <v>3000/110Legal expenses - tax deductible</v>
      </c>
      <c r="N107" s="76"/>
      <c r="O107" s="77"/>
      <c r="P107" s="57"/>
      <c r="Q107" s="31"/>
    </row>
    <row r="108" spans="1:17" x14ac:dyDescent="0.2">
      <c r="A108" s="315"/>
      <c r="B108" s="60" t="s">
        <v>452</v>
      </c>
      <c r="C108" s="318" t="s">
        <v>768</v>
      </c>
      <c r="D108" s="348"/>
      <c r="E108" s="356"/>
      <c r="F108" s="86"/>
      <c r="G108" s="53">
        <f>SUMIF(JournalsC!D$14:D$920,TrialBalanceC!M108,JournalsC!J$14:J$920)+SUMIF(JournalsC!E$14:E$920,TrialBalanceC!M108,JournalsC!J$14:J$920)</f>
        <v>0</v>
      </c>
      <c r="H108" s="363"/>
      <c r="I108" s="366">
        <f t="shared" si="9"/>
        <v>0</v>
      </c>
      <c r="J108" s="81"/>
      <c r="K108" s="54">
        <f t="shared" si="7"/>
        <v>0</v>
      </c>
      <c r="M108" s="192" t="str">
        <f t="shared" si="8"/>
        <v>3000/111Legal expenses - non deductible</v>
      </c>
      <c r="N108" s="76"/>
      <c r="O108" s="77"/>
      <c r="P108" s="57"/>
      <c r="Q108" s="31"/>
    </row>
    <row r="109" spans="1:17" x14ac:dyDescent="0.2">
      <c r="A109" s="315"/>
      <c r="B109" s="60" t="s">
        <v>305</v>
      </c>
      <c r="C109" s="317" t="s">
        <v>306</v>
      </c>
      <c r="D109" s="357"/>
      <c r="E109" s="356"/>
      <c r="F109" s="86"/>
      <c r="G109" s="53">
        <f>SUMIF(JournalsC!D$14:D$920,TrialBalanceC!M109,JournalsC!J$14:J$920)+SUMIF(JournalsC!E$14:E$920,TrialBalanceC!M109,JournalsC!J$14:J$920)</f>
        <v>0</v>
      </c>
      <c r="H109" s="363"/>
      <c r="I109" s="366">
        <f t="shared" si="9"/>
        <v>0</v>
      </c>
      <c r="J109" s="81"/>
      <c r="K109" s="54">
        <f t="shared" si="7"/>
        <v>0</v>
      </c>
      <c r="M109" s="192" t="str">
        <f t="shared" si="8"/>
        <v>3000/120Printing and stationary</v>
      </c>
      <c r="N109" s="76"/>
      <c r="O109" s="77"/>
      <c r="P109" s="57"/>
      <c r="Q109" s="31"/>
    </row>
    <row r="110" spans="1:17" x14ac:dyDescent="0.2">
      <c r="A110" s="315"/>
      <c r="B110" s="60" t="s">
        <v>307</v>
      </c>
      <c r="C110" s="317" t="s">
        <v>261</v>
      </c>
      <c r="D110" s="357"/>
      <c r="E110" s="356"/>
      <c r="F110" s="86"/>
      <c r="G110" s="53">
        <f>SUMIF(JournalsC!D$14:D$920,TrialBalanceC!M110,JournalsC!J$14:J$920)+SUMIF(JournalsC!E$14:E$920,TrialBalanceC!M110,JournalsC!J$14:J$920)</f>
        <v>0</v>
      </c>
      <c r="H110" s="363"/>
      <c r="I110" s="366">
        <f t="shared" si="9"/>
        <v>0</v>
      </c>
      <c r="J110" s="81"/>
      <c r="K110" s="54">
        <f t="shared" si="7"/>
        <v>0</v>
      </c>
      <c r="M110" s="192" t="str">
        <f t="shared" si="8"/>
        <v>3000/130Refreshments</v>
      </c>
      <c r="N110" s="76"/>
      <c r="O110" s="77"/>
      <c r="P110" s="57"/>
      <c r="Q110" s="31"/>
    </row>
    <row r="111" spans="1:17" x14ac:dyDescent="0.2">
      <c r="A111" s="315"/>
      <c r="B111" s="60" t="s">
        <v>308</v>
      </c>
      <c r="C111" s="317" t="s">
        <v>78</v>
      </c>
      <c r="D111" s="357"/>
      <c r="E111" s="356"/>
      <c r="F111" s="86"/>
      <c r="G111" s="53">
        <f>SUMIF(JournalsC!D$14:D$920,TrialBalanceC!M111,JournalsC!J$14:J$920)+SUMIF(JournalsC!E$14:E$920,TrialBalanceC!M111,JournalsC!J$14:J$920)</f>
        <v>0</v>
      </c>
      <c r="H111" s="363"/>
      <c r="I111" s="366">
        <f t="shared" si="9"/>
        <v>0</v>
      </c>
      <c r="J111" s="81"/>
      <c r="K111" s="54">
        <f t="shared" si="7"/>
        <v>0</v>
      </c>
      <c r="M111" s="192" t="str">
        <f t="shared" si="8"/>
        <v>3000/140Salaries</v>
      </c>
      <c r="N111" s="76"/>
      <c r="O111" s="77"/>
      <c r="P111" s="57"/>
      <c r="Q111" s="31"/>
    </row>
    <row r="112" spans="1:17" x14ac:dyDescent="0.2">
      <c r="A112" s="315"/>
      <c r="B112" s="110" t="s">
        <v>309</v>
      </c>
      <c r="C112" s="317" t="s">
        <v>82</v>
      </c>
      <c r="D112" s="357"/>
      <c r="E112" s="356"/>
      <c r="F112" s="86"/>
      <c r="G112" s="53">
        <f>SUMIF(JournalsC!D$14:D$920,TrialBalanceC!M112,JournalsC!J$14:J$920)+SUMIF(JournalsC!E$14:E$920,TrialBalanceC!M112,JournalsC!J$14:J$920)</f>
        <v>0</v>
      </c>
      <c r="H112" s="363"/>
      <c r="I112" s="366">
        <f t="shared" si="9"/>
        <v>0</v>
      </c>
      <c r="J112" s="81"/>
      <c r="K112" s="54">
        <f t="shared" si="7"/>
        <v>0</v>
      </c>
      <c r="M112" s="192" t="str">
        <f t="shared" si="8"/>
        <v>3000/141Casual wages</v>
      </c>
      <c r="N112" s="76"/>
      <c r="O112" s="77"/>
      <c r="P112" s="57"/>
      <c r="Q112" s="31"/>
    </row>
    <row r="113" spans="1:17" x14ac:dyDescent="0.2">
      <c r="A113" s="315"/>
      <c r="B113" s="60" t="s">
        <v>310</v>
      </c>
      <c r="C113" s="317" t="s">
        <v>262</v>
      </c>
      <c r="D113" s="357"/>
      <c r="E113" s="356"/>
      <c r="F113" s="86"/>
      <c r="G113" s="53">
        <f>SUMIF(JournalsC!D$14:D$920,TrialBalanceC!M113,JournalsC!J$14:J$920)+SUMIF(JournalsC!E$14:E$920,TrialBalanceC!M113,JournalsC!J$14:J$920)</f>
        <v>0</v>
      </c>
      <c r="H113" s="363"/>
      <c r="I113" s="366">
        <f t="shared" si="9"/>
        <v>0</v>
      </c>
      <c r="J113" s="81"/>
      <c r="K113" s="54">
        <f t="shared" si="7"/>
        <v>0</v>
      </c>
      <c r="M113" s="192" t="str">
        <f t="shared" si="8"/>
        <v>3000/150Security</v>
      </c>
      <c r="N113" s="76"/>
      <c r="O113" s="77"/>
      <c r="P113" s="57"/>
      <c r="Q113" s="31"/>
    </row>
    <row r="114" spans="1:17" x14ac:dyDescent="0.2">
      <c r="A114" s="315"/>
      <c r="B114" s="60" t="s">
        <v>311</v>
      </c>
      <c r="C114" s="319" t="s">
        <v>737</v>
      </c>
      <c r="D114" s="359"/>
      <c r="E114" s="356"/>
      <c r="F114" s="86"/>
      <c r="G114" s="53">
        <f>SUMIF(JournalsC!D$14:D$920,TrialBalanceC!M114,JournalsC!J$14:J$920)+SUMIF(JournalsC!E$14:E$920,TrialBalanceC!M114,JournalsC!J$14:J$920)</f>
        <v>0</v>
      </c>
      <c r="H114" s="363"/>
      <c r="I114" s="366">
        <f t="shared" si="9"/>
        <v>0</v>
      </c>
      <c r="J114" s="81"/>
      <c r="K114" s="54">
        <f t="shared" si="7"/>
        <v>0</v>
      </c>
      <c r="M114" s="192" t="str">
        <f t="shared" si="8"/>
        <v>3000/160Subscriptions and membership fees</v>
      </c>
      <c r="N114" s="76"/>
      <c r="O114" s="77"/>
      <c r="P114" s="57"/>
      <c r="Q114" s="31"/>
    </row>
    <row r="115" spans="1:17" x14ac:dyDescent="0.2">
      <c r="A115" s="315"/>
      <c r="B115" s="60" t="s">
        <v>330</v>
      </c>
      <c r="C115" s="319" t="s">
        <v>769</v>
      </c>
      <c r="D115" s="357"/>
      <c r="E115" s="356"/>
      <c r="F115" s="86"/>
      <c r="G115" s="53">
        <f>SUMIF(JournalsC!D$14:D$920,TrialBalanceC!M115,JournalsC!J$14:J$920)+SUMIF(JournalsC!E$14:E$920,TrialBalanceC!M115,JournalsC!J$14:J$920)</f>
        <v>0</v>
      </c>
      <c r="H115" s="363"/>
      <c r="I115" s="366">
        <f t="shared" si="9"/>
        <v>0</v>
      </c>
      <c r="J115" s="81"/>
      <c r="K115" s="54">
        <f t="shared" si="7"/>
        <v>0</v>
      </c>
      <c r="M115" s="192" t="str">
        <f t="shared" si="8"/>
        <v>3000/170Penalties and interest - SARS</v>
      </c>
      <c r="N115" s="76"/>
      <c r="O115" s="77"/>
      <c r="P115" s="57"/>
      <c r="Q115" s="31"/>
    </row>
    <row r="116" spans="1:17" x14ac:dyDescent="0.2">
      <c r="A116" s="315"/>
      <c r="B116" s="60" t="s">
        <v>281</v>
      </c>
      <c r="C116" s="352"/>
      <c r="D116" s="356"/>
      <c r="E116" s="356"/>
      <c r="F116" s="86"/>
      <c r="G116" s="53">
        <f>SUMIF(JournalsC!D$14:D$920,TrialBalanceC!M116,JournalsC!J$14:J$920)+SUMIF(JournalsC!E$14:E$920,TrialBalanceC!M116,JournalsC!J$14:J$920)</f>
        <v>0</v>
      </c>
      <c r="H116" s="363"/>
      <c r="I116" s="366">
        <f t="shared" si="9"/>
        <v>0</v>
      </c>
      <c r="J116" s="81"/>
      <c r="K116" s="54">
        <f t="shared" si="7"/>
        <v>0</v>
      </c>
      <c r="M116" s="192" t="str">
        <f t="shared" si="8"/>
        <v>3000/180</v>
      </c>
      <c r="N116" s="76"/>
      <c r="O116" s="77"/>
      <c r="P116" s="57"/>
      <c r="Q116" s="31"/>
    </row>
    <row r="117" spans="1:17" x14ac:dyDescent="0.2">
      <c r="A117" s="315"/>
      <c r="B117" s="60" t="s">
        <v>282</v>
      </c>
      <c r="C117" s="352"/>
      <c r="D117" s="356"/>
      <c r="E117" s="356"/>
      <c r="F117" s="86"/>
      <c r="G117" s="53">
        <f>SUMIF(JournalsC!D$14:D$920,TrialBalanceC!M117,JournalsC!J$14:J$920)+SUMIF(JournalsC!E$14:E$920,TrialBalanceC!M117,JournalsC!J$14:J$920)</f>
        <v>0</v>
      </c>
      <c r="H117" s="363"/>
      <c r="I117" s="366">
        <f t="shared" si="9"/>
        <v>0</v>
      </c>
      <c r="J117" s="81"/>
      <c r="K117" s="54">
        <f t="shared" si="7"/>
        <v>0</v>
      </c>
      <c r="M117" s="192" t="str">
        <f t="shared" si="8"/>
        <v>3000/190</v>
      </c>
      <c r="N117" s="76"/>
      <c r="O117" s="77"/>
      <c r="P117" s="57"/>
      <c r="Q117" s="31"/>
    </row>
    <row r="118" spans="1:17" x14ac:dyDescent="0.2">
      <c r="A118" s="315"/>
      <c r="B118" s="60" t="s">
        <v>283</v>
      </c>
      <c r="C118" s="353"/>
      <c r="D118" s="348"/>
      <c r="E118" s="356"/>
      <c r="F118" s="86"/>
      <c r="G118" s="53">
        <f>SUMIF(JournalsC!D$14:D$920,TrialBalanceC!M118,JournalsC!J$14:J$920)+SUMIF(JournalsC!E$14:E$920,TrialBalanceC!M118,JournalsC!J$14:J$920)</f>
        <v>0</v>
      </c>
      <c r="H118" s="363"/>
      <c r="I118" s="366">
        <f t="shared" si="9"/>
        <v>0</v>
      </c>
      <c r="J118" s="81"/>
      <c r="K118" s="54">
        <f t="shared" si="7"/>
        <v>0</v>
      </c>
      <c r="M118" s="192" t="str">
        <f t="shared" si="8"/>
        <v>3000/200</v>
      </c>
      <c r="N118" s="76"/>
      <c r="O118" s="77"/>
      <c r="P118" s="57"/>
      <c r="Q118" s="31"/>
    </row>
    <row r="119" spans="1:17" x14ac:dyDescent="0.2">
      <c r="A119" s="315"/>
      <c r="B119" s="60" t="s">
        <v>284</v>
      </c>
      <c r="C119" s="353"/>
      <c r="D119" s="348"/>
      <c r="E119" s="356"/>
      <c r="F119" s="86"/>
      <c r="G119" s="53">
        <f>SUMIF(JournalsC!D$14:D$920,TrialBalanceC!M119,JournalsC!J$14:J$920)+SUMIF(JournalsC!E$14:E$920,TrialBalanceC!M119,JournalsC!J$14:J$920)</f>
        <v>0</v>
      </c>
      <c r="H119" s="363"/>
      <c r="I119" s="366">
        <f t="shared" si="9"/>
        <v>0</v>
      </c>
      <c r="J119" s="81"/>
      <c r="K119" s="54">
        <f t="shared" si="7"/>
        <v>0</v>
      </c>
      <c r="M119" s="192" t="str">
        <f t="shared" si="8"/>
        <v>3000/210</v>
      </c>
      <c r="N119" s="76"/>
      <c r="O119" s="77"/>
      <c r="P119" s="57"/>
      <c r="Q119" s="31"/>
    </row>
    <row r="120" spans="1:17" x14ac:dyDescent="0.2">
      <c r="A120" s="315"/>
      <c r="B120" s="60" t="s">
        <v>285</v>
      </c>
      <c r="C120" s="353"/>
      <c r="D120" s="348"/>
      <c r="E120" s="356"/>
      <c r="F120" s="86"/>
      <c r="G120" s="53">
        <f>SUMIF(JournalsC!D$14:D$920,TrialBalanceC!M120,JournalsC!J$14:J$920)+SUMIF(JournalsC!E$14:E$920,TrialBalanceC!M120,JournalsC!J$14:J$920)</f>
        <v>0</v>
      </c>
      <c r="H120" s="363"/>
      <c r="I120" s="366">
        <f t="shared" si="9"/>
        <v>0</v>
      </c>
      <c r="J120" s="81"/>
      <c r="K120" s="54">
        <f t="shared" si="7"/>
        <v>0</v>
      </c>
      <c r="M120" s="192" t="str">
        <f t="shared" si="8"/>
        <v>3000/220</v>
      </c>
      <c r="N120" s="76"/>
      <c r="O120" s="77"/>
      <c r="P120" s="57"/>
      <c r="Q120" s="31"/>
    </row>
    <row r="121" spans="1:17" x14ac:dyDescent="0.2">
      <c r="A121" s="315"/>
      <c r="B121" s="110" t="s">
        <v>506</v>
      </c>
      <c r="C121" s="353"/>
      <c r="D121" s="348"/>
      <c r="E121" s="356"/>
      <c r="F121" s="86"/>
      <c r="G121" s="53">
        <f>SUMIF(JournalsC!D$14:D$920,TrialBalanceC!M121,JournalsC!J$14:J$920)+SUMIF(JournalsC!E$14:E$920,TrialBalanceC!M121,JournalsC!J$14:J$920)</f>
        <v>0</v>
      </c>
      <c r="H121" s="363"/>
      <c r="I121" s="366">
        <f t="shared" si="9"/>
        <v>0</v>
      </c>
      <c r="J121" s="81"/>
      <c r="K121" s="54">
        <f t="shared" si="7"/>
        <v>0</v>
      </c>
      <c r="M121" s="192" t="str">
        <f t="shared" si="8"/>
        <v>3000/230</v>
      </c>
      <c r="N121" s="76"/>
      <c r="O121" s="77"/>
      <c r="P121" s="57"/>
      <c r="Q121" s="31"/>
    </row>
    <row r="122" spans="1:17" x14ac:dyDescent="0.2">
      <c r="A122" s="315"/>
      <c r="B122" s="110" t="s">
        <v>507</v>
      </c>
      <c r="C122" s="353"/>
      <c r="D122" s="348"/>
      <c r="E122" s="356"/>
      <c r="F122" s="86"/>
      <c r="G122" s="53">
        <f>SUMIF(JournalsC!D$14:D$920,TrialBalanceC!M122,JournalsC!J$14:J$920)+SUMIF(JournalsC!E$14:E$920,TrialBalanceC!M122,JournalsC!J$14:J$920)</f>
        <v>0</v>
      </c>
      <c r="H122" s="363"/>
      <c r="I122" s="366">
        <f t="shared" si="9"/>
        <v>0</v>
      </c>
      <c r="J122" s="81"/>
      <c r="K122" s="54">
        <f t="shared" si="7"/>
        <v>0</v>
      </c>
      <c r="M122" s="192" t="str">
        <f t="shared" si="8"/>
        <v>3000/240</v>
      </c>
      <c r="N122" s="76"/>
      <c r="O122" s="77"/>
      <c r="P122" s="57"/>
      <c r="Q122" s="31"/>
    </row>
    <row r="123" spans="1:17" x14ac:dyDescent="0.2">
      <c r="A123" s="315"/>
      <c r="B123" s="110" t="s">
        <v>508</v>
      </c>
      <c r="C123" s="353"/>
      <c r="D123" s="348"/>
      <c r="E123" s="356"/>
      <c r="F123" s="86"/>
      <c r="G123" s="53">
        <f>SUMIF(JournalsC!D$14:D$920,TrialBalanceC!M123,JournalsC!J$14:J$920)+SUMIF(JournalsC!E$14:E$920,TrialBalanceC!M123,JournalsC!J$14:J$920)</f>
        <v>0</v>
      </c>
      <c r="H123" s="363"/>
      <c r="I123" s="366">
        <f t="shared" si="9"/>
        <v>0</v>
      </c>
      <c r="J123" s="81"/>
      <c r="K123" s="54">
        <f t="shared" si="7"/>
        <v>0</v>
      </c>
      <c r="M123" s="192" t="str">
        <f t="shared" si="8"/>
        <v>3000/250</v>
      </c>
      <c r="N123" s="76"/>
      <c r="O123" s="77"/>
      <c r="P123" s="57"/>
      <c r="Q123" s="31"/>
    </row>
    <row r="124" spans="1:17" x14ac:dyDescent="0.2">
      <c r="A124" s="315"/>
      <c r="B124" s="110" t="s">
        <v>509</v>
      </c>
      <c r="C124" s="353"/>
      <c r="D124" s="348"/>
      <c r="E124" s="356"/>
      <c r="F124" s="86"/>
      <c r="G124" s="53">
        <f>SUMIF(JournalsC!D$14:D$920,TrialBalanceC!M124,JournalsC!J$14:J$920)+SUMIF(JournalsC!E$14:E$920,TrialBalanceC!M124,JournalsC!J$14:J$920)</f>
        <v>0</v>
      </c>
      <c r="H124" s="363"/>
      <c r="I124" s="366">
        <f t="shared" si="9"/>
        <v>0</v>
      </c>
      <c r="J124" s="81"/>
      <c r="K124" s="54">
        <f t="shared" ref="K124:K213" si="13">ROUND(SUM(A124),0)</f>
        <v>0</v>
      </c>
      <c r="M124" s="192" t="str">
        <f t="shared" ref="M124:M213" si="14">CONCATENATE(B124,C124)</f>
        <v>3000/260</v>
      </c>
      <c r="N124" s="76"/>
      <c r="O124" s="77"/>
      <c r="P124" s="57"/>
      <c r="Q124" s="31"/>
    </row>
    <row r="125" spans="1:17" x14ac:dyDescent="0.2">
      <c r="A125" s="315"/>
      <c r="B125" s="110" t="s">
        <v>510</v>
      </c>
      <c r="C125" s="318" t="s">
        <v>1056</v>
      </c>
      <c r="D125" s="356"/>
      <c r="E125" s="356"/>
      <c r="F125" s="86"/>
      <c r="G125" s="53">
        <f>SUMIF(JournalsC!D$14:D$920,TrialBalanceC!M125,JournalsC!J$14:J$920)+SUMIF(JournalsC!E$14:E$920,TrialBalanceC!M125,JournalsC!J$14:J$920)</f>
        <v>0</v>
      </c>
      <c r="H125" s="363"/>
      <c r="I125" s="366">
        <f t="shared" si="9"/>
        <v>0</v>
      </c>
      <c r="J125" s="81"/>
      <c r="K125" s="54">
        <f t="shared" si="13"/>
        <v>0</v>
      </c>
      <c r="M125" s="192" t="str">
        <f t="shared" si="14"/>
        <v>3000/270Amortisation of prepaid lease agreement</v>
      </c>
      <c r="N125" s="76"/>
      <c r="O125" s="77"/>
      <c r="P125" s="57"/>
      <c r="Q125" s="31"/>
    </row>
    <row r="126" spans="1:17" x14ac:dyDescent="0.2">
      <c r="A126" s="315"/>
      <c r="B126" s="110" t="s">
        <v>1082</v>
      </c>
      <c r="C126" s="319" t="s">
        <v>1083</v>
      </c>
      <c r="D126" s="356"/>
      <c r="E126" s="356"/>
      <c r="F126" s="86"/>
      <c r="G126" s="53">
        <f>SUMIF(JournalsC!D$14:D$920,TrialBalanceC!M126,JournalsC!J$14:J$920)+SUMIF(JournalsC!E$14:E$920,TrialBalanceC!M126,JournalsC!J$14:J$920)</f>
        <v>0</v>
      </c>
      <c r="H126" s="363"/>
      <c r="I126" s="366">
        <f t="shared" ref="I126" si="15">ROUND(D126-E126+G126+F126,0)</f>
        <v>0</v>
      </c>
      <c r="J126" s="81"/>
      <c r="K126" s="54">
        <f t="shared" ref="K126" si="16">ROUND(SUM(A126),0)</f>
        <v>0</v>
      </c>
      <c r="M126" s="192" t="str">
        <f t="shared" ref="M126" si="17">CONCATENATE(B126,C126)</f>
        <v>3000/280Amortisation of goodwill</v>
      </c>
      <c r="N126" s="76"/>
      <c r="O126" s="77"/>
      <c r="P126" s="57"/>
      <c r="Q126" s="31"/>
    </row>
    <row r="127" spans="1:17" x14ac:dyDescent="0.2">
      <c r="A127" s="315"/>
      <c r="B127" s="110" t="s">
        <v>967</v>
      </c>
      <c r="C127" s="316" t="s">
        <v>123</v>
      </c>
      <c r="D127" s="358"/>
      <c r="E127" s="356"/>
      <c r="F127" s="86"/>
      <c r="G127" s="53">
        <f>SUMIF(JournalsC!D$14:D$920,TrialBalanceC!M127,JournalsC!J$14:J$920)+SUMIF(JournalsC!E$14:E$920,TrialBalanceC!M127,JournalsC!J$14:J$920)</f>
        <v>0</v>
      </c>
      <c r="H127" s="363"/>
      <c r="I127" s="366">
        <f t="shared" si="9"/>
        <v>0</v>
      </c>
      <c r="J127" s="81"/>
      <c r="K127" s="54">
        <f t="shared" si="13"/>
        <v>0</v>
      </c>
      <c r="M127" s="192" t="str">
        <f t="shared" si="14"/>
        <v>3500/000FINANCE COSTS</v>
      </c>
      <c r="N127" s="76"/>
      <c r="O127" s="77"/>
      <c r="P127" s="57"/>
      <c r="Q127" s="31"/>
    </row>
    <row r="128" spans="1:17" x14ac:dyDescent="0.2">
      <c r="A128" s="315"/>
      <c r="B128" s="110" t="s">
        <v>968</v>
      </c>
      <c r="C128" s="316" t="s">
        <v>312</v>
      </c>
      <c r="D128" s="358"/>
      <c r="E128" s="356"/>
      <c r="F128" s="86"/>
      <c r="G128" s="53">
        <f>SUMIF(JournalsC!D$14:D$920,TrialBalanceC!M128,JournalsC!J$14:J$920)+SUMIF(JournalsC!E$14:E$920,TrialBalanceC!M128,JournalsC!J$14:J$920)</f>
        <v>0</v>
      </c>
      <c r="H128" s="363"/>
      <c r="I128" s="366">
        <f t="shared" si="9"/>
        <v>0</v>
      </c>
      <c r="J128" s="81"/>
      <c r="K128" s="54">
        <f t="shared" si="13"/>
        <v>0</v>
      </c>
      <c r="M128" s="192" t="str">
        <f t="shared" si="14"/>
        <v>3500/010Interest paid---------------------------</v>
      </c>
      <c r="N128" s="76"/>
      <c r="O128" s="77"/>
      <c r="P128" s="57"/>
      <c r="Q128" s="31"/>
    </row>
    <row r="129" spans="1:17" x14ac:dyDescent="0.2">
      <c r="A129" s="315"/>
      <c r="B129" s="110" t="s">
        <v>969</v>
      </c>
      <c r="C129" s="352"/>
      <c r="D129" s="356"/>
      <c r="E129" s="356"/>
      <c r="F129" s="86"/>
      <c r="G129" s="53">
        <f>SUMIF(JournalsC!D$14:D$920,TrialBalanceC!M129,JournalsC!J$14:J$920)+SUMIF(JournalsC!E$14:E$920,TrialBalanceC!M129,JournalsC!J$14:J$920)</f>
        <v>0</v>
      </c>
      <c r="H129" s="363"/>
      <c r="I129" s="366">
        <f t="shared" si="9"/>
        <v>0</v>
      </c>
      <c r="J129" s="81"/>
      <c r="K129" s="54">
        <f t="shared" si="13"/>
        <v>0</v>
      </c>
      <c r="M129" s="192" t="str">
        <f t="shared" si="14"/>
        <v>3500/011</v>
      </c>
      <c r="N129" s="76"/>
      <c r="O129" s="77"/>
      <c r="P129" s="57"/>
      <c r="Q129" s="31"/>
    </row>
    <row r="130" spans="1:17" x14ac:dyDescent="0.2">
      <c r="A130" s="315"/>
      <c r="B130" s="110" t="s">
        <v>970</v>
      </c>
      <c r="C130" s="353"/>
      <c r="D130" s="348"/>
      <c r="E130" s="356"/>
      <c r="F130" s="86"/>
      <c r="G130" s="53">
        <f>SUMIF(JournalsC!D$14:D$920,TrialBalanceC!M130,JournalsC!J$14:J$920)+SUMIF(JournalsC!E$14:E$920,TrialBalanceC!M130,JournalsC!J$14:J$920)</f>
        <v>0</v>
      </c>
      <c r="H130" s="363"/>
      <c r="I130" s="366">
        <f t="shared" si="9"/>
        <v>0</v>
      </c>
      <c r="J130" s="81"/>
      <c r="K130" s="54">
        <f t="shared" si="13"/>
        <v>0</v>
      </c>
      <c r="M130" s="192" t="str">
        <f t="shared" si="14"/>
        <v>3500/012</v>
      </c>
      <c r="N130" s="76"/>
      <c r="O130" s="77"/>
      <c r="P130" s="57"/>
      <c r="Q130" s="31"/>
    </row>
    <row r="131" spans="1:17" x14ac:dyDescent="0.2">
      <c r="A131" s="315"/>
      <c r="B131" s="110" t="s">
        <v>971</v>
      </c>
      <c r="C131" s="353"/>
      <c r="D131" s="348"/>
      <c r="E131" s="356"/>
      <c r="F131" s="86"/>
      <c r="G131" s="53">
        <f>SUMIF(JournalsC!D$14:D$920,TrialBalanceC!M131,JournalsC!J$14:J$920)+SUMIF(JournalsC!E$14:E$920,TrialBalanceC!M131,JournalsC!J$14:J$920)</f>
        <v>0</v>
      </c>
      <c r="H131" s="363"/>
      <c r="I131" s="366">
        <f t="shared" si="9"/>
        <v>0</v>
      </c>
      <c r="J131" s="81"/>
      <c r="K131" s="54">
        <f t="shared" si="13"/>
        <v>0</v>
      </c>
      <c r="M131" s="192" t="str">
        <f t="shared" si="14"/>
        <v>3500/013</v>
      </c>
      <c r="N131" s="76"/>
      <c r="O131" s="77"/>
      <c r="P131" s="57"/>
      <c r="Q131" s="31"/>
    </row>
    <row r="132" spans="1:17" x14ac:dyDescent="0.2">
      <c r="A132" s="315"/>
      <c r="B132" s="110" t="s">
        <v>972</v>
      </c>
      <c r="C132" s="353"/>
      <c r="D132" s="348"/>
      <c r="E132" s="356"/>
      <c r="F132" s="86"/>
      <c r="G132" s="53">
        <f>SUMIF(JournalsC!D$14:D$920,TrialBalanceC!M132,JournalsC!J$14:J$920)+SUMIF(JournalsC!E$14:E$920,TrialBalanceC!M132,JournalsC!J$14:J$920)</f>
        <v>0</v>
      </c>
      <c r="H132" s="363"/>
      <c r="I132" s="366">
        <f t="shared" si="9"/>
        <v>0</v>
      </c>
      <c r="J132" s="81"/>
      <c r="K132" s="54">
        <f t="shared" si="13"/>
        <v>0</v>
      </c>
      <c r="M132" s="192" t="str">
        <f t="shared" si="14"/>
        <v>3500/014</v>
      </c>
      <c r="N132" s="76"/>
      <c r="O132" s="77"/>
      <c r="P132" s="57"/>
      <c r="Q132" s="31"/>
    </row>
    <row r="133" spans="1:17" x14ac:dyDescent="0.2">
      <c r="A133" s="315"/>
      <c r="B133" s="110" t="s">
        <v>973</v>
      </c>
      <c r="C133" s="353"/>
      <c r="D133" s="348"/>
      <c r="E133" s="356"/>
      <c r="F133" s="86"/>
      <c r="G133" s="53">
        <f>SUMIF(JournalsC!D$14:D$920,TrialBalanceC!M133,JournalsC!J$14:J$920)+SUMIF(JournalsC!E$14:E$920,TrialBalanceC!M133,JournalsC!J$14:J$920)</f>
        <v>0</v>
      </c>
      <c r="H133" s="363"/>
      <c r="I133" s="366">
        <f t="shared" si="9"/>
        <v>0</v>
      </c>
      <c r="J133" s="81"/>
      <c r="K133" s="54">
        <f t="shared" si="13"/>
        <v>0</v>
      </c>
      <c r="M133" s="192" t="str">
        <f t="shared" si="14"/>
        <v>3500/015</v>
      </c>
      <c r="N133" s="76"/>
      <c r="O133" s="77"/>
      <c r="P133" s="57"/>
      <c r="Q133" s="31"/>
    </row>
    <row r="134" spans="1:17" x14ac:dyDescent="0.2">
      <c r="A134" s="315"/>
      <c r="B134" s="110" t="s">
        <v>974</v>
      </c>
      <c r="C134" s="353"/>
      <c r="D134" s="348"/>
      <c r="E134" s="356"/>
      <c r="F134" s="86"/>
      <c r="G134" s="53">
        <f>SUMIF(JournalsC!D$14:D$920,TrialBalanceC!M134,JournalsC!J$14:J$920)+SUMIF(JournalsC!E$14:E$920,TrialBalanceC!M134,JournalsC!J$14:J$920)</f>
        <v>0</v>
      </c>
      <c r="H134" s="363"/>
      <c r="I134" s="366">
        <f t="shared" si="9"/>
        <v>0</v>
      </c>
      <c r="J134" s="81"/>
      <c r="K134" s="54">
        <f t="shared" si="13"/>
        <v>0</v>
      </c>
      <c r="M134" s="192" t="str">
        <f t="shared" si="14"/>
        <v>3500/016</v>
      </c>
      <c r="N134" s="76"/>
      <c r="O134" s="77"/>
      <c r="P134" s="57"/>
      <c r="Q134" s="31"/>
    </row>
    <row r="135" spans="1:17" x14ac:dyDescent="0.2">
      <c r="A135" s="315"/>
      <c r="B135" s="110" t="s">
        <v>975</v>
      </c>
      <c r="C135" s="353"/>
      <c r="D135" s="348"/>
      <c r="E135" s="356"/>
      <c r="F135" s="86"/>
      <c r="G135" s="53">
        <f>SUMIF(JournalsC!D$14:D$920,TrialBalanceC!M135,JournalsC!J$14:J$920)+SUMIF(JournalsC!E$14:E$920,TrialBalanceC!M135,JournalsC!J$14:J$920)</f>
        <v>0</v>
      </c>
      <c r="H135" s="363"/>
      <c r="I135" s="366">
        <f t="shared" ref="I135:I137" si="18">ROUND(D135-E135+G135+F135,0)</f>
        <v>0</v>
      </c>
      <c r="J135" s="81"/>
      <c r="K135" s="54">
        <f t="shared" ref="K135:K137" si="19">ROUND(SUM(A135),0)</f>
        <v>0</v>
      </c>
      <c r="M135" s="192" t="str">
        <f t="shared" ref="M135:M137" si="20">CONCATENATE(B135,C135)</f>
        <v>3500/017</v>
      </c>
      <c r="N135" s="76"/>
      <c r="O135" s="77"/>
      <c r="P135" s="57"/>
      <c r="Q135" s="31"/>
    </row>
    <row r="136" spans="1:17" x14ac:dyDescent="0.2">
      <c r="A136" s="315"/>
      <c r="B136" s="110" t="s">
        <v>976</v>
      </c>
      <c r="C136" s="353"/>
      <c r="D136" s="348"/>
      <c r="E136" s="356"/>
      <c r="F136" s="86"/>
      <c r="G136" s="53">
        <f>SUMIF(JournalsC!D$14:D$920,TrialBalanceC!M136,JournalsC!J$14:J$920)+SUMIF(JournalsC!E$14:E$920,TrialBalanceC!M136,JournalsC!J$14:J$920)</f>
        <v>0</v>
      </c>
      <c r="H136" s="363"/>
      <c r="I136" s="366">
        <f t="shared" si="18"/>
        <v>0</v>
      </c>
      <c r="J136" s="81"/>
      <c r="K136" s="54">
        <f t="shared" si="19"/>
        <v>0</v>
      </c>
      <c r="M136" s="192" t="str">
        <f t="shared" si="20"/>
        <v>3500/018</v>
      </c>
      <c r="N136" s="76"/>
      <c r="O136" s="77"/>
      <c r="P136" s="57"/>
      <c r="Q136" s="31"/>
    </row>
    <row r="137" spans="1:17" x14ac:dyDescent="0.2">
      <c r="A137" s="315"/>
      <c r="B137" s="110" t="s">
        <v>977</v>
      </c>
      <c r="C137" s="353"/>
      <c r="D137" s="348"/>
      <c r="E137" s="356"/>
      <c r="F137" s="86"/>
      <c r="G137" s="53">
        <f>SUMIF(JournalsC!D$14:D$920,TrialBalanceC!M137,JournalsC!J$14:J$920)+SUMIF(JournalsC!E$14:E$920,TrialBalanceC!M137,JournalsC!J$14:J$920)</f>
        <v>0</v>
      </c>
      <c r="H137" s="363"/>
      <c r="I137" s="366">
        <f t="shared" si="18"/>
        <v>0</v>
      </c>
      <c r="J137" s="81"/>
      <c r="K137" s="54">
        <f t="shared" si="19"/>
        <v>0</v>
      </c>
      <c r="M137" s="192" t="str">
        <f t="shared" si="20"/>
        <v>3500/019</v>
      </c>
      <c r="N137" s="76"/>
      <c r="O137" s="77"/>
      <c r="P137" s="57"/>
      <c r="Q137" s="31"/>
    </row>
    <row r="138" spans="1:17" x14ac:dyDescent="0.2">
      <c r="A138" s="315"/>
      <c r="B138" s="110" t="s">
        <v>978</v>
      </c>
      <c r="C138" s="353"/>
      <c r="D138" s="348"/>
      <c r="E138" s="356"/>
      <c r="F138" s="86"/>
      <c r="G138" s="53">
        <f>SUMIF(JournalsC!D$14:D$920,TrialBalanceC!M138,JournalsC!J$14:J$920)+SUMIF(JournalsC!E$14:E$920,TrialBalanceC!M138,JournalsC!J$14:J$920)</f>
        <v>0</v>
      </c>
      <c r="H138" s="363"/>
      <c r="I138" s="366">
        <f t="shared" si="9"/>
        <v>0</v>
      </c>
      <c r="J138" s="81"/>
      <c r="K138" s="54">
        <f t="shared" si="13"/>
        <v>0</v>
      </c>
      <c r="M138" s="192" t="str">
        <f t="shared" si="14"/>
        <v>3500/020</v>
      </c>
      <c r="N138" s="76"/>
      <c r="O138" s="77"/>
      <c r="P138" s="57"/>
      <c r="Q138" s="31"/>
    </row>
    <row r="139" spans="1:17" x14ac:dyDescent="0.2">
      <c r="A139" s="315"/>
      <c r="B139" s="110" t="s">
        <v>979</v>
      </c>
      <c r="C139" s="317" t="str">
        <f>CONCATENATE("Interest on finance leases - ",Criteria!H16)</f>
        <v xml:space="preserve">Interest on finance leases - </v>
      </c>
      <c r="D139" s="357"/>
      <c r="E139" s="356"/>
      <c r="F139" s="86"/>
      <c r="G139" s="53">
        <f>SUMIF(JournalsC!D$14:D$920,TrialBalanceC!M139,JournalsC!J$14:J$920)+SUMIF(JournalsC!E$14:E$920,TrialBalanceC!M139,JournalsC!J$14:J$920)</f>
        <v>0</v>
      </c>
      <c r="H139" s="363"/>
      <c r="I139" s="366">
        <f t="shared" si="9"/>
        <v>0</v>
      </c>
      <c r="J139" s="81"/>
      <c r="K139" s="54">
        <f t="shared" si="13"/>
        <v>0</v>
      </c>
      <c r="M139" s="192" t="str">
        <f t="shared" si="14"/>
        <v xml:space="preserve">3500/021Interest on finance leases - </v>
      </c>
      <c r="N139" s="76"/>
      <c r="O139" s="77"/>
      <c r="P139" s="57"/>
      <c r="Q139" s="31"/>
    </row>
    <row r="140" spans="1:17" x14ac:dyDescent="0.2">
      <c r="A140" s="315"/>
      <c r="B140" s="110" t="s">
        <v>980</v>
      </c>
      <c r="C140" s="316" t="s">
        <v>348</v>
      </c>
      <c r="D140" s="358"/>
      <c r="E140" s="356"/>
      <c r="F140" s="86"/>
      <c r="G140" s="53">
        <f>SUMIF(JournalsC!D$14:D$920,TrialBalanceC!M140,JournalsC!J$14:J$920)+SUMIF(JournalsC!E$14:E$920,TrialBalanceC!M140,JournalsC!J$14:J$920)</f>
        <v>0</v>
      </c>
      <c r="H140" s="363"/>
      <c r="I140" s="366">
        <f t="shared" si="9"/>
        <v>0</v>
      </c>
      <c r="J140" s="81"/>
      <c r="K140" s="54">
        <f t="shared" si="13"/>
        <v>0</v>
      </c>
      <c r="M140" s="192" t="str">
        <f t="shared" si="14"/>
        <v>3550/000OTHER</v>
      </c>
      <c r="N140" s="76"/>
      <c r="O140" s="77"/>
      <c r="P140" s="57"/>
      <c r="Q140" s="31"/>
    </row>
    <row r="141" spans="1:17" x14ac:dyDescent="0.2">
      <c r="A141" s="315"/>
      <c r="B141" s="110" t="s">
        <v>981</v>
      </c>
      <c r="C141" s="318" t="s">
        <v>1081</v>
      </c>
      <c r="D141" s="348"/>
      <c r="E141" s="356"/>
      <c r="F141" s="86"/>
      <c r="G141" s="53">
        <f>SUMIF(JournalsC!D$14:D$920,TrialBalanceC!M141,JournalsC!J$14:J$920)+SUMIF(JournalsC!E$14:E$920,TrialBalanceC!M141,JournalsC!J$14:J$920)</f>
        <v>0</v>
      </c>
      <c r="H141" s="363"/>
      <c r="I141" s="366">
        <f>ROUND(D141-E141+G141+F141,0)</f>
        <v>0</v>
      </c>
      <c r="J141" s="81"/>
      <c r="K141" s="54">
        <f>ROUND(SUM(A141),0)</f>
        <v>0</v>
      </c>
      <c r="M141" s="192" t="str">
        <f>CONCATENATE(B141,C141)</f>
        <v>3550/010Impairment losses</v>
      </c>
      <c r="N141" s="76"/>
      <c r="O141" s="77"/>
      <c r="P141" s="57"/>
      <c r="Q141" s="31"/>
    </row>
    <row r="142" spans="1:17" x14ac:dyDescent="0.2">
      <c r="A142" s="315"/>
      <c r="B142" s="110" t="s">
        <v>950</v>
      </c>
      <c r="C142" s="321" t="s">
        <v>951</v>
      </c>
      <c r="D142" s="348"/>
      <c r="E142" s="356"/>
      <c r="F142" s="86"/>
      <c r="G142" s="53">
        <f>SUMIF(JournalsC!D$14:D$920,TrialBalanceC!M142,JournalsC!J$14:J$920)+SUMIF(JournalsC!E$14:E$920,TrialBalanceC!M142,JournalsC!J$14:J$920)</f>
        <v>0</v>
      </c>
      <c r="H142" s="363"/>
      <c r="I142" s="366">
        <f t="shared" ref="I142:I171" si="21">ROUND(D142-E142+G142+F142,0)</f>
        <v>0</v>
      </c>
      <c r="J142" s="81"/>
      <c r="K142" s="54">
        <f t="shared" ref="K142:K171" si="22">ROUND(SUM(A142),0)</f>
        <v>0</v>
      </c>
      <c r="M142" s="192" t="str">
        <f t="shared" ref="M142:M171" si="23">CONCATENATE(B142,C142)</f>
        <v>4000/000INCOME (OTHER THAN TRADING)</v>
      </c>
      <c r="N142" s="76"/>
      <c r="O142" s="77"/>
      <c r="P142" s="57"/>
      <c r="Q142" s="31"/>
    </row>
    <row r="143" spans="1:17" x14ac:dyDescent="0.2">
      <c r="A143" s="315"/>
      <c r="B143" s="110" t="s">
        <v>952</v>
      </c>
      <c r="C143" s="316" t="s">
        <v>771</v>
      </c>
      <c r="D143" s="358"/>
      <c r="E143" s="356"/>
      <c r="F143" s="86"/>
      <c r="G143" s="53">
        <f>SUMIF(JournalsC!D$14:D$920,TrialBalanceC!M143,JournalsC!J$14:J$920)+SUMIF(JournalsC!E$14:E$920,TrialBalanceC!M143,JournalsC!J$14:J$920)</f>
        <v>0</v>
      </c>
      <c r="H143" s="363"/>
      <c r="I143" s="366">
        <f t="shared" si="21"/>
        <v>0</v>
      </c>
      <c r="J143" s="81"/>
      <c r="K143" s="54">
        <f t="shared" si="22"/>
        <v>0</v>
      </c>
      <c r="M143" s="192" t="str">
        <f t="shared" si="23"/>
        <v>4100/000Interest received-----------------------</v>
      </c>
      <c r="N143" s="76"/>
      <c r="O143" s="77"/>
      <c r="P143" s="57"/>
      <c r="Q143" s="31"/>
    </row>
    <row r="144" spans="1:17" x14ac:dyDescent="0.2">
      <c r="A144" s="315"/>
      <c r="B144" s="110" t="s">
        <v>953</v>
      </c>
      <c r="C144" s="352"/>
      <c r="D144" s="356"/>
      <c r="E144" s="356"/>
      <c r="F144" s="86"/>
      <c r="G144" s="53">
        <f>SUMIF(JournalsC!D$14:D$920,TrialBalanceC!M144,JournalsC!J$14:J$920)+SUMIF(JournalsC!E$14:E$920,TrialBalanceC!M144,JournalsC!J$14:J$920)</f>
        <v>0</v>
      </c>
      <c r="H144" s="363"/>
      <c r="I144" s="366">
        <f t="shared" si="21"/>
        <v>0</v>
      </c>
      <c r="J144" s="81"/>
      <c r="K144" s="54">
        <f t="shared" si="22"/>
        <v>0</v>
      </c>
      <c r="M144" s="192" t="str">
        <f t="shared" si="23"/>
        <v>4100/001</v>
      </c>
      <c r="N144" s="76"/>
      <c r="O144" s="77"/>
      <c r="P144" s="57"/>
      <c r="Q144" s="31"/>
    </row>
    <row r="145" spans="1:17" x14ac:dyDescent="0.2">
      <c r="A145" s="315"/>
      <c r="B145" s="110" t="s">
        <v>954</v>
      </c>
      <c r="C145" s="354"/>
      <c r="D145" s="350"/>
      <c r="E145" s="356"/>
      <c r="F145" s="86"/>
      <c r="G145" s="53">
        <f>SUMIF(JournalsC!D$14:D$920,TrialBalanceC!M145,JournalsC!J$14:J$920)+SUMIF(JournalsC!E$14:E$920,TrialBalanceC!M145,JournalsC!J$14:J$920)</f>
        <v>0</v>
      </c>
      <c r="H145" s="363"/>
      <c r="I145" s="366">
        <f t="shared" si="21"/>
        <v>0</v>
      </c>
      <c r="J145" s="81"/>
      <c r="K145" s="54">
        <f t="shared" si="22"/>
        <v>0</v>
      </c>
      <c r="M145" s="192" t="str">
        <f t="shared" si="23"/>
        <v>4100/002</v>
      </c>
      <c r="N145" s="76"/>
      <c r="O145" s="77"/>
      <c r="P145" s="57"/>
      <c r="Q145" s="31"/>
    </row>
    <row r="146" spans="1:17" x14ac:dyDescent="0.2">
      <c r="A146" s="315"/>
      <c r="B146" s="110" t="s">
        <v>955</v>
      </c>
      <c r="C146" s="355"/>
      <c r="D146" s="357"/>
      <c r="E146" s="356"/>
      <c r="F146" s="86"/>
      <c r="G146" s="53">
        <f>SUMIF(JournalsC!D$14:D$920,TrialBalanceC!M146,JournalsC!J$14:J$920)+SUMIF(JournalsC!E$14:E$920,TrialBalanceC!M146,JournalsC!J$14:J$920)</f>
        <v>0</v>
      </c>
      <c r="H146" s="363"/>
      <c r="I146" s="366">
        <f t="shared" si="21"/>
        <v>0</v>
      </c>
      <c r="J146" s="81"/>
      <c r="K146" s="54">
        <f t="shared" si="22"/>
        <v>0</v>
      </c>
      <c r="M146" s="192" t="str">
        <f t="shared" si="23"/>
        <v>4100/003</v>
      </c>
      <c r="N146" s="76"/>
      <c r="O146" s="77"/>
      <c r="P146" s="57"/>
      <c r="Q146" s="31"/>
    </row>
    <row r="147" spans="1:17" x14ac:dyDescent="0.2">
      <c r="A147" s="315"/>
      <c r="B147" s="110" t="s">
        <v>956</v>
      </c>
      <c r="C147" s="355"/>
      <c r="D147" s="357"/>
      <c r="E147" s="356"/>
      <c r="F147" s="86"/>
      <c r="G147" s="53">
        <f>SUMIF(JournalsC!D$14:D$920,TrialBalanceC!M147,JournalsC!J$14:J$920)+SUMIF(JournalsC!E$14:E$920,TrialBalanceC!M147,JournalsC!J$14:J$920)</f>
        <v>0</v>
      </c>
      <c r="H147" s="363"/>
      <c r="I147" s="366">
        <f t="shared" si="21"/>
        <v>0</v>
      </c>
      <c r="J147" s="81"/>
      <c r="K147" s="54">
        <f t="shared" si="22"/>
        <v>0</v>
      </c>
      <c r="M147" s="192" t="str">
        <f t="shared" si="23"/>
        <v>4100/004</v>
      </c>
      <c r="N147" s="76"/>
      <c r="O147" s="77"/>
      <c r="P147" s="57"/>
      <c r="Q147" s="31"/>
    </row>
    <row r="148" spans="1:17" x14ac:dyDescent="0.2">
      <c r="A148" s="315"/>
      <c r="B148" s="110" t="s">
        <v>997</v>
      </c>
      <c r="C148" s="355"/>
      <c r="D148" s="357"/>
      <c r="E148" s="356"/>
      <c r="F148" s="86"/>
      <c r="G148" s="53">
        <f>SUMIF(JournalsC!D$14:D$920,TrialBalanceC!M148,JournalsC!J$14:J$920)+SUMIF(JournalsC!E$14:E$920,TrialBalanceC!M148,JournalsC!J$14:J$920)</f>
        <v>0</v>
      </c>
      <c r="H148" s="363"/>
      <c r="I148" s="366">
        <f t="shared" ref="I148:I151" si="24">ROUND(D148-E148+G148+F148,0)</f>
        <v>0</v>
      </c>
      <c r="J148" s="81"/>
      <c r="K148" s="54">
        <f t="shared" ref="K148:K151" si="25">ROUND(SUM(A148),0)</f>
        <v>0</v>
      </c>
      <c r="M148" s="192" t="str">
        <f t="shared" ref="M148:M151" si="26">CONCATENATE(B148,C148)</f>
        <v>4100/005</v>
      </c>
      <c r="N148" s="76"/>
      <c r="O148" s="77"/>
      <c r="P148" s="57"/>
      <c r="Q148" s="31"/>
    </row>
    <row r="149" spans="1:17" x14ac:dyDescent="0.2">
      <c r="A149" s="315"/>
      <c r="B149" s="110" t="s">
        <v>998</v>
      </c>
      <c r="C149" s="355"/>
      <c r="D149" s="357"/>
      <c r="E149" s="356"/>
      <c r="F149" s="86"/>
      <c r="G149" s="53">
        <f>SUMIF(JournalsC!D$14:D$920,TrialBalanceC!M149,JournalsC!J$14:J$920)+SUMIF(JournalsC!E$14:E$920,TrialBalanceC!M149,JournalsC!J$14:J$920)</f>
        <v>0</v>
      </c>
      <c r="H149" s="363"/>
      <c r="I149" s="366">
        <f t="shared" si="24"/>
        <v>0</v>
      </c>
      <c r="J149" s="81"/>
      <c r="K149" s="54">
        <f t="shared" si="25"/>
        <v>0</v>
      </c>
      <c r="M149" s="192" t="str">
        <f t="shared" si="26"/>
        <v>4100/006</v>
      </c>
      <c r="N149" s="76"/>
      <c r="O149" s="77"/>
      <c r="P149" s="57"/>
      <c r="Q149" s="31"/>
    </row>
    <row r="150" spans="1:17" x14ac:dyDescent="0.2">
      <c r="A150" s="315"/>
      <c r="B150" s="110" t="s">
        <v>999</v>
      </c>
      <c r="C150" s="355"/>
      <c r="D150" s="357"/>
      <c r="E150" s="356"/>
      <c r="F150" s="86"/>
      <c r="G150" s="53">
        <f>SUMIF(JournalsC!D$14:D$920,TrialBalanceC!M150,JournalsC!J$14:J$920)+SUMIF(JournalsC!E$14:E$920,TrialBalanceC!M150,JournalsC!J$14:J$920)</f>
        <v>0</v>
      </c>
      <c r="H150" s="363"/>
      <c r="I150" s="366">
        <f t="shared" si="24"/>
        <v>0</v>
      </c>
      <c r="J150" s="81"/>
      <c r="K150" s="54">
        <f t="shared" si="25"/>
        <v>0</v>
      </c>
      <c r="M150" s="192" t="str">
        <f t="shared" si="26"/>
        <v>4100/007</v>
      </c>
      <c r="N150" s="76"/>
      <c r="O150" s="77"/>
      <c r="P150" s="57"/>
      <c r="Q150" s="31"/>
    </row>
    <row r="151" spans="1:17" x14ac:dyDescent="0.2">
      <c r="A151" s="315"/>
      <c r="B151" s="110" t="s">
        <v>1000</v>
      </c>
      <c r="C151" s="355"/>
      <c r="D151" s="357"/>
      <c r="E151" s="356"/>
      <c r="F151" s="86"/>
      <c r="G151" s="53">
        <f>SUMIF(JournalsC!D$14:D$920,TrialBalanceC!M151,JournalsC!J$14:J$920)+SUMIF(JournalsC!E$14:E$920,TrialBalanceC!M151,JournalsC!J$14:J$920)</f>
        <v>0</v>
      </c>
      <c r="H151" s="363"/>
      <c r="I151" s="366">
        <f t="shared" si="24"/>
        <v>0</v>
      </c>
      <c r="J151" s="81"/>
      <c r="K151" s="54">
        <f t="shared" si="25"/>
        <v>0</v>
      </c>
      <c r="M151" s="192" t="str">
        <f t="shared" si="26"/>
        <v>4100/008</v>
      </c>
      <c r="N151" s="76"/>
      <c r="O151" s="77"/>
      <c r="P151" s="57"/>
      <c r="Q151" s="31"/>
    </row>
    <row r="152" spans="1:17" x14ac:dyDescent="0.2">
      <c r="A152" s="315"/>
      <c r="B152" s="110" t="s">
        <v>957</v>
      </c>
      <c r="C152" s="317" t="s">
        <v>303</v>
      </c>
      <c r="D152" s="357"/>
      <c r="E152" s="356"/>
      <c r="F152" s="86"/>
      <c r="G152" s="53">
        <f>SUMIF(JournalsC!D$14:D$920,TrialBalanceC!M152,JournalsC!J$14:J$920)+SUMIF(JournalsC!E$14:E$920,TrialBalanceC!M152,JournalsC!J$14:J$920)</f>
        <v>0</v>
      </c>
      <c r="H152" s="363"/>
      <c r="I152" s="366">
        <f t="shared" si="21"/>
        <v>0</v>
      </c>
      <c r="J152" s="81"/>
      <c r="K152" s="54">
        <f t="shared" si="22"/>
        <v>0</v>
      </c>
      <c r="M152" s="192" t="str">
        <f t="shared" si="23"/>
        <v>4200/000Dividends received----------------------</v>
      </c>
      <c r="N152" s="76"/>
      <c r="O152" s="77"/>
      <c r="P152" s="57"/>
      <c r="Q152" s="31"/>
    </row>
    <row r="153" spans="1:17" x14ac:dyDescent="0.2">
      <c r="A153" s="315"/>
      <c r="B153" s="110" t="s">
        <v>958</v>
      </c>
      <c r="C153" s="319" t="s">
        <v>722</v>
      </c>
      <c r="D153" s="357"/>
      <c r="E153" s="356"/>
      <c r="F153" s="86"/>
      <c r="G153" s="53">
        <f>SUMIF(JournalsC!D$14:D$920,TrialBalanceC!M153,JournalsC!J$14:J$920)+SUMIF(JournalsC!E$14:E$920,TrialBalanceC!M153,JournalsC!J$14:J$920)</f>
        <v>0</v>
      </c>
      <c r="H153" s="363"/>
      <c r="I153" s="366">
        <f t="shared" si="21"/>
        <v>0</v>
      </c>
      <c r="J153" s="81"/>
      <c r="K153" s="54">
        <f t="shared" si="22"/>
        <v>0</v>
      </c>
      <c r="M153" s="192" t="str">
        <f t="shared" si="23"/>
        <v>4200/001Div.'s received - SA sources</v>
      </c>
      <c r="N153" s="76"/>
      <c r="O153" s="77"/>
      <c r="P153" s="57"/>
      <c r="Q153" s="31"/>
    </row>
    <row r="154" spans="1:17" x14ac:dyDescent="0.2">
      <c r="A154" s="315"/>
      <c r="B154" s="110" t="s">
        <v>959</v>
      </c>
      <c r="C154" s="319" t="s">
        <v>723</v>
      </c>
      <c r="D154" s="357"/>
      <c r="E154" s="356"/>
      <c r="F154" s="86"/>
      <c r="G154" s="53">
        <f>SUMIF(JournalsC!D$14:D$920,TrialBalanceC!M154,JournalsC!J$14:J$920)+SUMIF(JournalsC!E$14:E$920,TrialBalanceC!M154,JournalsC!J$14:J$920)</f>
        <v>0</v>
      </c>
      <c r="H154" s="363"/>
      <c r="I154" s="366">
        <f t="shared" si="21"/>
        <v>0</v>
      </c>
      <c r="J154" s="81"/>
      <c r="K154" s="54">
        <f t="shared" si="22"/>
        <v>0</v>
      </c>
      <c r="M154" s="192" t="str">
        <f t="shared" si="23"/>
        <v>4200/002Div.'s received - Foreign div.'s</v>
      </c>
      <c r="N154" s="76"/>
      <c r="O154" s="77"/>
      <c r="P154" s="57"/>
      <c r="Q154" s="31"/>
    </row>
    <row r="155" spans="1:17" x14ac:dyDescent="0.2">
      <c r="A155" s="315"/>
      <c r="B155" s="110" t="s">
        <v>961</v>
      </c>
      <c r="C155" s="321" t="s">
        <v>960</v>
      </c>
      <c r="D155" s="348"/>
      <c r="E155" s="356"/>
      <c r="F155" s="86"/>
      <c r="G155" s="53">
        <f>SUMIF(JournalsC!D$14:D$920,TrialBalanceC!M155,JournalsC!J$14:J$920)+SUMIF(JournalsC!E$14:E$920,TrialBalanceC!M155,JournalsC!J$14:J$920)</f>
        <v>0</v>
      </c>
      <c r="H155" s="363"/>
      <c r="I155" s="366">
        <f t="shared" si="21"/>
        <v>0</v>
      </c>
      <c r="J155" s="81"/>
      <c r="K155" s="54">
        <f t="shared" si="22"/>
        <v>0</v>
      </c>
      <c r="M155" s="192" t="str">
        <f t="shared" si="23"/>
        <v>4300/000Other income----------------------------------</v>
      </c>
      <c r="N155" s="76"/>
      <c r="O155" s="77"/>
      <c r="P155" s="57"/>
      <c r="Q155" s="31"/>
    </row>
    <row r="156" spans="1:17" x14ac:dyDescent="0.2">
      <c r="A156" s="315"/>
      <c r="B156" s="110" t="s">
        <v>962</v>
      </c>
      <c r="C156" s="352"/>
      <c r="D156" s="348"/>
      <c r="E156" s="356"/>
      <c r="F156" s="86"/>
      <c r="G156" s="53">
        <f>SUMIF(JournalsC!D$14:D$920,TrialBalanceC!M156,JournalsC!J$14:J$920)+SUMIF(JournalsC!E$14:E$920,TrialBalanceC!M156,JournalsC!J$14:J$920)</f>
        <v>0</v>
      </c>
      <c r="H156" s="363"/>
      <c r="I156" s="366">
        <f t="shared" si="21"/>
        <v>0</v>
      </c>
      <c r="J156" s="81"/>
      <c r="K156" s="54">
        <f t="shared" si="22"/>
        <v>0</v>
      </c>
      <c r="M156" s="192" t="str">
        <f t="shared" si="23"/>
        <v>4300/001</v>
      </c>
      <c r="N156" s="76"/>
      <c r="O156" s="77"/>
      <c r="P156" s="57"/>
      <c r="Q156" s="31"/>
    </row>
    <row r="157" spans="1:17" x14ac:dyDescent="0.2">
      <c r="A157" s="315"/>
      <c r="B157" s="110" t="s">
        <v>963</v>
      </c>
      <c r="C157" s="352"/>
      <c r="D157" s="348"/>
      <c r="E157" s="356"/>
      <c r="F157" s="86"/>
      <c r="G157" s="53">
        <f>SUMIF(JournalsC!D$14:D$920,TrialBalanceC!M157,JournalsC!J$14:J$920)+SUMIF(JournalsC!E$14:E$920,TrialBalanceC!M157,JournalsC!J$14:J$920)</f>
        <v>0</v>
      </c>
      <c r="H157" s="363"/>
      <c r="I157" s="366">
        <f t="shared" si="21"/>
        <v>0</v>
      </c>
      <c r="J157" s="81"/>
      <c r="K157" s="54">
        <f t="shared" si="22"/>
        <v>0</v>
      </c>
      <c r="M157" s="192" t="str">
        <f t="shared" si="23"/>
        <v>4300/002</v>
      </c>
      <c r="N157" s="76"/>
      <c r="O157" s="77"/>
      <c r="P157" s="57"/>
      <c r="Q157" s="31"/>
    </row>
    <row r="158" spans="1:17" x14ac:dyDescent="0.2">
      <c r="A158" s="315"/>
      <c r="B158" s="110" t="s">
        <v>964</v>
      </c>
      <c r="C158" s="352"/>
      <c r="D158" s="348"/>
      <c r="E158" s="356"/>
      <c r="F158" s="86"/>
      <c r="G158" s="53">
        <f>SUMIF(JournalsC!D$14:D$920,TrialBalanceC!M158,JournalsC!J$14:J$920)+SUMIF(JournalsC!E$14:E$920,TrialBalanceC!M158,JournalsC!J$14:J$920)</f>
        <v>0</v>
      </c>
      <c r="H158" s="363"/>
      <c r="I158" s="366">
        <f t="shared" si="21"/>
        <v>0</v>
      </c>
      <c r="J158" s="81"/>
      <c r="K158" s="54">
        <f t="shared" si="22"/>
        <v>0</v>
      </c>
      <c r="M158" s="192" t="str">
        <f t="shared" si="23"/>
        <v>4300/003</v>
      </c>
      <c r="N158" s="76"/>
      <c r="O158" s="77"/>
      <c r="P158" s="57"/>
      <c r="Q158" s="31"/>
    </row>
    <row r="159" spans="1:17" x14ac:dyDescent="0.2">
      <c r="A159" s="315"/>
      <c r="B159" s="110" t="s">
        <v>965</v>
      </c>
      <c r="C159" s="352"/>
      <c r="D159" s="348"/>
      <c r="E159" s="356"/>
      <c r="F159" s="86"/>
      <c r="G159" s="53">
        <f>SUMIF(JournalsC!D$14:D$920,TrialBalanceC!M159,JournalsC!J$14:J$920)+SUMIF(JournalsC!E$14:E$920,TrialBalanceC!M159,JournalsC!J$14:J$920)</f>
        <v>0</v>
      </c>
      <c r="H159" s="363"/>
      <c r="I159" s="366">
        <f t="shared" si="21"/>
        <v>0</v>
      </c>
      <c r="J159" s="81"/>
      <c r="K159" s="54">
        <f t="shared" si="22"/>
        <v>0</v>
      </c>
      <c r="M159" s="192" t="str">
        <f t="shared" si="23"/>
        <v>4300/004</v>
      </c>
      <c r="N159" s="76"/>
      <c r="O159" s="77"/>
      <c r="P159" s="57"/>
      <c r="Q159" s="31"/>
    </row>
    <row r="160" spans="1:17" x14ac:dyDescent="0.2">
      <c r="A160" s="315"/>
      <c r="B160" s="110" t="s">
        <v>966</v>
      </c>
      <c r="C160" s="352"/>
      <c r="D160" s="348"/>
      <c r="E160" s="356"/>
      <c r="F160" s="86"/>
      <c r="G160" s="53">
        <f>SUMIF(JournalsC!D$14:D$920,TrialBalanceC!M160,JournalsC!J$14:J$920)+SUMIF(JournalsC!E$14:E$920,TrialBalanceC!M160,JournalsC!J$14:J$920)</f>
        <v>0</v>
      </c>
      <c r="H160" s="363"/>
      <c r="I160" s="366">
        <f t="shared" si="21"/>
        <v>0</v>
      </c>
      <c r="J160" s="81"/>
      <c r="K160" s="54">
        <f t="shared" si="22"/>
        <v>0</v>
      </c>
      <c r="M160" s="192" t="str">
        <f t="shared" si="23"/>
        <v>4300/005</v>
      </c>
      <c r="N160" s="76"/>
      <c r="O160" s="77"/>
      <c r="P160" s="57"/>
      <c r="Q160" s="31"/>
    </row>
    <row r="161" spans="1:17" x14ac:dyDescent="0.2">
      <c r="A161" s="315"/>
      <c r="B161" s="110" t="s">
        <v>982</v>
      </c>
      <c r="C161" s="352"/>
      <c r="D161" s="348"/>
      <c r="E161" s="356"/>
      <c r="F161" s="86"/>
      <c r="G161" s="53">
        <f>SUMIF(JournalsC!D$14:D$920,TrialBalanceC!M161,JournalsC!J$14:J$920)+SUMIF(JournalsC!E$14:E$920,TrialBalanceC!M161,JournalsC!J$14:J$920)</f>
        <v>0</v>
      </c>
      <c r="H161" s="363"/>
      <c r="I161" s="366">
        <f t="shared" si="21"/>
        <v>0</v>
      </c>
      <c r="J161" s="81"/>
      <c r="K161" s="54">
        <f t="shared" si="22"/>
        <v>0</v>
      </c>
      <c r="M161" s="192" t="str">
        <f t="shared" si="23"/>
        <v>4300/006</v>
      </c>
      <c r="N161" s="76"/>
      <c r="O161" s="77"/>
      <c r="P161" s="57"/>
      <c r="Q161" s="31"/>
    </row>
    <row r="162" spans="1:17" x14ac:dyDescent="0.2">
      <c r="A162" s="315"/>
      <c r="B162" s="110" t="s">
        <v>983</v>
      </c>
      <c r="C162" s="352"/>
      <c r="D162" s="348"/>
      <c r="E162" s="356"/>
      <c r="F162" s="86"/>
      <c r="G162" s="53">
        <f>SUMIF(JournalsC!D$14:D$920,TrialBalanceC!M162,JournalsC!J$14:J$920)+SUMIF(JournalsC!E$14:E$920,TrialBalanceC!M162,JournalsC!J$14:J$920)</f>
        <v>0</v>
      </c>
      <c r="H162" s="363"/>
      <c r="I162" s="366">
        <f t="shared" si="21"/>
        <v>0</v>
      </c>
      <c r="J162" s="81"/>
      <c r="K162" s="54">
        <f t="shared" si="22"/>
        <v>0</v>
      </c>
      <c r="M162" s="192" t="str">
        <f t="shared" si="23"/>
        <v>4300/007</v>
      </c>
      <c r="N162" s="76"/>
      <c r="O162" s="77"/>
      <c r="P162" s="57"/>
      <c r="Q162" s="31"/>
    </row>
    <row r="163" spans="1:17" x14ac:dyDescent="0.2">
      <c r="A163" s="315"/>
      <c r="B163" s="110" t="s">
        <v>984</v>
      </c>
      <c r="C163" s="352"/>
      <c r="D163" s="348"/>
      <c r="E163" s="356"/>
      <c r="F163" s="86"/>
      <c r="G163" s="53">
        <f>SUMIF(JournalsC!D$14:D$920,TrialBalanceC!M163,JournalsC!J$14:J$920)+SUMIF(JournalsC!E$14:E$920,TrialBalanceC!M163,JournalsC!J$14:J$920)</f>
        <v>0</v>
      </c>
      <c r="H163" s="363"/>
      <c r="I163" s="366">
        <f t="shared" si="21"/>
        <v>0</v>
      </c>
      <c r="J163" s="81"/>
      <c r="K163" s="54">
        <f t="shared" si="22"/>
        <v>0</v>
      </c>
      <c r="M163" s="192" t="str">
        <f t="shared" si="23"/>
        <v>4300/008</v>
      </c>
      <c r="N163" s="76"/>
      <c r="O163" s="77"/>
      <c r="P163" s="57"/>
      <c r="Q163" s="31"/>
    </row>
    <row r="164" spans="1:17" x14ac:dyDescent="0.2">
      <c r="A164" s="315"/>
      <c r="B164" s="110" t="s">
        <v>985</v>
      </c>
      <c r="C164" s="352"/>
      <c r="D164" s="348"/>
      <c r="E164" s="356"/>
      <c r="F164" s="86"/>
      <c r="G164" s="53">
        <f>SUMIF(JournalsC!D$14:D$920,TrialBalanceC!M164,JournalsC!J$14:J$920)+SUMIF(JournalsC!E$14:E$920,TrialBalanceC!M164,JournalsC!J$14:J$920)</f>
        <v>0</v>
      </c>
      <c r="H164" s="363"/>
      <c r="I164" s="366">
        <f t="shared" si="21"/>
        <v>0</v>
      </c>
      <c r="J164" s="81"/>
      <c r="K164" s="54">
        <f t="shared" si="22"/>
        <v>0</v>
      </c>
      <c r="M164" s="192" t="str">
        <f t="shared" si="23"/>
        <v>4300/009</v>
      </c>
      <c r="N164" s="76"/>
      <c r="O164" s="77"/>
      <c r="P164" s="57"/>
      <c r="Q164" s="31"/>
    </row>
    <row r="165" spans="1:17" x14ac:dyDescent="0.2">
      <c r="A165" s="315"/>
      <c r="B165" s="110" t="s">
        <v>986</v>
      </c>
      <c r="C165" s="352"/>
      <c r="D165" s="348"/>
      <c r="E165" s="356"/>
      <c r="F165" s="86"/>
      <c r="G165" s="53">
        <f>SUMIF(JournalsC!D$14:D$920,TrialBalanceC!M165,JournalsC!J$14:J$920)+SUMIF(JournalsC!E$14:E$920,TrialBalanceC!M165,JournalsC!J$14:J$920)</f>
        <v>0</v>
      </c>
      <c r="H165" s="363"/>
      <c r="I165" s="366">
        <f t="shared" si="21"/>
        <v>0</v>
      </c>
      <c r="J165" s="81"/>
      <c r="K165" s="54">
        <f t="shared" si="22"/>
        <v>0</v>
      </c>
      <c r="M165" s="192" t="str">
        <f t="shared" si="23"/>
        <v>4300/010</v>
      </c>
      <c r="N165" s="76"/>
      <c r="O165" s="77"/>
      <c r="P165" s="57"/>
      <c r="Q165" s="31"/>
    </row>
    <row r="166" spans="1:17" x14ac:dyDescent="0.2">
      <c r="A166" s="315"/>
      <c r="B166" s="49" t="s">
        <v>987</v>
      </c>
      <c r="C166" s="321" t="s">
        <v>988</v>
      </c>
      <c r="D166" s="348"/>
      <c r="E166" s="356"/>
      <c r="F166" s="86"/>
      <c r="G166" s="53">
        <f>SUMIF(JournalsC!D$14:D$920,TrialBalanceC!M166,JournalsC!J$14:J$920)+SUMIF(JournalsC!E$14:E$920,TrialBalanceC!M166,JournalsC!J$14:J$920)</f>
        <v>0</v>
      </c>
      <c r="H166" s="363"/>
      <c r="I166" s="366">
        <f t="shared" si="21"/>
        <v>0</v>
      </c>
      <c r="J166" s="81"/>
      <c r="K166" s="54">
        <f t="shared" si="22"/>
        <v>0</v>
      </c>
      <c r="M166" s="192" t="str">
        <f t="shared" si="23"/>
        <v>4500/000Expenses applicable to other income</v>
      </c>
      <c r="N166" s="76"/>
      <c r="O166" s="77"/>
      <c r="P166" s="57"/>
      <c r="Q166" s="31"/>
    </row>
    <row r="167" spans="1:17" x14ac:dyDescent="0.2">
      <c r="A167" s="315"/>
      <c r="B167" s="49" t="s">
        <v>989</v>
      </c>
      <c r="C167" s="352"/>
      <c r="D167" s="348"/>
      <c r="E167" s="356"/>
      <c r="F167" s="86"/>
      <c r="G167" s="53">
        <f>SUMIF(JournalsC!D$14:D$920,TrialBalanceC!M167,JournalsC!J$14:J$920)+SUMIF(JournalsC!E$14:E$920,TrialBalanceC!M167,JournalsC!J$14:J$920)</f>
        <v>0</v>
      </c>
      <c r="H167" s="363"/>
      <c r="I167" s="366">
        <f t="shared" si="21"/>
        <v>0</v>
      </c>
      <c r="J167" s="81"/>
      <c r="K167" s="54">
        <f t="shared" si="22"/>
        <v>0</v>
      </c>
      <c r="M167" s="192" t="str">
        <f t="shared" si="23"/>
        <v>4500/001</v>
      </c>
      <c r="N167" s="76"/>
      <c r="O167" s="77"/>
      <c r="P167" s="57"/>
      <c r="Q167" s="31"/>
    </row>
    <row r="168" spans="1:17" x14ac:dyDescent="0.2">
      <c r="A168" s="315"/>
      <c r="B168" s="49" t="s">
        <v>990</v>
      </c>
      <c r="C168" s="352"/>
      <c r="D168" s="348"/>
      <c r="E168" s="356"/>
      <c r="F168" s="86"/>
      <c r="G168" s="53">
        <f>SUMIF(JournalsC!D$14:D$920,TrialBalanceC!M168,JournalsC!J$14:J$920)+SUMIF(JournalsC!E$14:E$920,TrialBalanceC!M168,JournalsC!J$14:J$920)</f>
        <v>0</v>
      </c>
      <c r="H168" s="363"/>
      <c r="I168" s="366">
        <f t="shared" si="21"/>
        <v>0</v>
      </c>
      <c r="J168" s="81"/>
      <c r="K168" s="54">
        <f t="shared" si="22"/>
        <v>0</v>
      </c>
      <c r="M168" s="192" t="str">
        <f t="shared" si="23"/>
        <v>4500/002</v>
      </c>
      <c r="N168" s="76"/>
      <c r="O168" s="77"/>
      <c r="P168" s="57"/>
      <c r="Q168" s="31"/>
    </row>
    <row r="169" spans="1:17" x14ac:dyDescent="0.2">
      <c r="A169" s="315"/>
      <c r="B169" s="49" t="s">
        <v>991</v>
      </c>
      <c r="C169" s="352"/>
      <c r="D169" s="348"/>
      <c r="E169" s="356"/>
      <c r="F169" s="86"/>
      <c r="G169" s="53">
        <f>SUMIF(JournalsC!D$14:D$920,TrialBalanceC!M169,JournalsC!J$14:J$920)+SUMIF(JournalsC!E$14:E$920,TrialBalanceC!M169,JournalsC!J$14:J$920)</f>
        <v>0</v>
      </c>
      <c r="H169" s="363"/>
      <c r="I169" s="366">
        <f t="shared" si="21"/>
        <v>0</v>
      </c>
      <c r="J169" s="81"/>
      <c r="K169" s="54">
        <f t="shared" si="22"/>
        <v>0</v>
      </c>
      <c r="M169" s="192" t="str">
        <f t="shared" si="23"/>
        <v>4500/003</v>
      </c>
      <c r="N169" s="76"/>
      <c r="O169" s="77"/>
      <c r="P169" s="57"/>
      <c r="Q169" s="31"/>
    </row>
    <row r="170" spans="1:17" x14ac:dyDescent="0.2">
      <c r="A170" s="315"/>
      <c r="B170" s="49" t="s">
        <v>992</v>
      </c>
      <c r="C170" s="352"/>
      <c r="D170" s="348"/>
      <c r="E170" s="356"/>
      <c r="F170" s="86"/>
      <c r="G170" s="53">
        <f>SUMIF(JournalsC!D$14:D$920,TrialBalanceC!M170,JournalsC!J$14:J$920)+SUMIF(JournalsC!E$14:E$920,TrialBalanceC!M170,JournalsC!J$14:J$920)</f>
        <v>0</v>
      </c>
      <c r="H170" s="363"/>
      <c r="I170" s="366">
        <f t="shared" si="21"/>
        <v>0</v>
      </c>
      <c r="J170" s="81"/>
      <c r="K170" s="54">
        <f t="shared" si="22"/>
        <v>0</v>
      </c>
      <c r="M170" s="192" t="str">
        <f t="shared" si="23"/>
        <v>4500/004</v>
      </c>
      <c r="N170" s="76"/>
      <c r="O170" s="77"/>
      <c r="P170" s="57"/>
      <c r="Q170" s="31"/>
    </row>
    <row r="171" spans="1:17" x14ac:dyDescent="0.2">
      <c r="A171" s="315"/>
      <c r="B171" s="49" t="s">
        <v>993</v>
      </c>
      <c r="C171" s="352"/>
      <c r="D171" s="348"/>
      <c r="E171" s="356"/>
      <c r="F171" s="86"/>
      <c r="G171" s="53">
        <f>SUMIF(JournalsC!D$14:D$920,TrialBalanceC!M171,JournalsC!J$14:J$920)+SUMIF(JournalsC!E$14:E$920,TrialBalanceC!M171,JournalsC!J$14:J$920)</f>
        <v>0</v>
      </c>
      <c r="H171" s="363"/>
      <c r="I171" s="366">
        <f t="shared" si="21"/>
        <v>0</v>
      </c>
      <c r="J171" s="81"/>
      <c r="K171" s="54">
        <f t="shared" si="22"/>
        <v>0</v>
      </c>
      <c r="M171" s="192" t="str">
        <f t="shared" si="23"/>
        <v>4500/005</v>
      </c>
      <c r="N171" s="76"/>
      <c r="O171" s="77"/>
      <c r="P171" s="57"/>
      <c r="Q171" s="31"/>
    </row>
    <row r="172" spans="1:17" x14ac:dyDescent="0.2">
      <c r="A172" s="315"/>
      <c r="B172" s="60"/>
      <c r="C172" s="316"/>
      <c r="D172" s="358"/>
      <c r="E172" s="356"/>
      <c r="F172" s="86"/>
      <c r="G172" s="53"/>
      <c r="H172" s="363"/>
      <c r="I172" s="366">
        <f t="shared" si="9"/>
        <v>0</v>
      </c>
      <c r="J172" s="81"/>
      <c r="K172" s="54">
        <f t="shared" si="13"/>
        <v>0</v>
      </c>
      <c r="M172" s="192" t="str">
        <f t="shared" si="14"/>
        <v/>
      </c>
      <c r="N172" s="76"/>
      <c r="O172" s="77"/>
      <c r="P172" s="57"/>
      <c r="Q172" s="31"/>
    </row>
    <row r="173" spans="1:17" x14ac:dyDescent="0.2">
      <c r="A173" s="315"/>
      <c r="B173" s="60"/>
      <c r="C173" s="317"/>
      <c r="D173" s="357"/>
      <c r="E173" s="356"/>
      <c r="F173" s="86"/>
      <c r="G173" s="53"/>
      <c r="H173" s="363"/>
      <c r="I173" s="366">
        <f t="shared" si="9"/>
        <v>0</v>
      </c>
      <c r="J173" s="81"/>
      <c r="K173" s="54">
        <f t="shared" si="13"/>
        <v>0</v>
      </c>
      <c r="M173" s="192" t="str">
        <f t="shared" si="14"/>
        <v/>
      </c>
      <c r="N173" s="76"/>
      <c r="O173" s="77"/>
      <c r="P173" s="57"/>
      <c r="Q173" s="31"/>
    </row>
    <row r="174" spans="1:17" x14ac:dyDescent="0.2">
      <c r="A174" s="315"/>
      <c r="B174" s="60"/>
      <c r="C174" s="317"/>
      <c r="D174" s="357"/>
      <c r="E174" s="356"/>
      <c r="F174" s="86"/>
      <c r="G174" s="53"/>
      <c r="H174" s="363"/>
      <c r="I174" s="366">
        <f t="shared" si="9"/>
        <v>0</v>
      </c>
      <c r="J174" s="81"/>
      <c r="K174" s="54">
        <f t="shared" si="13"/>
        <v>0</v>
      </c>
      <c r="M174" s="192" t="str">
        <f t="shared" si="14"/>
        <v/>
      </c>
      <c r="N174" s="76"/>
      <c r="O174" s="77"/>
      <c r="P174" s="57"/>
      <c r="Q174" s="31"/>
    </row>
    <row r="175" spans="1:17" x14ac:dyDescent="0.2">
      <c r="A175" s="315"/>
      <c r="B175" s="60"/>
      <c r="C175" s="319"/>
      <c r="D175" s="357"/>
      <c r="E175" s="356"/>
      <c r="F175" s="86"/>
      <c r="G175" s="53"/>
      <c r="H175" s="363"/>
      <c r="I175" s="366">
        <f>ROUND(D175-E175+G175+F175,0)</f>
        <v>0</v>
      </c>
      <c r="J175" s="81"/>
      <c r="K175" s="54">
        <f>ROUND(SUM(A175),0)</f>
        <v>0</v>
      </c>
      <c r="M175" s="192" t="str">
        <f>CONCATENATE(B175,C175)</f>
        <v/>
      </c>
      <c r="N175" s="76"/>
      <c r="O175" s="77"/>
      <c r="P175" s="57"/>
      <c r="Q175" s="31"/>
    </row>
    <row r="176" spans="1:17" x14ac:dyDescent="0.2">
      <c r="A176" s="315"/>
      <c r="B176" s="60" t="s">
        <v>233</v>
      </c>
      <c r="C176" s="317"/>
      <c r="D176" s="357"/>
      <c r="E176" s="356"/>
      <c r="F176" s="86"/>
      <c r="G176" s="53"/>
      <c r="H176" s="363"/>
      <c r="I176" s="366">
        <f t="shared" si="9"/>
        <v>0</v>
      </c>
      <c r="J176" s="81"/>
      <c r="K176" s="54">
        <f t="shared" si="13"/>
        <v>0</v>
      </c>
      <c r="M176" s="192" t="str">
        <f t="shared" si="14"/>
        <v/>
      </c>
      <c r="N176" s="76"/>
      <c r="O176" s="77"/>
      <c r="P176" s="57"/>
      <c r="Q176" s="31"/>
    </row>
    <row r="177" spans="1:17" x14ac:dyDescent="0.2">
      <c r="A177" s="315"/>
      <c r="B177" s="60" t="s">
        <v>233</v>
      </c>
      <c r="C177" s="317" t="s">
        <v>233</v>
      </c>
      <c r="D177" s="357"/>
      <c r="E177" s="356"/>
      <c r="F177" s="86"/>
      <c r="G177" s="53"/>
      <c r="H177" s="363"/>
      <c r="I177" s="366">
        <f t="shared" si="9"/>
        <v>0</v>
      </c>
      <c r="J177" s="81"/>
      <c r="K177" s="54">
        <f t="shared" si="13"/>
        <v>0</v>
      </c>
      <c r="M177" s="192" t="str">
        <f t="shared" si="14"/>
        <v/>
      </c>
      <c r="N177" s="76"/>
      <c r="O177" s="77"/>
      <c r="P177" s="57"/>
      <c r="Q177" s="31"/>
    </row>
    <row r="178" spans="1:17" x14ac:dyDescent="0.2">
      <c r="A178" s="315"/>
      <c r="B178" s="60" t="s">
        <v>233</v>
      </c>
      <c r="C178" s="317"/>
      <c r="D178" s="357"/>
      <c r="E178" s="356"/>
      <c r="F178" s="86"/>
      <c r="G178" s="53"/>
      <c r="H178" s="363"/>
      <c r="I178" s="366">
        <f t="shared" si="9"/>
        <v>0</v>
      </c>
      <c r="J178" s="81"/>
      <c r="K178" s="54">
        <f t="shared" si="13"/>
        <v>0</v>
      </c>
      <c r="M178" s="192" t="str">
        <f t="shared" si="14"/>
        <v/>
      </c>
      <c r="N178" s="76"/>
      <c r="O178" s="77"/>
      <c r="P178" s="57"/>
      <c r="Q178" s="31"/>
    </row>
    <row r="179" spans="1:17" x14ac:dyDescent="0.2">
      <c r="A179" s="315"/>
      <c r="B179" s="60" t="s">
        <v>480</v>
      </c>
      <c r="C179" s="316" t="s">
        <v>897</v>
      </c>
      <c r="D179" s="358"/>
      <c r="E179" s="356"/>
      <c r="F179" s="86"/>
      <c r="G179" s="53">
        <f>SUMIF(JournalsC!D$14:D$920,TrialBalanceC!M179,JournalsC!J$14:J$920)+SUMIF(JournalsC!E$14:E$920,TrialBalanceC!M179,JournalsC!J$14:J$920)</f>
        <v>0</v>
      </c>
      <c r="H179" s="363"/>
      <c r="I179" s="366">
        <f t="shared" si="9"/>
        <v>0</v>
      </c>
      <c r="J179" s="81"/>
      <c r="K179" s="54">
        <f t="shared" si="13"/>
        <v>0</v>
      </c>
      <c r="M179" s="192" t="str">
        <f t="shared" si="14"/>
        <v>5100/000TRUSTEES' CONTRIBUTIONS</v>
      </c>
      <c r="N179" s="76"/>
      <c r="O179" s="77"/>
      <c r="P179" s="57"/>
      <c r="Q179" s="31"/>
    </row>
    <row r="180" spans="1:17" x14ac:dyDescent="0.2">
      <c r="A180" s="315"/>
      <c r="B180" s="60" t="s">
        <v>481</v>
      </c>
      <c r="C180" s="352"/>
      <c r="D180" s="357"/>
      <c r="E180" s="356"/>
      <c r="F180" s="86">
        <f t="shared" ref="F180:F185" si="27">K180</f>
        <v>0</v>
      </c>
      <c r="G180" s="53">
        <f>SUMIF(JournalsC!D$14:D$920,TrialBalanceC!M180,JournalsC!J$14:J$920)+SUMIF(JournalsC!E$14:E$920,TrialBalanceC!M180,JournalsC!J$14:J$920)</f>
        <v>0</v>
      </c>
      <c r="H180" s="363"/>
      <c r="I180" s="366">
        <f t="shared" ref="I180:I185" si="28">ROUND(D180-E180+G180+F180,0)</f>
        <v>0</v>
      </c>
      <c r="J180" s="81"/>
      <c r="K180" s="54">
        <f>ROUND(SUM(A180),0)</f>
        <v>0</v>
      </c>
      <c r="M180" s="192" t="str">
        <f t="shared" si="14"/>
        <v>5100/001</v>
      </c>
      <c r="N180" s="76"/>
      <c r="O180" s="77"/>
      <c r="P180" s="57"/>
      <c r="Q180" s="31"/>
    </row>
    <row r="181" spans="1:17" x14ac:dyDescent="0.2">
      <c r="A181" s="315"/>
      <c r="B181" s="60" t="s">
        <v>482</v>
      </c>
      <c r="C181" s="352"/>
      <c r="D181" s="357"/>
      <c r="E181" s="356"/>
      <c r="F181" s="86">
        <f t="shared" si="27"/>
        <v>0</v>
      </c>
      <c r="G181" s="53">
        <f>SUMIF(JournalsC!D$14:D$920,TrialBalanceC!M181,JournalsC!J$14:J$920)+SUMIF(JournalsC!E$14:E$920,TrialBalanceC!M181,JournalsC!J$14:J$920)</f>
        <v>0</v>
      </c>
      <c r="H181" s="363"/>
      <c r="I181" s="366">
        <f t="shared" si="28"/>
        <v>0</v>
      </c>
      <c r="J181" s="81"/>
      <c r="K181" s="54">
        <f>ROUND(SUM(A181),0)</f>
        <v>0</v>
      </c>
      <c r="M181" s="192" t="str">
        <f t="shared" si="14"/>
        <v>5100/002</v>
      </c>
      <c r="N181" s="76"/>
      <c r="O181" s="77"/>
      <c r="P181" s="57"/>
      <c r="Q181" s="31"/>
    </row>
    <row r="182" spans="1:17" x14ac:dyDescent="0.2">
      <c r="A182" s="315"/>
      <c r="B182" s="110" t="s">
        <v>898</v>
      </c>
      <c r="C182" s="352"/>
      <c r="D182" s="364"/>
      <c r="E182" s="356"/>
      <c r="F182" s="86">
        <f t="shared" si="27"/>
        <v>0</v>
      </c>
      <c r="G182" s="53">
        <f>SUMIF(JournalsC!D$14:D$920,TrialBalanceC!M182,JournalsC!J$14:J$920)+SUMIF(JournalsC!E$14:E$920,TrialBalanceC!M182,JournalsC!J$14:J$920)</f>
        <v>0</v>
      </c>
      <c r="H182" s="363"/>
      <c r="I182" s="366">
        <f t="shared" si="28"/>
        <v>0</v>
      </c>
      <c r="J182" s="81"/>
      <c r="K182" s="54">
        <f t="shared" si="13"/>
        <v>0</v>
      </c>
      <c r="M182" s="192" t="str">
        <f t="shared" si="14"/>
        <v>5100/003</v>
      </c>
      <c r="N182" s="76"/>
      <c r="O182" s="77"/>
      <c r="P182" s="57"/>
      <c r="Q182" s="31"/>
    </row>
    <row r="183" spans="1:17" x14ac:dyDescent="0.2">
      <c r="A183" s="315"/>
      <c r="B183" s="110" t="s">
        <v>899</v>
      </c>
      <c r="C183" s="352"/>
      <c r="D183" s="361"/>
      <c r="E183" s="356"/>
      <c r="F183" s="86">
        <f t="shared" si="27"/>
        <v>0</v>
      </c>
      <c r="G183" s="53">
        <f>SUMIF(JournalsC!D$14:D$920,TrialBalanceC!M183,JournalsC!J$14:J$920)+SUMIF(JournalsC!E$14:E$920,TrialBalanceC!M183,JournalsC!J$14:J$920)</f>
        <v>0</v>
      </c>
      <c r="H183" s="363"/>
      <c r="I183" s="366">
        <f t="shared" si="28"/>
        <v>0</v>
      </c>
      <c r="J183" s="81"/>
      <c r="K183" s="54">
        <f t="shared" si="13"/>
        <v>0</v>
      </c>
      <c r="M183" s="192" t="str">
        <f t="shared" si="14"/>
        <v>5100/004</v>
      </c>
      <c r="N183" s="76"/>
      <c r="O183" s="77"/>
      <c r="P183" s="57"/>
      <c r="Q183" s="31"/>
    </row>
    <row r="184" spans="1:17" x14ac:dyDescent="0.2">
      <c r="A184" s="315"/>
      <c r="B184" s="110" t="s">
        <v>900</v>
      </c>
      <c r="C184" s="352"/>
      <c r="D184" s="361"/>
      <c r="E184" s="356"/>
      <c r="F184" s="86">
        <f t="shared" si="27"/>
        <v>0</v>
      </c>
      <c r="G184" s="53">
        <f>SUMIF(JournalsC!D$14:D$920,TrialBalanceC!M184,JournalsC!J$14:J$920)+SUMIF(JournalsC!E$14:E$920,TrialBalanceC!M184,JournalsC!J$14:J$920)</f>
        <v>0</v>
      </c>
      <c r="H184" s="363"/>
      <c r="I184" s="366">
        <f t="shared" si="28"/>
        <v>0</v>
      </c>
      <c r="J184" s="81"/>
      <c r="K184" s="54">
        <f>ROUND(SUM(A184),0)</f>
        <v>0</v>
      </c>
      <c r="M184" s="192" t="str">
        <f t="shared" si="14"/>
        <v>5100/005</v>
      </c>
      <c r="N184" s="76"/>
      <c r="O184" s="77"/>
      <c r="P184" s="57"/>
      <c r="Q184" s="31"/>
    </row>
    <row r="185" spans="1:17" x14ac:dyDescent="0.2">
      <c r="A185" s="315"/>
      <c r="B185" s="110" t="s">
        <v>1059</v>
      </c>
      <c r="C185" s="318" t="s">
        <v>902</v>
      </c>
      <c r="D185" s="361"/>
      <c r="E185" s="356"/>
      <c r="F185" s="86">
        <f t="shared" si="27"/>
        <v>0</v>
      </c>
      <c r="G185" s="53">
        <f>SUMIF(JournalsC!D$14:D$920,TrialBalanceC!M185,JournalsC!J$14:J$920)+SUMIF(JournalsC!E$14:E$920,TrialBalanceC!M185,JournalsC!J$14:J$920)</f>
        <v>0</v>
      </c>
      <c r="H185" s="363"/>
      <c r="I185" s="366">
        <f t="shared" si="28"/>
        <v>0</v>
      </c>
      <c r="J185" s="81"/>
      <c r="K185" s="54">
        <f>ROUND(SUM(A185),0)</f>
        <v>0</v>
      </c>
      <c r="M185" s="192" t="str">
        <f t="shared" ref="M185" si="29">CONCATENATE(B185,C185)</f>
        <v>5110/001Donations received</v>
      </c>
      <c r="N185" s="76"/>
      <c r="O185" s="77"/>
      <c r="P185" s="57"/>
      <c r="Q185" s="31"/>
    </row>
    <row r="186" spans="1:17" x14ac:dyDescent="0.2">
      <c r="A186" s="315"/>
      <c r="B186" s="110" t="s">
        <v>1060</v>
      </c>
      <c r="C186" s="316" t="s">
        <v>1061</v>
      </c>
      <c r="D186" s="361"/>
      <c r="E186" s="356"/>
      <c r="F186" s="86"/>
      <c r="G186" s="53">
        <f>SUMIF(JournalsC!D$14:D$920,TrialBalanceC!M186,JournalsC!J$14:J$920)+SUMIF(JournalsC!E$14:E$920,TrialBalanceC!M186,JournalsC!J$14:J$920)</f>
        <v>0</v>
      </c>
      <c r="H186" s="363"/>
      <c r="I186" s="366">
        <f t="shared" ref="I186:I189" si="30">ROUND(D186-E186+G186+F186,0)</f>
        <v>0</v>
      </c>
      <c r="J186" s="81"/>
      <c r="K186" s="54">
        <f t="shared" ref="K186:K189" si="31">ROUND(SUM(A186),0)</f>
        <v>0</v>
      </c>
      <c r="M186" s="192" t="str">
        <f t="shared" ref="M186:M189" si="32">CONCATENATE(B186,C186)</f>
        <v>5120/000REVALUATION RESERVE</v>
      </c>
      <c r="N186" s="76"/>
      <c r="O186" s="77"/>
      <c r="P186" s="57"/>
      <c r="Q186" s="31"/>
    </row>
    <row r="187" spans="1:17" x14ac:dyDescent="0.2">
      <c r="A187" s="315"/>
      <c r="B187" s="110" t="s">
        <v>1062</v>
      </c>
      <c r="C187" s="319" t="s">
        <v>1063</v>
      </c>
      <c r="D187" s="361"/>
      <c r="E187" s="356"/>
      <c r="F187" s="86">
        <f>SUM(K187:K189)</f>
        <v>0</v>
      </c>
      <c r="G187" s="53">
        <f>SUMIF(JournalsC!D$14:D$920,TrialBalanceC!M187,JournalsC!J$14:J$920)+SUMIF(JournalsC!E$14:E$920,TrialBalanceC!M187,JournalsC!J$14:J$920)</f>
        <v>0</v>
      </c>
      <c r="H187" s="363"/>
      <c r="I187" s="366">
        <f t="shared" si="30"/>
        <v>0</v>
      </c>
      <c r="J187" s="81"/>
      <c r="K187" s="54">
        <f t="shared" si="31"/>
        <v>0</v>
      </c>
      <c r="M187" s="192" t="str">
        <f t="shared" si="32"/>
        <v>5120/001Revaluation reserve - balance b/fwd</v>
      </c>
      <c r="N187" s="76"/>
      <c r="O187" s="77"/>
      <c r="P187" s="57"/>
      <c r="Q187" s="31"/>
    </row>
    <row r="188" spans="1:17" x14ac:dyDescent="0.2">
      <c r="A188" s="315"/>
      <c r="B188" s="110" t="s">
        <v>1064</v>
      </c>
      <c r="C188" s="319" t="s">
        <v>1065</v>
      </c>
      <c r="D188" s="361"/>
      <c r="E188" s="356"/>
      <c r="F188" s="86"/>
      <c r="G188" s="53">
        <f>SUMIF(JournalsC!D$14:D$920,TrialBalanceC!M188,JournalsC!J$14:J$920)+SUMIF(JournalsC!E$14:E$920,TrialBalanceC!M188,JournalsC!J$14:J$920)</f>
        <v>0</v>
      </c>
      <c r="H188" s="363"/>
      <c r="I188" s="366">
        <f t="shared" si="30"/>
        <v>0</v>
      </c>
      <c r="J188" s="81"/>
      <c r="K188" s="54">
        <f t="shared" si="31"/>
        <v>0</v>
      </c>
      <c r="M188" s="192" t="str">
        <f t="shared" si="32"/>
        <v>5120/002Revaluation reserve - additions</v>
      </c>
      <c r="N188" s="76"/>
      <c r="O188" s="77"/>
      <c r="P188" s="57"/>
      <c r="Q188" s="31"/>
    </row>
    <row r="189" spans="1:17" x14ac:dyDescent="0.2">
      <c r="A189" s="315"/>
      <c r="B189" s="110" t="s">
        <v>1066</v>
      </c>
      <c r="C189" s="319" t="s">
        <v>1067</v>
      </c>
      <c r="D189" s="361"/>
      <c r="E189" s="356"/>
      <c r="F189" s="86"/>
      <c r="G189" s="53">
        <f>SUMIF(JournalsC!D$14:D$920,TrialBalanceC!M189,JournalsC!J$14:J$920)+SUMIF(JournalsC!E$14:E$920,TrialBalanceC!M189,JournalsC!J$14:J$920)</f>
        <v>0</v>
      </c>
      <c r="H189" s="363"/>
      <c r="I189" s="366">
        <f t="shared" si="30"/>
        <v>0</v>
      </c>
      <c r="J189" s="81"/>
      <c r="K189" s="54">
        <f t="shared" si="31"/>
        <v>0</v>
      </c>
      <c r="M189" s="192" t="str">
        <f t="shared" si="32"/>
        <v>5120/003Revaluation reserve - transfer</v>
      </c>
      <c r="N189" s="76"/>
      <c r="O189" s="77"/>
      <c r="P189" s="57"/>
      <c r="Q189" s="31"/>
    </row>
    <row r="190" spans="1:17" x14ac:dyDescent="0.2">
      <c r="A190" s="315"/>
      <c r="B190" s="60" t="s">
        <v>391</v>
      </c>
      <c r="C190" s="316" t="s">
        <v>772</v>
      </c>
      <c r="D190" s="358"/>
      <c r="E190" s="356"/>
      <c r="F190" s="86">
        <f>K190+SUM(K6:K175)</f>
        <v>0</v>
      </c>
      <c r="G190" s="53">
        <f>SUMIF(JournalsC!D$14:D$920,TrialBalanceC!M190,JournalsC!J$14:J$920)+SUMIF(JournalsC!E$14:E$920,TrialBalanceC!M190,JournalsC!J$14:J$920)</f>
        <v>0</v>
      </c>
      <c r="H190" s="363"/>
      <c r="I190" s="366">
        <f t="shared" ref="I190:I241" si="33">ROUND(D190-E190+G190+F190,0)</f>
        <v>0</v>
      </c>
      <c r="J190" s="81"/>
      <c r="K190" s="54">
        <f t="shared" si="13"/>
        <v>0</v>
      </c>
      <c r="M190" s="192" t="str">
        <f t="shared" si="14"/>
        <v>5200/000(Retained income) / Accumulated loss</v>
      </c>
      <c r="N190" s="76"/>
      <c r="O190" s="77"/>
      <c r="P190" s="57"/>
      <c r="Q190" s="31"/>
    </row>
    <row r="191" spans="1:17" x14ac:dyDescent="0.2">
      <c r="A191" s="315"/>
      <c r="B191" s="60" t="s">
        <v>136</v>
      </c>
      <c r="C191" s="316" t="s">
        <v>137</v>
      </c>
      <c r="D191" s="358"/>
      <c r="E191" s="356"/>
      <c r="F191" s="86"/>
      <c r="G191" s="53">
        <f>SUMIF(JournalsC!D$14:D$920,TrialBalanceC!M191,JournalsC!J$14:J$920)+SUMIF(JournalsC!E$14:E$920,TrialBalanceC!M191,JournalsC!J$14:J$920)</f>
        <v>0</v>
      </c>
      <c r="H191" s="363"/>
      <c r="I191" s="366">
        <f t="shared" si="33"/>
        <v>0</v>
      </c>
      <c r="J191" s="81"/>
      <c r="K191" s="54">
        <f t="shared" si="13"/>
        <v>0</v>
      </c>
      <c r="M191" s="192" t="str">
        <f t="shared" si="14"/>
        <v>5500/000LONG TERM  INTEREST LIABILITIES</v>
      </c>
      <c r="N191" s="76"/>
      <c r="O191" s="77"/>
      <c r="P191" s="57"/>
      <c r="Q191" s="31"/>
    </row>
    <row r="192" spans="1:17" x14ac:dyDescent="0.2">
      <c r="A192" s="315"/>
      <c r="B192" s="60" t="s">
        <v>138</v>
      </c>
      <c r="C192" s="352">
        <f>TrialBalance!C192</f>
        <v>0</v>
      </c>
      <c r="D192" s="356"/>
      <c r="E192" s="356"/>
      <c r="F192" s="86">
        <f>K192</f>
        <v>0</v>
      </c>
      <c r="G192" s="53">
        <f>SUMIF(JournalsC!D$14:D$920,TrialBalanceC!M192,JournalsC!J$14:J$920)+SUMIF(JournalsC!E$14:E$920,TrialBalanceC!M192,JournalsC!J$14:J$920)</f>
        <v>0</v>
      </c>
      <c r="H192" s="363"/>
      <c r="I192" s="366">
        <f t="shared" si="33"/>
        <v>0</v>
      </c>
      <c r="J192" s="81"/>
      <c r="K192" s="54">
        <f t="shared" si="13"/>
        <v>0</v>
      </c>
      <c r="M192" s="192" t="str">
        <f t="shared" si="14"/>
        <v>5500/0010</v>
      </c>
      <c r="N192" s="76"/>
      <c r="O192" s="77"/>
      <c r="P192" s="57"/>
      <c r="Q192" s="31"/>
    </row>
    <row r="193" spans="1:17" x14ac:dyDescent="0.2">
      <c r="A193" s="315"/>
      <c r="B193" s="60" t="s">
        <v>139</v>
      </c>
      <c r="C193" s="352">
        <f>TrialBalance!C193</f>
        <v>0</v>
      </c>
      <c r="D193" s="356"/>
      <c r="E193" s="356"/>
      <c r="F193" s="86">
        <f>K193</f>
        <v>0</v>
      </c>
      <c r="G193" s="53">
        <f>SUMIF(JournalsC!D$14:D$920,TrialBalanceC!M193,JournalsC!J$14:J$920)+SUMIF(JournalsC!E$14:E$920,TrialBalanceC!M193,JournalsC!J$14:J$920)</f>
        <v>0</v>
      </c>
      <c r="H193" s="363"/>
      <c r="I193" s="366">
        <f t="shared" si="33"/>
        <v>0</v>
      </c>
      <c r="J193" s="81"/>
      <c r="K193" s="54">
        <f t="shared" si="13"/>
        <v>0</v>
      </c>
      <c r="M193" s="192" t="str">
        <f t="shared" si="14"/>
        <v>5500/0020</v>
      </c>
      <c r="N193" s="76"/>
      <c r="O193" s="77"/>
      <c r="P193" s="57"/>
      <c r="Q193" s="31"/>
    </row>
    <row r="194" spans="1:17" x14ac:dyDescent="0.2">
      <c r="A194" s="315"/>
      <c r="B194" s="60" t="s">
        <v>140</v>
      </c>
      <c r="C194" s="352">
        <f>TrialBalance!C194</f>
        <v>0</v>
      </c>
      <c r="D194" s="359"/>
      <c r="E194" s="356"/>
      <c r="F194" s="86">
        <f>K194</f>
        <v>0</v>
      </c>
      <c r="G194" s="53">
        <f>SUMIF(JournalsC!D$14:D$920,TrialBalanceC!M194,JournalsC!J$14:J$920)+SUMIF(JournalsC!E$14:E$920,TrialBalanceC!M194,JournalsC!J$14:J$920)</f>
        <v>0</v>
      </c>
      <c r="H194" s="363"/>
      <c r="I194" s="366">
        <f t="shared" si="33"/>
        <v>0</v>
      </c>
      <c r="J194" s="81"/>
      <c r="K194" s="54">
        <f t="shared" si="13"/>
        <v>0</v>
      </c>
      <c r="M194" s="192" t="str">
        <f t="shared" si="14"/>
        <v>5500/0030</v>
      </c>
      <c r="N194" s="76"/>
      <c r="O194" s="77"/>
      <c r="P194" s="57"/>
      <c r="Q194" s="31"/>
    </row>
    <row r="195" spans="1:17" x14ac:dyDescent="0.2">
      <c r="A195" s="315"/>
      <c r="B195" s="60" t="s">
        <v>141</v>
      </c>
      <c r="C195" s="352">
        <f>TrialBalance!C195</f>
        <v>0</v>
      </c>
      <c r="D195" s="357"/>
      <c r="E195" s="356"/>
      <c r="F195" s="86">
        <f>K195</f>
        <v>0</v>
      </c>
      <c r="G195" s="53">
        <f>SUMIF(JournalsC!D$14:D$920,TrialBalanceC!M195,JournalsC!J$14:J$920)+SUMIF(JournalsC!E$14:E$920,TrialBalanceC!M195,JournalsC!J$14:J$920)</f>
        <v>0</v>
      </c>
      <c r="H195" s="363"/>
      <c r="I195" s="366">
        <f t="shared" si="33"/>
        <v>0</v>
      </c>
      <c r="J195" s="81"/>
      <c r="K195" s="54">
        <f t="shared" si="13"/>
        <v>0</v>
      </c>
      <c r="M195" s="192" t="str">
        <f t="shared" si="14"/>
        <v>5500/0040</v>
      </c>
      <c r="N195" s="76"/>
      <c r="O195" s="77"/>
      <c r="P195" s="57"/>
      <c r="Q195" s="31"/>
    </row>
    <row r="196" spans="1:17" x14ac:dyDescent="0.2">
      <c r="A196" s="315"/>
      <c r="B196" s="60" t="s">
        <v>142</v>
      </c>
      <c r="C196" s="352">
        <f>TrialBalance!C196</f>
        <v>0</v>
      </c>
      <c r="D196" s="357"/>
      <c r="E196" s="356"/>
      <c r="F196" s="86">
        <f>K196</f>
        <v>0</v>
      </c>
      <c r="G196" s="53">
        <f>SUMIF(JournalsC!D$14:D$920,TrialBalanceC!M196,JournalsC!J$14:J$920)+SUMIF(JournalsC!E$14:E$920,TrialBalanceC!M196,JournalsC!J$14:J$920)</f>
        <v>0</v>
      </c>
      <c r="H196" s="363"/>
      <c r="I196" s="366">
        <f t="shared" si="33"/>
        <v>0</v>
      </c>
      <c r="J196" s="81"/>
      <c r="K196" s="54">
        <f t="shared" si="13"/>
        <v>0</v>
      </c>
      <c r="M196" s="192" t="str">
        <f t="shared" si="14"/>
        <v>5500/0050</v>
      </c>
      <c r="N196" s="76"/>
      <c r="O196" s="77"/>
      <c r="P196" s="57"/>
      <c r="Q196" s="31"/>
    </row>
    <row r="197" spans="1:17" x14ac:dyDescent="0.2">
      <c r="A197" s="315"/>
      <c r="B197" s="110" t="s">
        <v>580</v>
      </c>
      <c r="C197" s="352">
        <f>TrialBalance!C197</f>
        <v>0</v>
      </c>
      <c r="D197" s="357"/>
      <c r="E197" s="356"/>
      <c r="F197" s="86">
        <f t="shared" ref="F197:F222" si="34">K197</f>
        <v>0</v>
      </c>
      <c r="G197" s="53">
        <f>SUMIF(JournalsC!D$14:D$920,TrialBalanceC!M197,JournalsC!J$14:J$920)+SUMIF(JournalsC!E$14:E$920,TrialBalanceC!M197,JournalsC!J$14:J$920)</f>
        <v>0</v>
      </c>
      <c r="H197" s="363"/>
      <c r="I197" s="366">
        <f t="shared" si="33"/>
        <v>0</v>
      </c>
      <c r="J197" s="81"/>
      <c r="K197" s="54">
        <f t="shared" si="13"/>
        <v>0</v>
      </c>
      <c r="M197" s="192" t="str">
        <f t="shared" si="14"/>
        <v>5500/0060</v>
      </c>
      <c r="N197" s="76"/>
      <c r="O197" s="77"/>
      <c r="P197" s="57"/>
      <c r="Q197" s="31"/>
    </row>
    <row r="198" spans="1:17" x14ac:dyDescent="0.2">
      <c r="A198" s="315"/>
      <c r="B198" s="110" t="s">
        <v>581</v>
      </c>
      <c r="C198" s="352">
        <f>TrialBalance!C198</f>
        <v>0</v>
      </c>
      <c r="D198" s="357"/>
      <c r="E198" s="356"/>
      <c r="F198" s="86">
        <f t="shared" si="34"/>
        <v>0</v>
      </c>
      <c r="G198" s="53">
        <f>SUMIF(JournalsC!D$14:D$920,TrialBalanceC!M198,JournalsC!J$14:J$920)+SUMIF(JournalsC!E$14:E$920,TrialBalanceC!M198,JournalsC!J$14:J$920)</f>
        <v>0</v>
      </c>
      <c r="H198" s="363"/>
      <c r="I198" s="366">
        <f t="shared" si="33"/>
        <v>0</v>
      </c>
      <c r="J198" s="81"/>
      <c r="K198" s="54">
        <f t="shared" si="13"/>
        <v>0</v>
      </c>
      <c r="M198" s="192" t="str">
        <f t="shared" si="14"/>
        <v>5500/0070</v>
      </c>
      <c r="N198" s="76"/>
      <c r="O198" s="77"/>
      <c r="P198" s="57"/>
      <c r="Q198" s="31"/>
    </row>
    <row r="199" spans="1:17" x14ac:dyDescent="0.2">
      <c r="A199" s="315"/>
      <c r="B199" s="110" t="s">
        <v>582</v>
      </c>
      <c r="C199" s="352">
        <f>TrialBalance!C199</f>
        <v>0</v>
      </c>
      <c r="D199" s="357"/>
      <c r="E199" s="356"/>
      <c r="F199" s="86">
        <f t="shared" si="34"/>
        <v>0</v>
      </c>
      <c r="G199" s="53">
        <f>SUMIF(JournalsC!D$14:D$920,TrialBalanceC!M199,JournalsC!J$14:J$920)+SUMIF(JournalsC!E$14:E$920,TrialBalanceC!M199,JournalsC!J$14:J$920)</f>
        <v>0</v>
      </c>
      <c r="H199" s="363"/>
      <c r="I199" s="366">
        <f t="shared" si="33"/>
        <v>0</v>
      </c>
      <c r="J199" s="81"/>
      <c r="K199" s="54">
        <f t="shared" si="13"/>
        <v>0</v>
      </c>
      <c r="M199" s="192" t="str">
        <f t="shared" si="14"/>
        <v>5500/0080</v>
      </c>
      <c r="N199" s="76"/>
      <c r="O199" s="77"/>
      <c r="P199" s="57"/>
      <c r="Q199" s="31"/>
    </row>
    <row r="200" spans="1:17" x14ac:dyDescent="0.2">
      <c r="A200" s="315"/>
      <c r="B200" s="110" t="s">
        <v>583</v>
      </c>
      <c r="C200" s="352">
        <f>TrialBalance!C200</f>
        <v>0</v>
      </c>
      <c r="D200" s="357"/>
      <c r="E200" s="356"/>
      <c r="F200" s="86">
        <f t="shared" si="34"/>
        <v>0</v>
      </c>
      <c r="G200" s="53">
        <f>SUMIF(JournalsC!D$14:D$920,TrialBalanceC!M200,JournalsC!J$14:J$920)+SUMIF(JournalsC!E$14:E$920,TrialBalanceC!M200,JournalsC!J$14:J$920)</f>
        <v>0</v>
      </c>
      <c r="H200" s="363"/>
      <c r="I200" s="366">
        <f t="shared" si="33"/>
        <v>0</v>
      </c>
      <c r="J200" s="81"/>
      <c r="K200" s="54">
        <f t="shared" si="13"/>
        <v>0</v>
      </c>
      <c r="M200" s="192" t="str">
        <f t="shared" si="14"/>
        <v>5500/0090</v>
      </c>
      <c r="N200" s="76"/>
      <c r="O200" s="77"/>
      <c r="P200" s="57"/>
      <c r="Q200" s="31"/>
    </row>
    <row r="201" spans="1:17" x14ac:dyDescent="0.2">
      <c r="A201" s="315"/>
      <c r="B201" s="110" t="s">
        <v>584</v>
      </c>
      <c r="C201" s="352">
        <f>TrialBalance!C201</f>
        <v>0</v>
      </c>
      <c r="D201" s="357"/>
      <c r="E201" s="356"/>
      <c r="F201" s="86">
        <f t="shared" si="34"/>
        <v>0</v>
      </c>
      <c r="G201" s="53">
        <f>SUMIF(JournalsC!D$14:D$920,TrialBalanceC!M201,JournalsC!J$14:J$920)+SUMIF(JournalsC!E$14:E$920,TrialBalanceC!M201,JournalsC!J$14:J$920)</f>
        <v>0</v>
      </c>
      <c r="H201" s="363"/>
      <c r="I201" s="366">
        <f t="shared" si="33"/>
        <v>0</v>
      </c>
      <c r="J201" s="81"/>
      <c r="K201" s="54">
        <f t="shared" si="13"/>
        <v>0</v>
      </c>
      <c r="M201" s="192" t="str">
        <f t="shared" si="14"/>
        <v>5500/0100</v>
      </c>
      <c r="N201" s="76"/>
      <c r="O201" s="77"/>
      <c r="P201" s="57"/>
      <c r="Q201" s="31"/>
    </row>
    <row r="202" spans="1:17" x14ac:dyDescent="0.2">
      <c r="A202" s="315"/>
      <c r="B202" s="110" t="s">
        <v>585</v>
      </c>
      <c r="C202" s="352">
        <f>TrialBalance!C202</f>
        <v>0</v>
      </c>
      <c r="D202" s="357"/>
      <c r="E202" s="356"/>
      <c r="F202" s="86">
        <f t="shared" si="34"/>
        <v>0</v>
      </c>
      <c r="G202" s="53">
        <f>SUMIF(JournalsC!D$14:D$920,TrialBalanceC!M202,JournalsC!J$14:J$920)+SUMIF(JournalsC!E$14:E$920,TrialBalanceC!M202,JournalsC!J$14:J$920)</f>
        <v>0</v>
      </c>
      <c r="H202" s="363"/>
      <c r="I202" s="366">
        <f t="shared" si="33"/>
        <v>0</v>
      </c>
      <c r="J202" s="81"/>
      <c r="K202" s="54">
        <f t="shared" si="13"/>
        <v>0</v>
      </c>
      <c r="M202" s="192" t="str">
        <f t="shared" si="14"/>
        <v>5500/0110</v>
      </c>
      <c r="N202" s="76"/>
      <c r="O202" s="77"/>
      <c r="P202" s="57"/>
      <c r="Q202" s="31"/>
    </row>
    <row r="203" spans="1:17" x14ac:dyDescent="0.2">
      <c r="A203" s="315"/>
      <c r="B203" s="110" t="s">
        <v>586</v>
      </c>
      <c r="C203" s="352">
        <f>TrialBalance!C203</f>
        <v>0</v>
      </c>
      <c r="D203" s="357"/>
      <c r="E203" s="356"/>
      <c r="F203" s="86">
        <f t="shared" si="34"/>
        <v>0</v>
      </c>
      <c r="G203" s="53">
        <f>SUMIF(JournalsC!D$14:D$920,TrialBalanceC!M203,JournalsC!J$14:J$920)+SUMIF(JournalsC!E$14:E$920,TrialBalanceC!M203,JournalsC!J$14:J$920)</f>
        <v>0</v>
      </c>
      <c r="H203" s="363"/>
      <c r="I203" s="366">
        <f t="shared" si="33"/>
        <v>0</v>
      </c>
      <c r="J203" s="81"/>
      <c r="K203" s="54">
        <f t="shared" si="13"/>
        <v>0</v>
      </c>
      <c r="M203" s="192" t="str">
        <f t="shared" si="14"/>
        <v>5500/0120</v>
      </c>
      <c r="N203" s="76"/>
      <c r="O203" s="77"/>
      <c r="P203" s="57"/>
      <c r="Q203" s="31"/>
    </row>
    <row r="204" spans="1:17" x14ac:dyDescent="0.2">
      <c r="A204" s="315"/>
      <c r="B204" s="110" t="s">
        <v>587</v>
      </c>
      <c r="C204" s="352">
        <f>TrialBalance!C204</f>
        <v>0</v>
      </c>
      <c r="D204" s="357"/>
      <c r="E204" s="356"/>
      <c r="F204" s="86">
        <f t="shared" ref="F204:F205" si="35">K204</f>
        <v>0</v>
      </c>
      <c r="G204" s="53">
        <f>SUMIF(JournalsC!D$14:D$920,TrialBalanceC!M204,JournalsC!J$14:J$920)+SUMIF(JournalsC!E$14:E$920,TrialBalanceC!M204,JournalsC!J$14:J$920)</f>
        <v>0</v>
      </c>
      <c r="H204" s="363"/>
      <c r="I204" s="366">
        <f t="shared" ref="I204:I205" si="36">ROUND(D204-E204+G204+F204,0)</f>
        <v>0</v>
      </c>
      <c r="J204" s="81"/>
      <c r="K204" s="54">
        <f t="shared" ref="K204:K205" si="37">ROUND(SUM(A204),0)</f>
        <v>0</v>
      </c>
      <c r="M204" s="192" t="str">
        <f t="shared" ref="M204:M205" si="38">CONCATENATE(B204,C204)</f>
        <v>5500/0130</v>
      </c>
      <c r="N204" s="76"/>
      <c r="O204" s="77"/>
      <c r="P204" s="57"/>
      <c r="Q204" s="31"/>
    </row>
    <row r="205" spans="1:17" x14ac:dyDescent="0.2">
      <c r="A205" s="315"/>
      <c r="B205" s="110" t="s">
        <v>626</v>
      </c>
      <c r="C205" s="352">
        <f>TrialBalance!C205</f>
        <v>0</v>
      </c>
      <c r="D205" s="357"/>
      <c r="E205" s="356"/>
      <c r="F205" s="86">
        <f t="shared" si="35"/>
        <v>0</v>
      </c>
      <c r="G205" s="53">
        <f>SUMIF(JournalsC!D$14:D$920,TrialBalanceC!M205,JournalsC!J$14:J$920)+SUMIF(JournalsC!E$14:E$920,TrialBalanceC!M205,JournalsC!J$14:J$920)</f>
        <v>0</v>
      </c>
      <c r="H205" s="363"/>
      <c r="I205" s="366">
        <f t="shared" si="36"/>
        <v>0</v>
      </c>
      <c r="J205" s="81"/>
      <c r="K205" s="54">
        <f t="shared" si="37"/>
        <v>0</v>
      </c>
      <c r="M205" s="192" t="str">
        <f t="shared" si="38"/>
        <v>5500/0140</v>
      </c>
      <c r="N205" s="76"/>
      <c r="O205" s="77"/>
      <c r="P205" s="57"/>
      <c r="Q205" s="31"/>
    </row>
    <row r="206" spans="1:17" x14ac:dyDescent="0.2">
      <c r="A206" s="315"/>
      <c r="B206" s="110" t="s">
        <v>627</v>
      </c>
      <c r="C206" s="352">
        <f>TrialBalance!C206</f>
        <v>0</v>
      </c>
      <c r="D206" s="357"/>
      <c r="E206" s="356"/>
      <c r="F206" s="86">
        <f t="shared" si="34"/>
        <v>0</v>
      </c>
      <c r="G206" s="53">
        <f>SUMIF(JournalsC!D$14:D$920,TrialBalanceC!M206,JournalsC!J$14:J$920)+SUMIF(JournalsC!E$14:E$920,TrialBalanceC!M206,JournalsC!J$14:J$920)</f>
        <v>0</v>
      </c>
      <c r="H206" s="363"/>
      <c r="I206" s="366">
        <f t="shared" si="33"/>
        <v>0</v>
      </c>
      <c r="J206" s="81"/>
      <c r="K206" s="54">
        <f t="shared" si="13"/>
        <v>0</v>
      </c>
      <c r="M206" s="192" t="str">
        <f t="shared" si="14"/>
        <v>5500/0150</v>
      </c>
      <c r="N206" s="76"/>
      <c r="O206" s="77"/>
      <c r="P206" s="57"/>
      <c r="Q206" s="31"/>
    </row>
    <row r="207" spans="1:17" x14ac:dyDescent="0.2">
      <c r="A207" s="315"/>
      <c r="B207" s="60" t="s">
        <v>143</v>
      </c>
      <c r="C207" s="317" t="s">
        <v>256</v>
      </c>
      <c r="D207" s="357"/>
      <c r="E207" s="356"/>
      <c r="F207" s="86">
        <f t="shared" si="34"/>
        <v>0</v>
      </c>
      <c r="G207" s="53">
        <f>SUMIF(JournalsC!D$14:D$920,TrialBalanceC!M207,JournalsC!J$14:J$920)+SUMIF(JournalsC!E$14:E$920,TrialBalanceC!M207,JournalsC!J$14:J$920)</f>
        <v>0</v>
      </c>
      <c r="H207" s="363"/>
      <c r="I207" s="366">
        <f t="shared" si="33"/>
        <v>0</v>
      </c>
      <c r="J207" s="81"/>
      <c r="K207" s="54">
        <f t="shared" si="13"/>
        <v>0</v>
      </c>
      <c r="M207" s="192" t="str">
        <f t="shared" si="14"/>
        <v>5520/000Short term portion of long term loans</v>
      </c>
      <c r="N207" s="76"/>
      <c r="O207" s="77"/>
      <c r="P207" s="57"/>
      <c r="Q207" s="31"/>
    </row>
    <row r="208" spans="1:17" x14ac:dyDescent="0.2">
      <c r="A208" s="315"/>
      <c r="B208" s="60" t="s">
        <v>145</v>
      </c>
      <c r="C208" s="316" t="s">
        <v>146</v>
      </c>
      <c r="D208" s="358"/>
      <c r="E208" s="356"/>
      <c r="F208" s="86">
        <f t="shared" si="34"/>
        <v>0</v>
      </c>
      <c r="G208" s="53">
        <f>SUMIF(JournalsC!D$14:D$920,TrialBalanceC!M208,JournalsC!J$14:J$920)+SUMIF(JournalsC!E$14:E$920,TrialBalanceC!M208,JournalsC!J$14:J$920)</f>
        <v>0</v>
      </c>
      <c r="H208" s="363"/>
      <c r="I208" s="366">
        <f t="shared" si="33"/>
        <v>0</v>
      </c>
      <c r="J208" s="81"/>
      <c r="K208" s="54">
        <f t="shared" si="13"/>
        <v>0</v>
      </c>
      <c r="M208" s="192" t="str">
        <f t="shared" si="14"/>
        <v>5550/000LONG TERM INTEREST FREE LOANS</v>
      </c>
      <c r="N208" s="76"/>
      <c r="O208" s="77"/>
      <c r="P208" s="57"/>
      <c r="Q208" s="31"/>
    </row>
    <row r="209" spans="1:17" x14ac:dyDescent="0.2">
      <c r="A209" s="315"/>
      <c r="B209" s="60" t="s">
        <v>147</v>
      </c>
      <c r="C209" s="352" t="str">
        <f>TrialBalance!C209</f>
        <v>Beneficiaries</v>
      </c>
      <c r="D209" s="359"/>
      <c r="E209" s="356"/>
      <c r="F209" s="86">
        <f t="shared" si="34"/>
        <v>0</v>
      </c>
      <c r="G209" s="53">
        <f>SUMIF(JournalsC!D$14:D$920,TrialBalanceC!M209,JournalsC!J$14:J$920)+SUMIF(JournalsC!E$14:E$920,TrialBalanceC!M209,JournalsC!J$14:J$920)</f>
        <v>0</v>
      </c>
      <c r="H209" s="363"/>
      <c r="I209" s="367">
        <f t="shared" si="33"/>
        <v>0</v>
      </c>
      <c r="J209" s="111"/>
      <c r="K209" s="54">
        <f t="shared" si="13"/>
        <v>0</v>
      </c>
      <c r="M209" s="192" t="str">
        <f t="shared" si="14"/>
        <v>5550/001Beneficiaries</v>
      </c>
      <c r="N209" s="76"/>
      <c r="O209" s="77"/>
      <c r="P209" s="57"/>
      <c r="Q209" s="31"/>
    </row>
    <row r="210" spans="1:17" x14ac:dyDescent="0.2">
      <c r="A210" s="315"/>
      <c r="B210" s="60" t="s">
        <v>148</v>
      </c>
      <c r="C210" s="352">
        <f>TrialBalance!C210</f>
        <v>0</v>
      </c>
      <c r="D210" s="359"/>
      <c r="E210" s="356"/>
      <c r="F210" s="86">
        <f t="shared" si="34"/>
        <v>0</v>
      </c>
      <c r="G210" s="53">
        <f>SUMIF(JournalsC!D$14:D$920,TrialBalanceC!M210,JournalsC!J$14:J$920)+SUMIF(JournalsC!E$14:E$920,TrialBalanceC!M210,JournalsC!J$14:J$920)</f>
        <v>0</v>
      </c>
      <c r="H210" s="363"/>
      <c r="I210" s="366">
        <f t="shared" si="33"/>
        <v>0</v>
      </c>
      <c r="J210" s="81"/>
      <c r="K210" s="54">
        <f t="shared" si="13"/>
        <v>0</v>
      </c>
      <c r="M210" s="192" t="str">
        <f t="shared" si="14"/>
        <v>5550/0020</v>
      </c>
      <c r="N210" s="76"/>
      <c r="O210" s="77"/>
      <c r="P210" s="57"/>
      <c r="Q210" s="31"/>
    </row>
    <row r="211" spans="1:17" x14ac:dyDescent="0.2">
      <c r="A211" s="315"/>
      <c r="B211" s="60" t="s">
        <v>149</v>
      </c>
      <c r="C211" s="352">
        <f>TrialBalance!C211</f>
        <v>0</v>
      </c>
      <c r="D211" s="359"/>
      <c r="E211" s="356"/>
      <c r="F211" s="86">
        <f t="shared" si="34"/>
        <v>0</v>
      </c>
      <c r="G211" s="53">
        <f>SUMIF(JournalsC!D$14:D$920,TrialBalanceC!M211,JournalsC!J$14:J$920)+SUMIF(JournalsC!E$14:E$920,TrialBalanceC!M211,JournalsC!J$14:J$920)</f>
        <v>0</v>
      </c>
      <c r="H211" s="363"/>
      <c r="I211" s="367">
        <f t="shared" si="33"/>
        <v>0</v>
      </c>
      <c r="J211" s="111"/>
      <c r="K211" s="54">
        <f t="shared" si="13"/>
        <v>0</v>
      </c>
      <c r="M211" s="192" t="str">
        <f t="shared" si="14"/>
        <v>5550/0030</v>
      </c>
      <c r="N211" s="76"/>
      <c r="O211" s="77"/>
      <c r="P211" s="57"/>
      <c r="Q211" s="31"/>
    </row>
    <row r="212" spans="1:17" x14ac:dyDescent="0.2">
      <c r="A212" s="315"/>
      <c r="B212" s="60" t="s">
        <v>150</v>
      </c>
      <c r="C212" s="352">
        <f>TrialBalance!C212</f>
        <v>0</v>
      </c>
      <c r="D212" s="359"/>
      <c r="E212" s="356"/>
      <c r="F212" s="86">
        <f t="shared" si="34"/>
        <v>0</v>
      </c>
      <c r="G212" s="53">
        <f>SUMIF(JournalsC!D$14:D$920,TrialBalanceC!M212,JournalsC!J$14:J$920)+SUMIF(JournalsC!E$14:E$920,TrialBalanceC!M212,JournalsC!J$14:J$920)</f>
        <v>0</v>
      </c>
      <c r="H212" s="363"/>
      <c r="I212" s="367">
        <f t="shared" si="33"/>
        <v>0</v>
      </c>
      <c r="J212" s="111"/>
      <c r="K212" s="54">
        <f t="shared" si="13"/>
        <v>0</v>
      </c>
      <c r="M212" s="192" t="str">
        <f t="shared" si="14"/>
        <v>5550/0040</v>
      </c>
      <c r="N212" s="76"/>
      <c r="O212" s="77"/>
      <c r="P212" s="57"/>
      <c r="Q212" s="31"/>
    </row>
    <row r="213" spans="1:17" x14ac:dyDescent="0.2">
      <c r="A213" s="315"/>
      <c r="B213" s="60" t="s">
        <v>151</v>
      </c>
      <c r="C213" s="352">
        <f>TrialBalance!C213</f>
        <v>0</v>
      </c>
      <c r="D213" s="356"/>
      <c r="E213" s="356"/>
      <c r="F213" s="86">
        <f t="shared" si="34"/>
        <v>0</v>
      </c>
      <c r="G213" s="53">
        <f>SUMIF(JournalsC!D$14:D$920,TrialBalanceC!M213,JournalsC!J$14:J$920)+SUMIF(JournalsC!E$14:E$920,TrialBalanceC!M213,JournalsC!J$14:J$920)</f>
        <v>0</v>
      </c>
      <c r="H213" s="363"/>
      <c r="I213" s="366">
        <f t="shared" si="33"/>
        <v>0</v>
      </c>
      <c r="J213" s="81"/>
      <c r="K213" s="54">
        <f t="shared" si="13"/>
        <v>0</v>
      </c>
      <c r="M213" s="192" t="str">
        <f t="shared" si="14"/>
        <v>5550/0050</v>
      </c>
      <c r="N213" s="76"/>
      <c r="O213" s="77"/>
      <c r="P213" s="57"/>
      <c r="Q213" s="31"/>
    </row>
    <row r="214" spans="1:17" x14ac:dyDescent="0.2">
      <c r="A214" s="315"/>
      <c r="B214" s="110" t="s">
        <v>607</v>
      </c>
      <c r="C214" s="352">
        <f>TrialBalance!C214</f>
        <v>0</v>
      </c>
      <c r="D214" s="359"/>
      <c r="E214" s="356"/>
      <c r="F214" s="86">
        <f t="shared" si="34"/>
        <v>0</v>
      </c>
      <c r="G214" s="53">
        <f>SUMIF(JournalsC!D$14:D$920,TrialBalanceC!M214,JournalsC!J$14:J$920)+SUMIF(JournalsC!E$14:E$920,TrialBalanceC!M214,JournalsC!J$14:J$920)</f>
        <v>0</v>
      </c>
      <c r="H214" s="363"/>
      <c r="I214" s="367">
        <f t="shared" si="33"/>
        <v>0</v>
      </c>
      <c r="J214" s="111"/>
      <c r="K214" s="54">
        <f t="shared" ref="K214:K271" si="39">ROUND(SUM(A214),0)</f>
        <v>0</v>
      </c>
      <c r="M214" s="192" t="str">
        <f t="shared" ref="M214:M271" si="40">CONCATENATE(B214,C214)</f>
        <v>5550/0060</v>
      </c>
      <c r="N214" s="76"/>
      <c r="O214" s="77"/>
      <c r="P214" s="57"/>
      <c r="Q214" s="31"/>
    </row>
    <row r="215" spans="1:17" x14ac:dyDescent="0.2">
      <c r="A215" s="315"/>
      <c r="B215" s="110" t="s">
        <v>608</v>
      </c>
      <c r="C215" s="352">
        <f>TrialBalance!C215</f>
        <v>0</v>
      </c>
      <c r="D215" s="356"/>
      <c r="E215" s="356"/>
      <c r="F215" s="86">
        <f t="shared" si="34"/>
        <v>0</v>
      </c>
      <c r="G215" s="53">
        <f>SUMIF(JournalsC!D$14:D$920,TrialBalanceC!M215,JournalsC!J$14:J$920)+SUMIF(JournalsC!E$14:E$920,TrialBalanceC!M215,JournalsC!J$14:J$920)</f>
        <v>0</v>
      </c>
      <c r="H215" s="363"/>
      <c r="I215" s="367">
        <f t="shared" si="33"/>
        <v>0</v>
      </c>
      <c r="J215" s="111"/>
      <c r="K215" s="54">
        <f t="shared" si="39"/>
        <v>0</v>
      </c>
      <c r="M215" s="192" t="str">
        <f t="shared" si="40"/>
        <v>5550/0070</v>
      </c>
      <c r="N215" s="76"/>
      <c r="O215" s="77"/>
      <c r="P215" s="57"/>
      <c r="Q215" s="31"/>
    </row>
    <row r="216" spans="1:17" x14ac:dyDescent="0.2">
      <c r="A216" s="315"/>
      <c r="B216" s="110" t="s">
        <v>609</v>
      </c>
      <c r="C216" s="352">
        <f>TrialBalance!C216</f>
        <v>0</v>
      </c>
      <c r="D216" s="356"/>
      <c r="E216" s="356"/>
      <c r="F216" s="86">
        <f t="shared" si="34"/>
        <v>0</v>
      </c>
      <c r="G216" s="53">
        <f>SUMIF(JournalsC!D$14:D$920,TrialBalanceC!M216,JournalsC!J$14:J$920)+SUMIF(JournalsC!E$14:E$920,TrialBalanceC!M216,JournalsC!J$14:J$920)</f>
        <v>0</v>
      </c>
      <c r="H216" s="363"/>
      <c r="I216" s="366">
        <f t="shared" si="33"/>
        <v>0</v>
      </c>
      <c r="J216" s="81"/>
      <c r="K216" s="54">
        <f t="shared" si="39"/>
        <v>0</v>
      </c>
      <c r="M216" s="192" t="str">
        <f t="shared" si="40"/>
        <v>5550/0080</v>
      </c>
      <c r="N216" s="76"/>
      <c r="O216" s="77"/>
      <c r="P216" s="57"/>
      <c r="Q216" s="31"/>
    </row>
    <row r="217" spans="1:17" x14ac:dyDescent="0.2">
      <c r="A217" s="315"/>
      <c r="B217" s="110" t="s">
        <v>610</v>
      </c>
      <c r="C217" s="352">
        <f>TrialBalance!C217</f>
        <v>0</v>
      </c>
      <c r="D217" s="350"/>
      <c r="E217" s="356"/>
      <c r="F217" s="86">
        <f t="shared" si="34"/>
        <v>0</v>
      </c>
      <c r="G217" s="53">
        <f>SUMIF(JournalsC!D$14:D$920,TrialBalanceC!M217,JournalsC!J$14:J$920)+SUMIF(JournalsC!E$14:E$920,TrialBalanceC!M217,JournalsC!J$14:J$920)</f>
        <v>0</v>
      </c>
      <c r="H217" s="363"/>
      <c r="I217" s="367">
        <f t="shared" si="33"/>
        <v>0</v>
      </c>
      <c r="J217" s="111"/>
      <c r="K217" s="54">
        <f t="shared" si="39"/>
        <v>0</v>
      </c>
      <c r="M217" s="192" t="str">
        <f t="shared" si="40"/>
        <v>5550/0090</v>
      </c>
      <c r="N217" s="76"/>
      <c r="O217" s="77"/>
      <c r="P217" s="57"/>
      <c r="Q217" s="31"/>
    </row>
    <row r="218" spans="1:17" x14ac:dyDescent="0.2">
      <c r="A218" s="315"/>
      <c r="B218" s="110" t="s">
        <v>623</v>
      </c>
      <c r="C218" s="352">
        <f>TrialBalance!C218</f>
        <v>0</v>
      </c>
      <c r="D218" s="362"/>
      <c r="E218" s="356"/>
      <c r="F218" s="86">
        <f t="shared" si="34"/>
        <v>0</v>
      </c>
      <c r="G218" s="53">
        <f>SUMIF(JournalsC!D$14:D$920,TrialBalanceC!M218,JournalsC!J$14:J$920)+SUMIF(JournalsC!E$14:E$920,TrialBalanceC!M218,JournalsC!J$14:J$920)</f>
        <v>0</v>
      </c>
      <c r="H218" s="363"/>
      <c r="I218" s="366">
        <f t="shared" si="33"/>
        <v>0</v>
      </c>
      <c r="J218" s="81"/>
      <c r="K218" s="54">
        <f t="shared" si="39"/>
        <v>0</v>
      </c>
      <c r="M218" s="192" t="str">
        <f t="shared" si="40"/>
        <v>5550/0100</v>
      </c>
      <c r="N218" s="76"/>
      <c r="O218" s="77"/>
      <c r="P218" s="57"/>
      <c r="Q218" s="31"/>
    </row>
    <row r="219" spans="1:17" x14ac:dyDescent="0.2">
      <c r="A219" s="315"/>
      <c r="B219" s="110" t="s">
        <v>633</v>
      </c>
      <c r="C219" s="352">
        <f>TrialBalance!C219</f>
        <v>0</v>
      </c>
      <c r="D219" s="362"/>
      <c r="E219" s="356"/>
      <c r="F219" s="86">
        <f t="shared" si="34"/>
        <v>0</v>
      </c>
      <c r="G219" s="53">
        <f>SUMIF(JournalsC!D$14:D$920,TrialBalanceC!M219,JournalsC!J$14:J$920)+SUMIF(JournalsC!E$14:E$920,TrialBalanceC!M219,JournalsC!J$14:J$920)</f>
        <v>0</v>
      </c>
      <c r="H219" s="363"/>
      <c r="I219" s="366">
        <f t="shared" si="33"/>
        <v>0</v>
      </c>
      <c r="J219" s="81"/>
      <c r="K219" s="54">
        <f t="shared" si="39"/>
        <v>0</v>
      </c>
      <c r="M219" s="192" t="str">
        <f t="shared" si="40"/>
        <v>5550/0110</v>
      </c>
      <c r="N219" s="76"/>
      <c r="O219" s="77"/>
      <c r="P219" s="57"/>
      <c r="Q219" s="31"/>
    </row>
    <row r="220" spans="1:17" x14ac:dyDescent="0.2">
      <c r="A220" s="315"/>
      <c r="B220" s="110" t="s">
        <v>634</v>
      </c>
      <c r="C220" s="352">
        <f>TrialBalance!C220</f>
        <v>0</v>
      </c>
      <c r="D220" s="362"/>
      <c r="E220" s="356"/>
      <c r="F220" s="86">
        <f t="shared" si="34"/>
        <v>0</v>
      </c>
      <c r="G220" s="53">
        <f>SUMIF(JournalsC!D$14:D$920,TrialBalanceC!M220,JournalsC!J$14:J$920)+SUMIF(JournalsC!E$14:E$920,TrialBalanceC!M220,JournalsC!J$14:J$920)</f>
        <v>0</v>
      </c>
      <c r="H220" s="363"/>
      <c r="I220" s="366">
        <f t="shared" si="33"/>
        <v>0</v>
      </c>
      <c r="J220" s="81"/>
      <c r="K220" s="54">
        <f t="shared" si="39"/>
        <v>0</v>
      </c>
      <c r="M220" s="192" t="str">
        <f t="shared" si="40"/>
        <v>5550/0120</v>
      </c>
      <c r="N220" s="76"/>
      <c r="O220" s="77"/>
      <c r="P220" s="57"/>
      <c r="Q220" s="31"/>
    </row>
    <row r="221" spans="1:17" x14ac:dyDescent="0.2">
      <c r="A221" s="315"/>
      <c r="B221" s="110" t="s">
        <v>635</v>
      </c>
      <c r="C221" s="352">
        <f>TrialBalance!C221</f>
        <v>0</v>
      </c>
      <c r="D221" s="362"/>
      <c r="E221" s="356"/>
      <c r="F221" s="86">
        <f t="shared" si="34"/>
        <v>0</v>
      </c>
      <c r="G221" s="53">
        <f>SUMIF(JournalsC!D$14:D$920,TrialBalanceC!M221,JournalsC!J$14:J$920)+SUMIF(JournalsC!E$14:E$920,TrialBalanceC!M221,JournalsC!J$14:J$920)</f>
        <v>0</v>
      </c>
      <c r="H221" s="363"/>
      <c r="I221" s="366">
        <f t="shared" si="33"/>
        <v>0</v>
      </c>
      <c r="J221" s="81"/>
      <c r="K221" s="54">
        <f t="shared" si="39"/>
        <v>0</v>
      </c>
      <c r="M221" s="192" t="str">
        <f t="shared" si="40"/>
        <v>5550/0130</v>
      </c>
      <c r="N221" s="76"/>
      <c r="O221" s="77"/>
      <c r="P221" s="57"/>
      <c r="Q221" s="31"/>
    </row>
    <row r="222" spans="1:17" x14ac:dyDescent="0.2">
      <c r="A222" s="315"/>
      <c r="B222" s="110" t="s">
        <v>636</v>
      </c>
      <c r="C222" s="352">
        <f>TrialBalance!C222</f>
        <v>0</v>
      </c>
      <c r="D222" s="358"/>
      <c r="E222" s="356"/>
      <c r="F222" s="86">
        <f t="shared" si="34"/>
        <v>0</v>
      </c>
      <c r="G222" s="53">
        <f>SUMIF(JournalsC!D$14:D$920,TrialBalanceC!M222,JournalsC!J$14:J$920)+SUMIF(JournalsC!E$14:E$920,TrialBalanceC!M222,JournalsC!J$14:J$920)</f>
        <v>0</v>
      </c>
      <c r="H222" s="363"/>
      <c r="I222" s="366">
        <f t="shared" si="33"/>
        <v>0</v>
      </c>
      <c r="J222" s="81"/>
      <c r="K222" s="54">
        <f t="shared" si="39"/>
        <v>0</v>
      </c>
      <c r="M222" s="192" t="str">
        <f t="shared" si="40"/>
        <v>5550/0140</v>
      </c>
      <c r="N222" s="76"/>
      <c r="O222" s="77"/>
      <c r="P222" s="57"/>
      <c r="Q222" s="31"/>
    </row>
    <row r="223" spans="1:17" x14ac:dyDescent="0.2">
      <c r="A223" s="315"/>
      <c r="B223" s="110" t="s">
        <v>637</v>
      </c>
      <c r="C223" s="352">
        <f>TrialBalance!C223</f>
        <v>0</v>
      </c>
      <c r="D223" s="357"/>
      <c r="E223" s="356"/>
      <c r="F223" s="86">
        <f>K223</f>
        <v>0</v>
      </c>
      <c r="G223" s="53">
        <f>SUMIF(JournalsC!D$14:D$920,TrialBalanceC!M223,JournalsC!J$14:J$920)+SUMIF(JournalsC!E$14:E$920,TrialBalanceC!M223,JournalsC!J$14:J$920)</f>
        <v>0</v>
      </c>
      <c r="H223" s="363"/>
      <c r="I223" s="366">
        <f t="shared" si="33"/>
        <v>0</v>
      </c>
      <c r="J223" s="81"/>
      <c r="K223" s="54">
        <f t="shared" si="39"/>
        <v>0</v>
      </c>
      <c r="M223" s="192" t="str">
        <f t="shared" si="40"/>
        <v>5550/0150</v>
      </c>
      <c r="N223" s="76"/>
      <c r="O223" s="77"/>
      <c r="P223" s="57"/>
      <c r="Q223" s="31"/>
    </row>
    <row r="224" spans="1:17" x14ac:dyDescent="0.2">
      <c r="A224" s="315"/>
      <c r="B224" s="110" t="s">
        <v>638</v>
      </c>
      <c r="C224" s="352">
        <f>TrialBalance!C224</f>
        <v>0</v>
      </c>
      <c r="D224" s="348"/>
      <c r="E224" s="356"/>
      <c r="F224" s="86">
        <f>K224</f>
        <v>0</v>
      </c>
      <c r="G224" s="53">
        <f>SUMIF(JournalsC!D$14:D$920,TrialBalanceC!M224,JournalsC!J$14:J$920)+SUMIF(JournalsC!E$14:E$920,TrialBalanceC!M224,JournalsC!J$14:J$920)</f>
        <v>0</v>
      </c>
      <c r="H224" s="363"/>
      <c r="I224" s="366">
        <f t="shared" si="33"/>
        <v>0</v>
      </c>
      <c r="J224" s="81"/>
      <c r="K224" s="54">
        <f t="shared" si="39"/>
        <v>0</v>
      </c>
      <c r="M224" s="192" t="str">
        <f t="shared" si="40"/>
        <v>5550/0160</v>
      </c>
      <c r="N224" s="76"/>
      <c r="O224" s="77"/>
      <c r="P224" s="57"/>
      <c r="Q224" s="31"/>
    </row>
    <row r="225" spans="1:17" x14ac:dyDescent="0.2">
      <c r="A225" s="315"/>
      <c r="B225" s="110" t="s">
        <v>639</v>
      </c>
      <c r="C225" s="352">
        <f>TrialBalance!C225</f>
        <v>0</v>
      </c>
      <c r="D225" s="350"/>
      <c r="E225" s="356"/>
      <c r="F225" s="86">
        <f>K225</f>
        <v>0</v>
      </c>
      <c r="G225" s="53">
        <f>SUMIF(JournalsC!D$14:D$920,TrialBalanceC!M225,JournalsC!J$14:J$920)+SUMIF(JournalsC!E$14:E$920,TrialBalanceC!M225,JournalsC!J$14:J$920)</f>
        <v>0</v>
      </c>
      <c r="H225" s="363"/>
      <c r="I225" s="366">
        <f t="shared" si="33"/>
        <v>0</v>
      </c>
      <c r="J225" s="81"/>
      <c r="K225" s="54">
        <f t="shared" si="39"/>
        <v>0</v>
      </c>
      <c r="M225" s="192" t="str">
        <f t="shared" si="40"/>
        <v>5550/0170</v>
      </c>
      <c r="N225" s="76"/>
      <c r="O225" s="77"/>
      <c r="P225" s="57"/>
      <c r="Q225" s="31"/>
    </row>
    <row r="226" spans="1:17" x14ac:dyDescent="0.2">
      <c r="A226" s="315"/>
      <c r="B226" s="60" t="s">
        <v>152</v>
      </c>
      <c r="C226" s="316" t="s">
        <v>1129</v>
      </c>
      <c r="D226" s="358"/>
      <c r="E226" s="356"/>
      <c r="F226" s="86"/>
      <c r="G226" s="53">
        <f>SUMIF(JournalsC!D$14:D$920,TrialBalanceC!M226,JournalsC!J$14:J$920)+SUMIF(JournalsC!E$14:E$920,TrialBalanceC!M226,JournalsC!J$14:J$920)</f>
        <v>0</v>
      </c>
      <c r="H226" s="363"/>
      <c r="I226" s="366">
        <f t="shared" si="33"/>
        <v>0</v>
      </c>
      <c r="J226" s="81"/>
      <c r="K226" s="54">
        <f t="shared" si="39"/>
        <v>0</v>
      </c>
      <c r="M226" s="192" t="str">
        <f t="shared" si="40"/>
        <v>6100/000PROPERTY - COST</v>
      </c>
      <c r="N226" s="76"/>
      <c r="O226" s="77"/>
      <c r="P226" s="57"/>
      <c r="Q226" s="31"/>
    </row>
    <row r="227" spans="1:17" x14ac:dyDescent="0.2">
      <c r="A227" s="315"/>
      <c r="B227" s="60" t="s">
        <v>153</v>
      </c>
      <c r="C227" s="319" t="s">
        <v>1130</v>
      </c>
      <c r="D227" s="357"/>
      <c r="E227" s="356"/>
      <c r="F227" s="86">
        <f>SUM(K227:K229)</f>
        <v>0</v>
      </c>
      <c r="G227" s="53">
        <f>SUMIF(JournalsC!D$14:D$920,TrialBalanceC!M227,JournalsC!J$14:J$920)+SUMIF(JournalsC!E$14:E$920,TrialBalanceC!M227,JournalsC!J$14:J$920)</f>
        <v>0</v>
      </c>
      <c r="H227" s="363"/>
      <c r="I227" s="366">
        <f t="shared" si="33"/>
        <v>0</v>
      </c>
      <c r="J227" s="81"/>
      <c r="K227" s="54">
        <f t="shared" si="39"/>
        <v>0</v>
      </c>
      <c r="M227" s="192" t="str">
        <f t="shared" si="40"/>
        <v>6100/001Property - cost b/fwd</v>
      </c>
      <c r="N227" s="76"/>
      <c r="O227" s="77"/>
      <c r="P227" s="57"/>
      <c r="Q227" s="31"/>
    </row>
    <row r="228" spans="1:17" x14ac:dyDescent="0.2">
      <c r="A228" s="315"/>
      <c r="B228" s="60" t="s">
        <v>154</v>
      </c>
      <c r="C228" s="319" t="s">
        <v>1131</v>
      </c>
      <c r="D228" s="357"/>
      <c r="E228" s="356"/>
      <c r="F228" s="86"/>
      <c r="G228" s="53">
        <f>SUMIF(JournalsC!D$14:D$920,TrialBalanceC!M228,JournalsC!J$14:J$920)+SUMIF(JournalsC!E$14:E$920,TrialBalanceC!M228,JournalsC!J$14:J$920)</f>
        <v>0</v>
      </c>
      <c r="H228" s="363"/>
      <c r="I228" s="366">
        <f t="shared" si="33"/>
        <v>0</v>
      </c>
      <c r="J228" s="81"/>
      <c r="K228" s="54">
        <f t="shared" si="39"/>
        <v>0</v>
      </c>
      <c r="M228" s="192" t="str">
        <f t="shared" si="40"/>
        <v>6100/002Property - additions</v>
      </c>
      <c r="N228" s="76"/>
      <c r="O228" s="77"/>
      <c r="P228" s="57"/>
      <c r="Q228" s="31"/>
    </row>
    <row r="229" spans="1:17" x14ac:dyDescent="0.2">
      <c r="A229" s="315"/>
      <c r="B229" s="60" t="s">
        <v>155</v>
      </c>
      <c r="C229" s="319" t="s">
        <v>1132</v>
      </c>
      <c r="D229" s="357"/>
      <c r="E229" s="356"/>
      <c r="F229" s="86"/>
      <c r="G229" s="53">
        <f>SUMIF(JournalsC!D$14:D$920,TrialBalanceC!M229,JournalsC!J$14:J$920)+SUMIF(JournalsC!E$14:E$920,TrialBalanceC!M229,JournalsC!J$14:J$920)</f>
        <v>0</v>
      </c>
      <c r="H229" s="363"/>
      <c r="I229" s="366">
        <f t="shared" si="33"/>
        <v>0</v>
      </c>
      <c r="J229" s="81"/>
      <c r="K229" s="54">
        <f t="shared" si="39"/>
        <v>0</v>
      </c>
      <c r="M229" s="192" t="str">
        <f t="shared" si="40"/>
        <v>6100/003Property - cost of sales</v>
      </c>
      <c r="N229" s="76"/>
      <c r="O229" s="77"/>
      <c r="P229" s="57"/>
      <c r="Q229" s="31"/>
    </row>
    <row r="230" spans="1:17" x14ac:dyDescent="0.2">
      <c r="A230" s="315"/>
      <c r="B230" s="60" t="s">
        <v>286</v>
      </c>
      <c r="C230" s="316" t="s">
        <v>1133</v>
      </c>
      <c r="D230" s="358"/>
      <c r="E230" s="356"/>
      <c r="F230" s="86"/>
      <c r="G230" s="53">
        <f>SUMIF(JournalsC!D$14:D$920,TrialBalanceC!M230,JournalsC!J$14:J$920)+SUMIF(JournalsC!E$14:E$920,TrialBalanceC!M230,JournalsC!J$14:J$920)</f>
        <v>0</v>
      </c>
      <c r="H230" s="363"/>
      <c r="I230" s="366">
        <f t="shared" si="33"/>
        <v>0</v>
      </c>
      <c r="J230" s="81"/>
      <c r="K230" s="54">
        <f t="shared" si="39"/>
        <v>0</v>
      </c>
      <c r="M230" s="192" t="str">
        <f t="shared" si="40"/>
        <v>6100/020PROPERTY - ACC DEPR</v>
      </c>
      <c r="N230" s="76"/>
      <c r="O230" s="77"/>
      <c r="P230" s="57"/>
      <c r="Q230" s="31"/>
    </row>
    <row r="231" spans="1:17" x14ac:dyDescent="0.2">
      <c r="A231" s="315"/>
      <c r="B231" s="60" t="s">
        <v>287</v>
      </c>
      <c r="C231" s="319" t="s">
        <v>1134</v>
      </c>
      <c r="D231" s="357"/>
      <c r="E231" s="356"/>
      <c r="F231" s="86">
        <f>SUM(K231:K234)</f>
        <v>0</v>
      </c>
      <c r="G231" s="53">
        <f>SUMIF(JournalsC!D$14:D$920,TrialBalanceC!M231,JournalsC!J$14:J$920)+SUMIF(JournalsC!E$14:E$920,TrialBalanceC!M231,JournalsC!J$14:J$920)</f>
        <v>0</v>
      </c>
      <c r="H231" s="363"/>
      <c r="I231" s="366">
        <f t="shared" si="33"/>
        <v>0</v>
      </c>
      <c r="J231" s="81"/>
      <c r="K231" s="54">
        <f t="shared" si="39"/>
        <v>0</v>
      </c>
      <c r="M231" s="192" t="str">
        <f t="shared" si="40"/>
        <v>6100/021Property - acc depr b/fwd</v>
      </c>
      <c r="N231" s="76"/>
      <c r="O231" s="77"/>
      <c r="P231" s="57"/>
      <c r="Q231" s="31"/>
    </row>
    <row r="232" spans="1:17" x14ac:dyDescent="0.2">
      <c r="A232" s="315"/>
      <c r="B232" s="60" t="s">
        <v>288</v>
      </c>
      <c r="C232" s="319" t="s">
        <v>1135</v>
      </c>
      <c r="D232" s="357"/>
      <c r="E232" s="356"/>
      <c r="F232" s="86"/>
      <c r="G232" s="53">
        <f>SUMIF(JournalsC!D$14:D$920,TrialBalanceC!M232,JournalsC!J$14:J$920)+SUMIF(JournalsC!E$14:E$920,TrialBalanceC!M232,JournalsC!J$14:J$920)</f>
        <v>0</v>
      </c>
      <c r="H232" s="363"/>
      <c r="I232" s="366">
        <f t="shared" si="33"/>
        <v>0</v>
      </c>
      <c r="J232" s="81"/>
      <c r="K232" s="54">
        <f t="shared" si="39"/>
        <v>0</v>
      </c>
      <c r="M232" s="192" t="str">
        <f t="shared" si="40"/>
        <v>6100/022Property - depr this year</v>
      </c>
      <c r="N232" s="76"/>
      <c r="O232" s="77"/>
      <c r="P232" s="57"/>
      <c r="Q232" s="31"/>
    </row>
    <row r="233" spans="1:17" x14ac:dyDescent="0.2">
      <c r="A233" s="315"/>
      <c r="B233" s="60" t="s">
        <v>291</v>
      </c>
      <c r="C233" s="319" t="s">
        <v>1136</v>
      </c>
      <c r="D233" s="357"/>
      <c r="E233" s="356"/>
      <c r="F233" s="86"/>
      <c r="G233" s="53">
        <f>SUMIF(JournalsC!D$14:D$920,TrialBalanceC!M233,JournalsC!J$14:J$920)+SUMIF(JournalsC!E$14:E$920,TrialBalanceC!M233,JournalsC!J$14:J$920)</f>
        <v>0</v>
      </c>
      <c r="H233" s="363"/>
      <c r="I233" s="366">
        <f t="shared" si="33"/>
        <v>0</v>
      </c>
      <c r="J233" s="81"/>
      <c r="K233" s="54">
        <f t="shared" si="39"/>
        <v>0</v>
      </c>
      <c r="M233" s="192" t="str">
        <f t="shared" si="40"/>
        <v>6100/023Property - acc depr on sales</v>
      </c>
      <c r="N233" s="76"/>
      <c r="O233" s="77"/>
      <c r="P233" s="57"/>
      <c r="Q233" s="31"/>
    </row>
    <row r="234" spans="1:17" x14ac:dyDescent="0.2">
      <c r="A234" s="315"/>
      <c r="B234" s="110" t="s">
        <v>1154</v>
      </c>
      <c r="C234" s="319" t="s">
        <v>1155</v>
      </c>
      <c r="D234" s="357"/>
      <c r="E234" s="356"/>
      <c r="F234" s="86"/>
      <c r="G234" s="53">
        <f>SUMIF(JournalsC!D$14:D$920,TrialBalanceC!M234,JournalsC!J$14:J$920)+SUMIF(JournalsC!E$14:E$920,TrialBalanceC!M234,JournalsC!J$14:J$920)</f>
        <v>0</v>
      </c>
      <c r="H234" s="363"/>
      <c r="I234" s="366">
        <f t="shared" ref="I234" si="41">ROUND(D234-E234+G234+F234,0)</f>
        <v>0</v>
      </c>
      <c r="J234" s="81"/>
      <c r="K234" s="54">
        <f t="shared" ref="K234" si="42">ROUND(SUM(A234),0)</f>
        <v>0</v>
      </c>
      <c r="M234" s="192" t="str">
        <f t="shared" ref="M234" si="43">CONCATENATE(B234,C234)</f>
        <v>6100/024Property - recoupment of depr</v>
      </c>
      <c r="N234" s="76"/>
      <c r="O234" s="77"/>
      <c r="P234" s="57"/>
      <c r="Q234" s="31"/>
    </row>
    <row r="235" spans="1:17" x14ac:dyDescent="0.2">
      <c r="A235" s="315"/>
      <c r="B235" s="110" t="s">
        <v>676</v>
      </c>
      <c r="C235" s="316" t="s">
        <v>1137</v>
      </c>
      <c r="D235" s="357"/>
      <c r="E235" s="356"/>
      <c r="F235" s="86"/>
      <c r="G235" s="53">
        <f>SUMIF(JournalsC!D$14:D$920,TrialBalanceC!M235,JournalsC!J$14:J$920)+SUMIF(JournalsC!E$14:E$920,TrialBalanceC!M235,JournalsC!J$14:J$920)</f>
        <v>0</v>
      </c>
      <c r="H235" s="363"/>
      <c r="I235" s="366">
        <f t="shared" ref="I235:I238" si="44">ROUND(D235-E235+G235+F235,0)</f>
        <v>0</v>
      </c>
      <c r="J235" s="81"/>
      <c r="K235" s="54">
        <f t="shared" ref="K235:K238" si="45">ROUND(SUM(A235),0)</f>
        <v>0</v>
      </c>
      <c r="M235" s="192" t="str">
        <f t="shared" ref="M235:M238" si="46">CONCATENATE(B235,C235)</f>
        <v>6100/030PROPERTY - REVALUATION</v>
      </c>
      <c r="N235" s="76"/>
      <c r="O235" s="77"/>
      <c r="P235" s="57"/>
      <c r="Q235" s="31"/>
    </row>
    <row r="236" spans="1:17" x14ac:dyDescent="0.2">
      <c r="A236" s="315"/>
      <c r="B236" s="110" t="s">
        <v>677</v>
      </c>
      <c r="C236" s="319" t="s">
        <v>1138</v>
      </c>
      <c r="D236" s="357"/>
      <c r="E236" s="356"/>
      <c r="F236" s="86">
        <f>SUM(K236:K238)</f>
        <v>0</v>
      </c>
      <c r="G236" s="53">
        <f>SUMIF(JournalsC!D$14:D$920,TrialBalanceC!M236,JournalsC!J$14:J$920)+SUMIF(JournalsC!E$14:E$920,TrialBalanceC!M236,JournalsC!J$14:J$920)</f>
        <v>0</v>
      </c>
      <c r="H236" s="363"/>
      <c r="I236" s="366">
        <f t="shared" si="44"/>
        <v>0</v>
      </c>
      <c r="J236" s="81"/>
      <c r="K236" s="54">
        <f t="shared" si="45"/>
        <v>0</v>
      </c>
      <c r="M236" s="192" t="str">
        <f t="shared" si="46"/>
        <v>6100/031Property - revaluation b/fwd</v>
      </c>
      <c r="N236" s="76"/>
      <c r="O236" s="77"/>
      <c r="P236" s="57"/>
      <c r="Q236" s="31"/>
    </row>
    <row r="237" spans="1:17" x14ac:dyDescent="0.2">
      <c r="A237" s="315"/>
      <c r="B237" s="110" t="s">
        <v>678</v>
      </c>
      <c r="C237" s="319" t="s">
        <v>1139</v>
      </c>
      <c r="D237" s="357"/>
      <c r="E237" s="356"/>
      <c r="F237" s="86"/>
      <c r="G237" s="53">
        <f>SUMIF(JournalsC!D$14:D$920,TrialBalanceC!M237,JournalsC!J$14:J$920)+SUMIF(JournalsC!E$14:E$920,TrialBalanceC!M237,JournalsC!J$14:J$920)</f>
        <v>0</v>
      </c>
      <c r="H237" s="363"/>
      <c r="I237" s="366">
        <f t="shared" si="44"/>
        <v>0</v>
      </c>
      <c r="J237" s="81"/>
      <c r="K237" s="54">
        <f t="shared" si="45"/>
        <v>0</v>
      </c>
      <c r="M237" s="192" t="str">
        <f t="shared" si="46"/>
        <v>6100/032Property - revaluation additions</v>
      </c>
      <c r="N237" s="76"/>
      <c r="O237" s="77"/>
      <c r="P237" s="57"/>
      <c r="Q237" s="31"/>
    </row>
    <row r="238" spans="1:17" x14ac:dyDescent="0.2">
      <c r="A238" s="315"/>
      <c r="B238" s="110" t="s">
        <v>679</v>
      </c>
      <c r="C238" s="319" t="s">
        <v>1140</v>
      </c>
      <c r="D238" s="357"/>
      <c r="E238" s="356"/>
      <c r="F238" s="86"/>
      <c r="G238" s="53">
        <f>SUMIF(JournalsC!D$14:D$920,TrialBalanceC!M238,JournalsC!J$14:J$920)+SUMIF(JournalsC!E$14:E$920,TrialBalanceC!M238,JournalsC!J$14:J$920)</f>
        <v>0</v>
      </c>
      <c r="H238" s="363"/>
      <c r="I238" s="366">
        <f t="shared" si="44"/>
        <v>0</v>
      </c>
      <c r="J238" s="81"/>
      <c r="K238" s="54">
        <f t="shared" si="45"/>
        <v>0</v>
      </c>
      <c r="M238" s="192" t="str">
        <f t="shared" si="46"/>
        <v>6100/033Property - revaluation reduction</v>
      </c>
      <c r="N238" s="76"/>
      <c r="O238" s="77"/>
      <c r="P238" s="57"/>
      <c r="Q238" s="31"/>
    </row>
    <row r="239" spans="1:17" x14ac:dyDescent="0.2">
      <c r="A239" s="315"/>
      <c r="B239" s="60" t="s">
        <v>292</v>
      </c>
      <c r="C239" s="316" t="s">
        <v>773</v>
      </c>
      <c r="D239" s="358"/>
      <c r="E239" s="356"/>
      <c r="F239" s="86"/>
      <c r="G239" s="53">
        <f>SUMIF(JournalsC!D$14:D$920,TrialBalanceC!M239,JournalsC!J$14:J$920)+SUMIF(JournalsC!E$14:E$920,TrialBalanceC!M239,JournalsC!J$14:J$920)</f>
        <v>0</v>
      </c>
      <c r="H239" s="363"/>
      <c r="I239" s="366">
        <f t="shared" si="33"/>
        <v>0</v>
      </c>
      <c r="J239" s="81"/>
      <c r="K239" s="54">
        <f t="shared" si="39"/>
        <v>0</v>
      </c>
      <c r="M239" s="192" t="str">
        <f t="shared" si="40"/>
        <v>6150/000PLANT AND MACHINERY - COST</v>
      </c>
      <c r="N239" s="76"/>
      <c r="O239" s="77"/>
      <c r="P239" s="57"/>
      <c r="Q239" s="31"/>
    </row>
    <row r="240" spans="1:17" x14ac:dyDescent="0.2">
      <c r="A240" s="315"/>
      <c r="B240" s="60" t="s">
        <v>42</v>
      </c>
      <c r="C240" s="319" t="s">
        <v>774</v>
      </c>
      <c r="D240" s="357"/>
      <c r="E240" s="356"/>
      <c r="F240" s="86">
        <f>SUM(K240:K242)</f>
        <v>0</v>
      </c>
      <c r="G240" s="53">
        <f>SUMIF(JournalsC!D$14:D$920,TrialBalanceC!M240,JournalsC!J$14:J$920)+SUMIF(JournalsC!E$14:E$920,TrialBalanceC!M240,JournalsC!J$14:J$920)</f>
        <v>0</v>
      </c>
      <c r="H240" s="363"/>
      <c r="I240" s="366">
        <f t="shared" si="33"/>
        <v>0</v>
      </c>
      <c r="J240" s="81"/>
      <c r="K240" s="54">
        <f t="shared" si="39"/>
        <v>0</v>
      </c>
      <c r="M240" s="192" t="str">
        <f t="shared" si="40"/>
        <v>6150/001Plant and machinery - cost b/fwd</v>
      </c>
      <c r="N240" s="76"/>
      <c r="O240" s="77"/>
      <c r="P240" s="57"/>
      <c r="Q240" s="31"/>
    </row>
    <row r="241" spans="1:17" x14ac:dyDescent="0.2">
      <c r="A241" s="315"/>
      <c r="B241" s="60" t="s">
        <v>43</v>
      </c>
      <c r="C241" s="319" t="s">
        <v>775</v>
      </c>
      <c r="D241" s="357"/>
      <c r="E241" s="356"/>
      <c r="F241" s="86"/>
      <c r="G241" s="53">
        <f>SUMIF(JournalsC!D$14:D$920,TrialBalanceC!M241,JournalsC!J$14:J$920)+SUMIF(JournalsC!E$14:E$920,TrialBalanceC!M241,JournalsC!J$14:J$920)</f>
        <v>0</v>
      </c>
      <c r="H241" s="363"/>
      <c r="I241" s="366">
        <f t="shared" si="33"/>
        <v>0</v>
      </c>
      <c r="J241" s="81"/>
      <c r="K241" s="54">
        <f t="shared" si="39"/>
        <v>0</v>
      </c>
      <c r="M241" s="192" t="str">
        <f t="shared" si="40"/>
        <v>6150/002Plant and machinery - additions</v>
      </c>
      <c r="N241" s="76"/>
      <c r="O241" s="77"/>
      <c r="P241" s="57"/>
      <c r="Q241" s="31"/>
    </row>
    <row r="242" spans="1:17" x14ac:dyDescent="0.2">
      <c r="A242" s="315"/>
      <c r="B242" s="60" t="s">
        <v>44</v>
      </c>
      <c r="C242" s="319" t="s">
        <v>776</v>
      </c>
      <c r="D242" s="357"/>
      <c r="E242" s="356"/>
      <c r="F242" s="86"/>
      <c r="G242" s="53">
        <f>SUMIF(JournalsC!D$14:D$920,TrialBalanceC!M242,JournalsC!J$14:J$920)+SUMIF(JournalsC!E$14:E$920,TrialBalanceC!M242,JournalsC!J$14:J$920)</f>
        <v>0</v>
      </c>
      <c r="H242" s="363"/>
      <c r="I242" s="366">
        <f t="shared" ref="I242:I353" si="47">ROUND(D242-E242+G242+F242,0)</f>
        <v>0</v>
      </c>
      <c r="J242" s="81"/>
      <c r="K242" s="54">
        <f t="shared" si="39"/>
        <v>0</v>
      </c>
      <c r="M242" s="192" t="str">
        <f t="shared" si="40"/>
        <v>6150/003Plant and machinery - cost of sales</v>
      </c>
      <c r="N242" s="76"/>
      <c r="O242" s="77"/>
      <c r="P242" s="57"/>
      <c r="Q242" s="31"/>
    </row>
    <row r="243" spans="1:17" x14ac:dyDescent="0.2">
      <c r="A243" s="315"/>
      <c r="B243" s="60" t="s">
        <v>19</v>
      </c>
      <c r="C243" s="316" t="s">
        <v>777</v>
      </c>
      <c r="D243" s="358"/>
      <c r="E243" s="356"/>
      <c r="F243" s="86"/>
      <c r="G243" s="53">
        <f>SUMIF(JournalsC!D$14:D$920,TrialBalanceC!M243,JournalsC!J$14:J$920)+SUMIF(JournalsC!E$14:E$920,TrialBalanceC!M243,JournalsC!J$14:J$920)</f>
        <v>0</v>
      </c>
      <c r="H243" s="363"/>
      <c r="I243" s="366">
        <f t="shared" si="47"/>
        <v>0</v>
      </c>
      <c r="J243" s="81"/>
      <c r="K243" s="54">
        <f t="shared" si="39"/>
        <v>0</v>
      </c>
      <c r="M243" s="192" t="str">
        <f t="shared" si="40"/>
        <v>6150/020PLANT AND MACHINERY - ACC DEPR</v>
      </c>
      <c r="N243" s="76"/>
      <c r="O243" s="77"/>
      <c r="P243" s="57"/>
      <c r="Q243" s="31"/>
    </row>
    <row r="244" spans="1:17" x14ac:dyDescent="0.2">
      <c r="A244" s="315"/>
      <c r="B244" s="60" t="s">
        <v>20</v>
      </c>
      <c r="C244" s="319" t="s">
        <v>778</v>
      </c>
      <c r="D244" s="357"/>
      <c r="E244" s="356"/>
      <c r="F244" s="86">
        <f>SUM(K244:K246)</f>
        <v>0</v>
      </c>
      <c r="G244" s="53">
        <f>SUMIF(JournalsC!D$14:D$920,TrialBalanceC!M244,JournalsC!J$14:J$920)+SUMIF(JournalsC!E$14:E$920,TrialBalanceC!M244,JournalsC!J$14:J$920)</f>
        <v>0</v>
      </c>
      <c r="H244" s="363"/>
      <c r="I244" s="366">
        <f t="shared" si="47"/>
        <v>0</v>
      </c>
      <c r="J244" s="81"/>
      <c r="K244" s="54">
        <f t="shared" si="39"/>
        <v>0</v>
      </c>
      <c r="M244" s="192" t="str">
        <f t="shared" si="40"/>
        <v>6150/021Plant and machinery - acc depr b/fwd</v>
      </c>
      <c r="N244" s="76"/>
      <c r="O244" s="77"/>
      <c r="P244" s="57"/>
      <c r="Q244" s="31"/>
    </row>
    <row r="245" spans="1:17" x14ac:dyDescent="0.2">
      <c r="A245" s="315"/>
      <c r="B245" s="60" t="s">
        <v>36</v>
      </c>
      <c r="C245" s="319" t="s">
        <v>779</v>
      </c>
      <c r="D245" s="357"/>
      <c r="E245" s="356"/>
      <c r="F245" s="86"/>
      <c r="G245" s="53">
        <f>SUMIF(JournalsC!D$14:D$920,TrialBalanceC!M245,JournalsC!J$14:J$920)+SUMIF(JournalsC!E$14:E$920,TrialBalanceC!M245,JournalsC!J$14:J$920)</f>
        <v>0</v>
      </c>
      <c r="H245" s="363"/>
      <c r="I245" s="366">
        <f t="shared" si="47"/>
        <v>0</v>
      </c>
      <c r="J245" s="81"/>
      <c r="K245" s="54">
        <f t="shared" si="39"/>
        <v>0</v>
      </c>
      <c r="M245" s="192" t="str">
        <f t="shared" si="40"/>
        <v>6150/022Plant and machinery - depr this year</v>
      </c>
      <c r="N245" s="76"/>
      <c r="O245" s="77"/>
      <c r="P245" s="57"/>
      <c r="Q245" s="31"/>
    </row>
    <row r="246" spans="1:17" x14ac:dyDescent="0.2">
      <c r="A246" s="315"/>
      <c r="B246" s="60" t="s">
        <v>37</v>
      </c>
      <c r="C246" s="319" t="s">
        <v>780</v>
      </c>
      <c r="D246" s="357"/>
      <c r="E246" s="356"/>
      <c r="F246" s="86"/>
      <c r="G246" s="53">
        <f>SUMIF(JournalsC!D$14:D$920,TrialBalanceC!M246,JournalsC!J$14:J$920)+SUMIF(JournalsC!E$14:E$920,TrialBalanceC!M246,JournalsC!J$14:J$920)</f>
        <v>0</v>
      </c>
      <c r="H246" s="363"/>
      <c r="I246" s="366">
        <f t="shared" si="47"/>
        <v>0</v>
      </c>
      <c r="J246" s="81"/>
      <c r="K246" s="54">
        <f t="shared" si="39"/>
        <v>0</v>
      </c>
      <c r="M246" s="192" t="str">
        <f t="shared" si="40"/>
        <v>6150/023Plant and machinery - acc depr on sales</v>
      </c>
      <c r="N246" s="76"/>
      <c r="O246" s="77"/>
      <c r="P246" s="57"/>
      <c r="Q246" s="31"/>
    </row>
    <row r="247" spans="1:17" x14ac:dyDescent="0.2">
      <c r="A247" s="315"/>
      <c r="B247" s="60" t="s">
        <v>38</v>
      </c>
      <c r="C247" s="316" t="s">
        <v>39</v>
      </c>
      <c r="D247" s="358"/>
      <c r="E247" s="356"/>
      <c r="F247" s="86"/>
      <c r="G247" s="53">
        <f>SUMIF(JournalsC!D$14:D$920,TrialBalanceC!M247,JournalsC!J$14:J$920)+SUMIF(JournalsC!E$14:E$920,TrialBalanceC!M247,JournalsC!J$14:J$920)</f>
        <v>0</v>
      </c>
      <c r="H247" s="363"/>
      <c r="I247" s="366">
        <f t="shared" si="47"/>
        <v>0</v>
      </c>
      <c r="J247" s="81"/>
      <c r="K247" s="54">
        <f t="shared" si="39"/>
        <v>0</v>
      </c>
      <c r="M247" s="192" t="str">
        <f t="shared" si="40"/>
        <v>6200/000MOTOR VEHICLES - COST</v>
      </c>
      <c r="N247" s="76"/>
      <c r="O247" s="77"/>
      <c r="P247" s="57"/>
      <c r="Q247" s="31"/>
    </row>
    <row r="248" spans="1:17" x14ac:dyDescent="0.2">
      <c r="A248" s="315"/>
      <c r="B248" s="60" t="s">
        <v>40</v>
      </c>
      <c r="C248" s="319" t="s">
        <v>781</v>
      </c>
      <c r="D248" s="357"/>
      <c r="E248" s="356"/>
      <c r="F248" s="86">
        <f>SUM(K248:K250)</f>
        <v>0</v>
      </c>
      <c r="G248" s="53">
        <f>SUMIF(JournalsC!D$14:D$920,TrialBalanceC!M248,JournalsC!J$14:J$920)+SUMIF(JournalsC!E$14:E$920,TrialBalanceC!M248,JournalsC!J$14:J$920)</f>
        <v>0</v>
      </c>
      <c r="H248" s="363"/>
      <c r="I248" s="366">
        <f t="shared" si="47"/>
        <v>0</v>
      </c>
      <c r="J248" s="81"/>
      <c r="K248" s="54">
        <f t="shared" si="39"/>
        <v>0</v>
      </c>
      <c r="M248" s="192" t="str">
        <f t="shared" si="40"/>
        <v>6200/001Motor vehicles - cost b/fwd</v>
      </c>
      <c r="N248" s="76"/>
      <c r="O248" s="77"/>
      <c r="P248" s="57"/>
      <c r="Q248" s="31"/>
    </row>
    <row r="249" spans="1:17" x14ac:dyDescent="0.2">
      <c r="A249" s="315"/>
      <c r="B249" s="60" t="s">
        <v>41</v>
      </c>
      <c r="C249" s="319" t="s">
        <v>782</v>
      </c>
      <c r="D249" s="357"/>
      <c r="E249" s="356"/>
      <c r="F249" s="86"/>
      <c r="G249" s="53">
        <f>SUMIF(JournalsC!D$14:D$920,TrialBalanceC!M249,JournalsC!J$14:J$920)+SUMIF(JournalsC!E$14:E$920,TrialBalanceC!M249,JournalsC!J$14:J$920)</f>
        <v>0</v>
      </c>
      <c r="H249" s="363"/>
      <c r="I249" s="366">
        <f t="shared" si="47"/>
        <v>0</v>
      </c>
      <c r="J249" s="81"/>
      <c r="K249" s="54">
        <f t="shared" si="39"/>
        <v>0</v>
      </c>
      <c r="M249" s="192" t="str">
        <f t="shared" si="40"/>
        <v>6200/002Motor vehicles - additions</v>
      </c>
      <c r="N249" s="76"/>
      <c r="O249" s="77"/>
      <c r="P249" s="57"/>
      <c r="Q249" s="31"/>
    </row>
    <row r="250" spans="1:17" x14ac:dyDescent="0.2">
      <c r="A250" s="315"/>
      <c r="B250" s="60" t="s">
        <v>478</v>
      </c>
      <c r="C250" s="319" t="s">
        <v>783</v>
      </c>
      <c r="D250" s="357"/>
      <c r="E250" s="356"/>
      <c r="F250" s="86"/>
      <c r="G250" s="53">
        <f>SUMIF(JournalsC!D$14:D$920,TrialBalanceC!M250,JournalsC!J$14:J$920)+SUMIF(JournalsC!E$14:E$920,TrialBalanceC!M250,JournalsC!J$14:J$920)</f>
        <v>0</v>
      </c>
      <c r="H250" s="363"/>
      <c r="I250" s="366">
        <f t="shared" si="47"/>
        <v>0</v>
      </c>
      <c r="J250" s="81"/>
      <c r="K250" s="54">
        <f t="shared" si="39"/>
        <v>0</v>
      </c>
      <c r="M250" s="192" t="str">
        <f t="shared" si="40"/>
        <v>6200/003Motor vehicles - cost of sales</v>
      </c>
      <c r="N250" s="76"/>
      <c r="O250" s="77"/>
      <c r="P250" s="57"/>
      <c r="Q250" s="31"/>
    </row>
    <row r="251" spans="1:17" x14ac:dyDescent="0.2">
      <c r="A251" s="315"/>
      <c r="B251" s="60" t="s">
        <v>0</v>
      </c>
      <c r="C251" s="316" t="s">
        <v>1</v>
      </c>
      <c r="D251" s="358"/>
      <c r="E251" s="356"/>
      <c r="F251" s="86"/>
      <c r="G251" s="53">
        <f>SUMIF(JournalsC!D$14:D$920,TrialBalanceC!M251,JournalsC!J$14:J$920)+SUMIF(JournalsC!E$14:E$920,TrialBalanceC!M251,JournalsC!J$14:J$920)</f>
        <v>0</v>
      </c>
      <c r="H251" s="363"/>
      <c r="I251" s="366">
        <f t="shared" si="47"/>
        <v>0</v>
      </c>
      <c r="J251" s="81"/>
      <c r="K251" s="54">
        <f t="shared" si="39"/>
        <v>0</v>
      </c>
      <c r="M251" s="192" t="str">
        <f t="shared" si="40"/>
        <v>6200/020MOTOR VEHICLES - ACC DEPR</v>
      </c>
      <c r="N251" s="76"/>
      <c r="O251" s="77"/>
      <c r="P251" s="57"/>
      <c r="Q251" s="31"/>
    </row>
    <row r="252" spans="1:17" x14ac:dyDescent="0.2">
      <c r="A252" s="315"/>
      <c r="B252" s="60" t="s">
        <v>2</v>
      </c>
      <c r="C252" s="319" t="s">
        <v>784</v>
      </c>
      <c r="D252" s="357"/>
      <c r="E252" s="356"/>
      <c r="F252" s="86">
        <f>SUM(K252:K254)</f>
        <v>0</v>
      </c>
      <c r="G252" s="53">
        <f>SUMIF(JournalsC!D$14:D$920,TrialBalanceC!M252,JournalsC!J$14:J$920)+SUMIF(JournalsC!E$14:E$920,TrialBalanceC!M252,JournalsC!J$14:J$920)</f>
        <v>0</v>
      </c>
      <c r="H252" s="363"/>
      <c r="I252" s="366">
        <f t="shared" si="47"/>
        <v>0</v>
      </c>
      <c r="J252" s="81"/>
      <c r="K252" s="54">
        <f t="shared" si="39"/>
        <v>0</v>
      </c>
      <c r="M252" s="192" t="str">
        <f t="shared" si="40"/>
        <v>6200/021Motor vehicles - acc depr b/fwd</v>
      </c>
      <c r="N252" s="76"/>
      <c r="O252" s="77"/>
      <c r="P252" s="57"/>
      <c r="Q252" s="31"/>
    </row>
    <row r="253" spans="1:17" x14ac:dyDescent="0.2">
      <c r="A253" s="315"/>
      <c r="B253" s="60" t="s">
        <v>3</v>
      </c>
      <c r="C253" s="319" t="s">
        <v>785</v>
      </c>
      <c r="D253" s="357"/>
      <c r="E253" s="356"/>
      <c r="F253" s="86"/>
      <c r="G253" s="53">
        <f>SUMIF(JournalsC!D$14:D$920,TrialBalanceC!M253,JournalsC!J$14:J$920)+SUMIF(JournalsC!E$14:E$920,TrialBalanceC!M253,JournalsC!J$14:J$920)</f>
        <v>0</v>
      </c>
      <c r="H253" s="363"/>
      <c r="I253" s="366">
        <f t="shared" si="47"/>
        <v>0</v>
      </c>
      <c r="J253" s="81"/>
      <c r="K253" s="54">
        <f t="shared" si="39"/>
        <v>0</v>
      </c>
      <c r="M253" s="192" t="str">
        <f t="shared" si="40"/>
        <v>6200/022Motor vehicles - depr this year</v>
      </c>
      <c r="N253" s="76"/>
      <c r="O253" s="77"/>
      <c r="P253" s="57"/>
      <c r="Q253" s="31"/>
    </row>
    <row r="254" spans="1:17" x14ac:dyDescent="0.2">
      <c r="A254" s="315"/>
      <c r="B254" s="60" t="s">
        <v>4</v>
      </c>
      <c r="C254" s="319" t="s">
        <v>786</v>
      </c>
      <c r="D254" s="357"/>
      <c r="E254" s="356"/>
      <c r="F254" s="86"/>
      <c r="G254" s="53">
        <f>SUMIF(JournalsC!D$14:D$920,TrialBalanceC!M254,JournalsC!J$14:J$920)+SUMIF(JournalsC!E$14:E$920,TrialBalanceC!M254,JournalsC!J$14:J$920)</f>
        <v>0</v>
      </c>
      <c r="H254" s="363"/>
      <c r="I254" s="366">
        <f t="shared" si="47"/>
        <v>0</v>
      </c>
      <c r="J254" s="81"/>
      <c r="K254" s="54">
        <f t="shared" si="39"/>
        <v>0</v>
      </c>
      <c r="M254" s="192" t="str">
        <f t="shared" si="40"/>
        <v>6200/023Motor vehicles - acc depr on sales</v>
      </c>
      <c r="N254" s="76"/>
      <c r="O254" s="77"/>
      <c r="P254" s="57"/>
      <c r="Q254" s="31"/>
    </row>
    <row r="255" spans="1:17" x14ac:dyDescent="0.2">
      <c r="A255" s="315"/>
      <c r="B255" s="60" t="s">
        <v>5</v>
      </c>
      <c r="C255" s="316" t="s">
        <v>128</v>
      </c>
      <c r="D255" s="358"/>
      <c r="E255" s="356"/>
      <c r="F255" s="86"/>
      <c r="G255" s="53">
        <f>SUMIF(JournalsC!D$14:D$920,TrialBalanceC!M255,JournalsC!J$14:J$920)+SUMIF(JournalsC!E$14:E$920,TrialBalanceC!M255,JournalsC!J$14:J$920)</f>
        <v>0</v>
      </c>
      <c r="H255" s="363"/>
      <c r="I255" s="366">
        <f t="shared" si="47"/>
        <v>0</v>
      </c>
      <c r="J255" s="81"/>
      <c r="K255" s="54">
        <f t="shared" si="39"/>
        <v>0</v>
      </c>
      <c r="M255" s="192" t="str">
        <f t="shared" si="40"/>
        <v>6250/000ELECTRONIC EQUIPMENT - COST</v>
      </c>
      <c r="N255" s="76"/>
      <c r="O255" s="77"/>
      <c r="P255" s="57"/>
      <c r="Q255" s="31"/>
    </row>
    <row r="256" spans="1:17" x14ac:dyDescent="0.2">
      <c r="A256" s="315"/>
      <c r="B256" s="60" t="s">
        <v>6</v>
      </c>
      <c r="C256" s="319" t="s">
        <v>787</v>
      </c>
      <c r="D256" s="357"/>
      <c r="E256" s="356"/>
      <c r="F256" s="86">
        <f>SUM(K256:K258)</f>
        <v>0</v>
      </c>
      <c r="G256" s="53">
        <f>SUMIF(JournalsC!D$14:D$920,TrialBalanceC!M256,JournalsC!J$14:J$920)+SUMIF(JournalsC!E$14:E$920,TrialBalanceC!M256,JournalsC!J$14:J$920)</f>
        <v>0</v>
      </c>
      <c r="H256" s="363"/>
      <c r="I256" s="366">
        <f t="shared" si="47"/>
        <v>0</v>
      </c>
      <c r="J256" s="81"/>
      <c r="K256" s="54">
        <f t="shared" si="39"/>
        <v>0</v>
      </c>
      <c r="M256" s="192" t="str">
        <f t="shared" si="40"/>
        <v>6250/001Electronic equipment - cost b/fwd</v>
      </c>
      <c r="N256" s="76"/>
      <c r="O256" s="77"/>
      <c r="P256" s="57"/>
      <c r="Q256" s="31"/>
    </row>
    <row r="257" spans="1:17" x14ac:dyDescent="0.2">
      <c r="A257" s="315"/>
      <c r="B257" s="60" t="s">
        <v>7</v>
      </c>
      <c r="C257" s="319" t="s">
        <v>788</v>
      </c>
      <c r="D257" s="357"/>
      <c r="E257" s="356"/>
      <c r="F257" s="86"/>
      <c r="G257" s="53">
        <f>SUMIF(JournalsC!D$14:D$920,TrialBalanceC!M257,JournalsC!J$14:J$920)+SUMIF(JournalsC!E$14:E$920,TrialBalanceC!M257,JournalsC!J$14:J$920)</f>
        <v>0</v>
      </c>
      <c r="H257" s="363"/>
      <c r="I257" s="366">
        <f t="shared" si="47"/>
        <v>0</v>
      </c>
      <c r="J257" s="81"/>
      <c r="K257" s="54">
        <f t="shared" si="39"/>
        <v>0</v>
      </c>
      <c r="M257" s="192" t="str">
        <f t="shared" si="40"/>
        <v>6250/002Electronic equipment - additions</v>
      </c>
      <c r="N257" s="76"/>
      <c r="O257" s="77"/>
      <c r="P257" s="57"/>
      <c r="Q257" s="31"/>
    </row>
    <row r="258" spans="1:17" x14ac:dyDescent="0.2">
      <c r="A258" s="315"/>
      <c r="B258" s="60" t="s">
        <v>8</v>
      </c>
      <c r="C258" s="319" t="s">
        <v>789</v>
      </c>
      <c r="D258" s="357"/>
      <c r="E258" s="356"/>
      <c r="F258" s="86"/>
      <c r="G258" s="53">
        <f>SUMIF(JournalsC!D$14:D$920,TrialBalanceC!M258,JournalsC!J$14:J$920)+SUMIF(JournalsC!E$14:E$920,TrialBalanceC!M258,JournalsC!J$14:J$920)</f>
        <v>0</v>
      </c>
      <c r="H258" s="363"/>
      <c r="I258" s="366">
        <f t="shared" si="47"/>
        <v>0</v>
      </c>
      <c r="J258" s="81"/>
      <c r="K258" s="54">
        <f t="shared" si="39"/>
        <v>0</v>
      </c>
      <c r="M258" s="192" t="str">
        <f t="shared" si="40"/>
        <v>6250/003Electronic equipment - cost of sales</v>
      </c>
      <c r="N258" s="76"/>
      <c r="O258" s="77"/>
      <c r="P258" s="57"/>
      <c r="Q258" s="31"/>
    </row>
    <row r="259" spans="1:17" x14ac:dyDescent="0.2">
      <c r="A259" s="315"/>
      <c r="B259" s="60" t="s">
        <v>9</v>
      </c>
      <c r="C259" s="316" t="s">
        <v>129</v>
      </c>
      <c r="D259" s="358"/>
      <c r="E259" s="356"/>
      <c r="F259" s="86"/>
      <c r="G259" s="53">
        <f>SUMIF(JournalsC!D$14:D$920,TrialBalanceC!M259,JournalsC!J$14:J$920)+SUMIF(JournalsC!E$14:E$920,TrialBalanceC!M259,JournalsC!J$14:J$920)</f>
        <v>0</v>
      </c>
      <c r="H259" s="363"/>
      <c r="I259" s="366">
        <f t="shared" si="47"/>
        <v>0</v>
      </c>
      <c r="J259" s="81"/>
      <c r="K259" s="54">
        <f t="shared" si="39"/>
        <v>0</v>
      </c>
      <c r="M259" s="192" t="str">
        <f t="shared" si="40"/>
        <v>6250/020ELECTRONIC EQUIPMENT - ACC DEPR</v>
      </c>
      <c r="N259" s="76"/>
      <c r="O259" s="77"/>
      <c r="P259" s="57"/>
      <c r="Q259" s="31"/>
    </row>
    <row r="260" spans="1:17" x14ac:dyDescent="0.2">
      <c r="A260" s="315"/>
      <c r="B260" s="60" t="s">
        <v>10</v>
      </c>
      <c r="C260" s="319" t="s">
        <v>790</v>
      </c>
      <c r="D260" s="357"/>
      <c r="E260" s="356"/>
      <c r="F260" s="86">
        <f>SUM(K260:K262)</f>
        <v>0</v>
      </c>
      <c r="G260" s="53">
        <f>SUMIF(JournalsC!D$14:D$920,TrialBalanceC!M260,JournalsC!J$14:J$920)+SUMIF(JournalsC!E$14:E$920,TrialBalanceC!M260,JournalsC!J$14:J$920)</f>
        <v>0</v>
      </c>
      <c r="H260" s="363"/>
      <c r="I260" s="366">
        <f t="shared" si="47"/>
        <v>0</v>
      </c>
      <c r="J260" s="81"/>
      <c r="K260" s="54">
        <f t="shared" si="39"/>
        <v>0</v>
      </c>
      <c r="M260" s="192" t="str">
        <f t="shared" si="40"/>
        <v>6250/021Electronic equipment - acc depr b/fwd</v>
      </c>
      <c r="N260" s="76"/>
      <c r="O260" s="77"/>
      <c r="P260" s="57"/>
      <c r="Q260" s="31"/>
    </row>
    <row r="261" spans="1:17" x14ac:dyDescent="0.2">
      <c r="A261" s="315"/>
      <c r="B261" s="60" t="s">
        <v>11</v>
      </c>
      <c r="C261" s="319" t="s">
        <v>791</v>
      </c>
      <c r="D261" s="357"/>
      <c r="E261" s="356"/>
      <c r="F261" s="86"/>
      <c r="G261" s="53">
        <f>SUMIF(JournalsC!D$14:D$920,TrialBalanceC!M261,JournalsC!J$14:J$920)+SUMIF(JournalsC!E$14:E$920,TrialBalanceC!M261,JournalsC!J$14:J$920)</f>
        <v>0</v>
      </c>
      <c r="H261" s="363"/>
      <c r="I261" s="366">
        <f t="shared" si="47"/>
        <v>0</v>
      </c>
      <c r="J261" s="81"/>
      <c r="K261" s="54">
        <f t="shared" si="39"/>
        <v>0</v>
      </c>
      <c r="M261" s="192" t="str">
        <f t="shared" si="40"/>
        <v>6250/022Electronic equipment - depr this year</v>
      </c>
      <c r="N261" s="76"/>
      <c r="O261" s="77"/>
      <c r="P261" s="57"/>
      <c r="Q261" s="31"/>
    </row>
    <row r="262" spans="1:17" x14ac:dyDescent="0.2">
      <c r="A262" s="315"/>
      <c r="B262" s="60" t="s">
        <v>12</v>
      </c>
      <c r="C262" s="319" t="s">
        <v>792</v>
      </c>
      <c r="D262" s="357"/>
      <c r="E262" s="356"/>
      <c r="F262" s="86"/>
      <c r="G262" s="53">
        <f>SUMIF(JournalsC!D$14:D$920,TrialBalanceC!M262,JournalsC!J$14:J$920)+SUMIF(JournalsC!E$14:E$920,TrialBalanceC!M262,JournalsC!J$14:J$920)</f>
        <v>0</v>
      </c>
      <c r="H262" s="363"/>
      <c r="I262" s="366">
        <f t="shared" si="47"/>
        <v>0</v>
      </c>
      <c r="J262" s="81"/>
      <c r="K262" s="54">
        <f t="shared" si="39"/>
        <v>0</v>
      </c>
      <c r="M262" s="192" t="str">
        <f t="shared" si="40"/>
        <v>6250/023Electronic equipment - acc depr on sales</v>
      </c>
      <c r="N262" s="76"/>
      <c r="O262" s="77"/>
      <c r="P262" s="57"/>
      <c r="Q262" s="31"/>
    </row>
    <row r="263" spans="1:17" x14ac:dyDescent="0.2">
      <c r="A263" s="315"/>
      <c r="B263" s="60" t="s">
        <v>15</v>
      </c>
      <c r="C263" s="316" t="s">
        <v>793</v>
      </c>
      <c r="D263" s="358"/>
      <c r="E263" s="356"/>
      <c r="F263" s="86"/>
      <c r="G263" s="53">
        <f>SUMIF(JournalsC!D$14:D$920,TrialBalanceC!M263,JournalsC!J$14:J$920)+SUMIF(JournalsC!E$14:E$920,TrialBalanceC!M263,JournalsC!J$14:J$920)</f>
        <v>0</v>
      </c>
      <c r="H263" s="363"/>
      <c r="I263" s="366">
        <f t="shared" si="47"/>
        <v>0</v>
      </c>
      <c r="J263" s="81"/>
      <c r="K263" s="54">
        <f t="shared" si="39"/>
        <v>0</v>
      </c>
      <c r="M263" s="192" t="str">
        <f t="shared" si="40"/>
        <v>6350/000FURNITURE AND FITTINGS - COST</v>
      </c>
      <c r="N263" s="76"/>
      <c r="O263" s="77"/>
      <c r="P263" s="57"/>
      <c r="Q263" s="31"/>
    </row>
    <row r="264" spans="1:17" x14ac:dyDescent="0.2">
      <c r="A264" s="315"/>
      <c r="B264" s="60" t="s">
        <v>16</v>
      </c>
      <c r="C264" s="319" t="s">
        <v>794</v>
      </c>
      <c r="D264" s="357"/>
      <c r="E264" s="356"/>
      <c r="F264" s="86">
        <f>SUM(K264:K266)</f>
        <v>0</v>
      </c>
      <c r="G264" s="53">
        <f>SUMIF(JournalsC!D$14:D$920,TrialBalanceC!M264,JournalsC!J$14:J$920)+SUMIF(JournalsC!E$14:E$920,TrialBalanceC!M264,JournalsC!J$14:J$920)</f>
        <v>0</v>
      </c>
      <c r="H264" s="363"/>
      <c r="I264" s="366">
        <f t="shared" si="47"/>
        <v>0</v>
      </c>
      <c r="J264" s="81"/>
      <c r="K264" s="54">
        <f t="shared" si="39"/>
        <v>0</v>
      </c>
      <c r="M264" s="192" t="str">
        <f t="shared" si="40"/>
        <v>6350/001Furniture and fittings - cost b/fwd</v>
      </c>
      <c r="N264" s="76"/>
      <c r="O264" s="77"/>
      <c r="P264" s="57"/>
      <c r="Q264" s="31"/>
    </row>
    <row r="265" spans="1:17" x14ac:dyDescent="0.2">
      <c r="A265" s="315"/>
      <c r="B265" s="60" t="s">
        <v>429</v>
      </c>
      <c r="C265" s="319" t="s">
        <v>795</v>
      </c>
      <c r="D265" s="357"/>
      <c r="E265" s="356"/>
      <c r="F265" s="86"/>
      <c r="G265" s="53">
        <f>SUMIF(JournalsC!D$14:D$920,TrialBalanceC!M265,JournalsC!J$14:J$920)+SUMIF(JournalsC!E$14:E$920,TrialBalanceC!M265,JournalsC!J$14:J$920)</f>
        <v>0</v>
      </c>
      <c r="H265" s="363"/>
      <c r="I265" s="366">
        <f t="shared" si="47"/>
        <v>0</v>
      </c>
      <c r="J265" s="81"/>
      <c r="K265" s="54">
        <f t="shared" si="39"/>
        <v>0</v>
      </c>
      <c r="M265" s="192" t="str">
        <f t="shared" si="40"/>
        <v>6350/002Furniture and fittings - additions</v>
      </c>
      <c r="N265" s="76"/>
      <c r="O265" s="77"/>
      <c r="P265" s="57"/>
      <c r="Q265" s="31"/>
    </row>
    <row r="266" spans="1:17" x14ac:dyDescent="0.2">
      <c r="A266" s="315"/>
      <c r="B266" s="60" t="s">
        <v>445</v>
      </c>
      <c r="C266" s="319" t="s">
        <v>796</v>
      </c>
      <c r="D266" s="357"/>
      <c r="E266" s="356"/>
      <c r="F266" s="86"/>
      <c r="G266" s="53">
        <f>SUMIF(JournalsC!D$14:D$920,TrialBalanceC!M266,JournalsC!J$14:J$920)+SUMIF(JournalsC!E$14:E$920,TrialBalanceC!M266,JournalsC!J$14:J$920)</f>
        <v>0</v>
      </c>
      <c r="H266" s="363"/>
      <c r="I266" s="366">
        <f t="shared" si="47"/>
        <v>0</v>
      </c>
      <c r="J266" s="81"/>
      <c r="K266" s="54">
        <f t="shared" si="39"/>
        <v>0</v>
      </c>
      <c r="M266" s="192" t="str">
        <f t="shared" si="40"/>
        <v>6350/003Furniture and fittings - cost of sales</v>
      </c>
      <c r="N266" s="76"/>
      <c r="O266" s="77"/>
      <c r="P266" s="57"/>
      <c r="Q266" s="31"/>
    </row>
    <row r="267" spans="1:17" x14ac:dyDescent="0.2">
      <c r="A267" s="315"/>
      <c r="B267" s="60" t="s">
        <v>274</v>
      </c>
      <c r="C267" s="316" t="s">
        <v>797</v>
      </c>
      <c r="D267" s="358"/>
      <c r="E267" s="356"/>
      <c r="F267" s="86"/>
      <c r="G267" s="53">
        <f>SUMIF(JournalsC!D$14:D$920,TrialBalanceC!M267,JournalsC!J$14:J$920)+SUMIF(JournalsC!E$14:E$920,TrialBalanceC!M267,JournalsC!J$14:J$920)</f>
        <v>0</v>
      </c>
      <c r="H267" s="363"/>
      <c r="I267" s="366">
        <f t="shared" si="47"/>
        <v>0</v>
      </c>
      <c r="J267" s="81"/>
      <c r="K267" s="54">
        <f t="shared" si="39"/>
        <v>0</v>
      </c>
      <c r="M267" s="192" t="str">
        <f t="shared" si="40"/>
        <v>6350/020FURNITURE AND FITTINGS - ACC DEPR</v>
      </c>
      <c r="N267" s="76"/>
      <c r="O267" s="77"/>
      <c r="P267" s="57"/>
      <c r="Q267" s="31"/>
    </row>
    <row r="268" spans="1:17" x14ac:dyDescent="0.2">
      <c r="A268" s="315"/>
      <c r="B268" s="60" t="s">
        <v>157</v>
      </c>
      <c r="C268" s="319" t="s">
        <v>798</v>
      </c>
      <c r="D268" s="357"/>
      <c r="E268" s="356"/>
      <c r="F268" s="86">
        <f>SUM(K268:K270)</f>
        <v>0</v>
      </c>
      <c r="G268" s="53">
        <f>SUMIF(JournalsC!D$14:D$920,TrialBalanceC!M268,JournalsC!J$14:J$920)+SUMIF(JournalsC!E$14:E$920,TrialBalanceC!M268,JournalsC!J$14:J$920)</f>
        <v>0</v>
      </c>
      <c r="H268" s="363"/>
      <c r="I268" s="366">
        <f t="shared" si="47"/>
        <v>0</v>
      </c>
      <c r="J268" s="81"/>
      <c r="K268" s="54">
        <f t="shared" si="39"/>
        <v>0</v>
      </c>
      <c r="M268" s="192" t="str">
        <f t="shared" si="40"/>
        <v>6350/021Furniture and fittings - acc depr b/fwd</v>
      </c>
      <c r="N268" s="76"/>
      <c r="O268" s="77"/>
      <c r="P268" s="57"/>
      <c r="Q268" s="31"/>
    </row>
    <row r="269" spans="1:17" x14ac:dyDescent="0.2">
      <c r="A269" s="315"/>
      <c r="B269" s="60" t="s">
        <v>158</v>
      </c>
      <c r="C269" s="319" t="s">
        <v>799</v>
      </c>
      <c r="D269" s="357"/>
      <c r="E269" s="356"/>
      <c r="F269" s="86"/>
      <c r="G269" s="53">
        <f>SUMIF(JournalsC!D$14:D$920,TrialBalanceC!M269,JournalsC!J$14:J$920)+SUMIF(JournalsC!E$14:E$920,TrialBalanceC!M269,JournalsC!J$14:J$920)</f>
        <v>0</v>
      </c>
      <c r="H269" s="363"/>
      <c r="I269" s="366">
        <f t="shared" si="47"/>
        <v>0</v>
      </c>
      <c r="J269" s="81"/>
      <c r="K269" s="54">
        <f t="shared" si="39"/>
        <v>0</v>
      </c>
      <c r="M269" s="192" t="str">
        <f t="shared" si="40"/>
        <v>6350/022Furniture and fittings - depr this year</v>
      </c>
      <c r="N269" s="76"/>
      <c r="O269" s="77"/>
      <c r="P269" s="57"/>
      <c r="Q269" s="31"/>
    </row>
    <row r="270" spans="1:17" x14ac:dyDescent="0.2">
      <c r="A270" s="315"/>
      <c r="B270" s="60" t="s">
        <v>251</v>
      </c>
      <c r="C270" s="319" t="s">
        <v>800</v>
      </c>
      <c r="D270" s="357"/>
      <c r="E270" s="356"/>
      <c r="F270" s="86"/>
      <c r="G270" s="53">
        <f>SUMIF(JournalsC!D$14:D$920,TrialBalanceC!M270,JournalsC!J$14:J$920)+SUMIF(JournalsC!E$14:E$920,TrialBalanceC!M270,JournalsC!J$14:J$920)</f>
        <v>0</v>
      </c>
      <c r="H270" s="363"/>
      <c r="I270" s="366">
        <f t="shared" si="47"/>
        <v>0</v>
      </c>
      <c r="J270" s="81"/>
      <c r="K270" s="54">
        <f t="shared" si="39"/>
        <v>0</v>
      </c>
      <c r="M270" s="192" t="str">
        <f t="shared" si="40"/>
        <v>6350/023Furniture and fittings - acc depr on sales</v>
      </c>
      <c r="N270" s="76"/>
      <c r="O270" s="77"/>
      <c r="P270" s="57"/>
      <c r="Q270" s="31"/>
    </row>
    <row r="271" spans="1:17" x14ac:dyDescent="0.2">
      <c r="A271" s="315"/>
      <c r="B271" s="60" t="s">
        <v>460</v>
      </c>
      <c r="C271" s="316" t="s">
        <v>1049</v>
      </c>
      <c r="D271" s="358"/>
      <c r="E271" s="356"/>
      <c r="F271" s="86"/>
      <c r="G271" s="53">
        <f>SUMIF(JournalsC!D$14:D$920,TrialBalanceC!M271,JournalsC!J$14:J$920)+SUMIF(JournalsC!E$14:E$920,TrialBalanceC!M271,JournalsC!J$14:J$920)</f>
        <v>0</v>
      </c>
      <c r="H271" s="363"/>
      <c r="I271" s="366">
        <f t="shared" si="47"/>
        <v>0</v>
      </c>
      <c r="J271" s="81"/>
      <c r="K271" s="54">
        <f t="shared" si="39"/>
        <v>0</v>
      </c>
      <c r="M271" s="192" t="str">
        <f t="shared" si="40"/>
        <v>7000/000INTANGIBLE ASSETS</v>
      </c>
      <c r="N271" s="76"/>
      <c r="O271" s="77"/>
      <c r="P271" s="57"/>
      <c r="Q271" s="31"/>
    </row>
    <row r="272" spans="1:17" x14ac:dyDescent="0.2">
      <c r="A272" s="315"/>
      <c r="B272" s="110" t="s">
        <v>1084</v>
      </c>
      <c r="C272" s="316" t="s">
        <v>1085</v>
      </c>
      <c r="D272" s="358"/>
      <c r="E272" s="356"/>
      <c r="F272" s="86"/>
      <c r="G272" s="53">
        <f>SUMIF(JournalsC!D$14:D$920,TrialBalanceC!M272,JournalsC!J$14:J$920)+SUMIF(JournalsC!E$14:E$920,TrialBalanceC!M272,JournalsC!J$14:J$920)</f>
        <v>0</v>
      </c>
      <c r="H272" s="363"/>
      <c r="I272" s="366">
        <f t="shared" ref="I272:I289" si="48">ROUND(D272-E272+G272+F272,0)</f>
        <v>0</v>
      </c>
      <c r="J272" s="81"/>
      <c r="K272" s="54">
        <f t="shared" ref="K272:K289" si="49">ROUND(SUM(A272),0)</f>
        <v>0</v>
      </c>
      <c r="M272" s="192" t="str">
        <f t="shared" ref="M272:M289" si="50">CONCATENATE(B272,C272)</f>
        <v>7000/001GOODWILL - COST</v>
      </c>
      <c r="N272" s="76"/>
      <c r="O272" s="77"/>
      <c r="P272" s="57"/>
      <c r="Q272" s="31"/>
    </row>
    <row r="273" spans="1:17" x14ac:dyDescent="0.2">
      <c r="A273" s="315"/>
      <c r="B273" s="110" t="s">
        <v>1086</v>
      </c>
      <c r="C273" s="319" t="s">
        <v>1087</v>
      </c>
      <c r="D273" s="358"/>
      <c r="E273" s="356"/>
      <c r="F273" s="86">
        <f>SUM(K273:K274)</f>
        <v>0</v>
      </c>
      <c r="G273" s="53">
        <f>SUMIF(JournalsC!D$14:D$920,TrialBalanceC!M273,JournalsC!J$14:J$920)+SUMIF(JournalsC!E$14:E$920,TrialBalanceC!M273,JournalsC!J$14:J$920)</f>
        <v>0</v>
      </c>
      <c r="H273" s="363"/>
      <c r="I273" s="366">
        <f t="shared" si="48"/>
        <v>0</v>
      </c>
      <c r="J273" s="81"/>
      <c r="K273" s="54">
        <f t="shared" si="49"/>
        <v>0</v>
      </c>
      <c r="M273" s="192" t="str">
        <f t="shared" si="50"/>
        <v>7000/002Goodwill - cost b/fwd</v>
      </c>
      <c r="N273" s="76"/>
      <c r="O273" s="77"/>
      <c r="P273" s="57"/>
      <c r="Q273" s="31"/>
    </row>
    <row r="274" spans="1:17" x14ac:dyDescent="0.2">
      <c r="A274" s="315"/>
      <c r="B274" s="110" t="s">
        <v>1088</v>
      </c>
      <c r="C274" s="319" t="s">
        <v>1089</v>
      </c>
      <c r="D274" s="358"/>
      <c r="E274" s="356"/>
      <c r="F274" s="86"/>
      <c r="G274" s="53">
        <f>SUMIF(JournalsC!D$14:D$920,TrialBalanceC!M274,JournalsC!J$14:J$920)+SUMIF(JournalsC!E$14:E$920,TrialBalanceC!M274,JournalsC!J$14:J$920)</f>
        <v>0</v>
      </c>
      <c r="H274" s="363"/>
      <c r="I274" s="366">
        <f t="shared" si="48"/>
        <v>0</v>
      </c>
      <c r="J274" s="81"/>
      <c r="K274" s="54">
        <f t="shared" si="49"/>
        <v>0</v>
      </c>
      <c r="M274" s="192" t="str">
        <f t="shared" si="50"/>
        <v>7000/003Goodwill - additions</v>
      </c>
      <c r="N274" s="76"/>
      <c r="O274" s="77"/>
      <c r="P274" s="57"/>
      <c r="Q274" s="31"/>
    </row>
    <row r="275" spans="1:17" x14ac:dyDescent="0.2">
      <c r="A275" s="315"/>
      <c r="B275" s="110" t="s">
        <v>1090</v>
      </c>
      <c r="C275" s="316" t="s">
        <v>1091</v>
      </c>
      <c r="D275" s="358"/>
      <c r="E275" s="356"/>
      <c r="F275" s="86"/>
      <c r="G275" s="53">
        <f>SUMIF(JournalsC!D$14:D$920,TrialBalanceC!M275,JournalsC!J$14:J$920)+SUMIF(JournalsC!E$14:E$920,TrialBalanceC!M275,JournalsC!J$14:J$920)</f>
        <v>0</v>
      </c>
      <c r="H275" s="363"/>
      <c r="I275" s="366">
        <f t="shared" si="48"/>
        <v>0</v>
      </c>
      <c r="J275" s="81"/>
      <c r="K275" s="54">
        <f t="shared" si="49"/>
        <v>0</v>
      </c>
      <c r="M275" s="192" t="str">
        <f t="shared" si="50"/>
        <v>7000/005GOODWILL - ACC AMORTISATION</v>
      </c>
      <c r="N275" s="76"/>
      <c r="O275" s="77"/>
      <c r="P275" s="57"/>
      <c r="Q275" s="31"/>
    </row>
    <row r="276" spans="1:17" x14ac:dyDescent="0.2">
      <c r="A276" s="315"/>
      <c r="B276" s="110" t="s">
        <v>1092</v>
      </c>
      <c r="C276" s="319" t="s">
        <v>1093</v>
      </c>
      <c r="D276" s="358"/>
      <c r="E276" s="356"/>
      <c r="F276" s="86">
        <f>SUM(K276:K277)</f>
        <v>0</v>
      </c>
      <c r="G276" s="53">
        <f>SUMIF(JournalsC!D$14:D$920,TrialBalanceC!M276,JournalsC!J$14:J$920)+SUMIF(JournalsC!E$14:E$920,TrialBalanceC!M276,JournalsC!J$14:J$920)</f>
        <v>0</v>
      </c>
      <c r="H276" s="363"/>
      <c r="I276" s="366">
        <f t="shared" si="48"/>
        <v>0</v>
      </c>
      <c r="J276" s="81"/>
      <c r="K276" s="54">
        <f t="shared" si="49"/>
        <v>0</v>
      </c>
      <c r="M276" s="192" t="str">
        <f t="shared" si="50"/>
        <v>7000/006Goodwill - acc amortisation b/fwd</v>
      </c>
      <c r="N276" s="76"/>
      <c r="O276" s="77"/>
      <c r="P276" s="57"/>
      <c r="Q276" s="31"/>
    </row>
    <row r="277" spans="1:17" x14ac:dyDescent="0.2">
      <c r="A277" s="315"/>
      <c r="B277" s="110" t="s">
        <v>1094</v>
      </c>
      <c r="C277" s="319" t="s">
        <v>1095</v>
      </c>
      <c r="D277" s="358"/>
      <c r="E277" s="356"/>
      <c r="F277" s="86"/>
      <c r="G277" s="53">
        <f>SUMIF(JournalsC!D$14:D$920,TrialBalanceC!M277,JournalsC!J$14:J$920)+SUMIF(JournalsC!E$14:E$920,TrialBalanceC!M277,JournalsC!J$14:J$920)</f>
        <v>0</v>
      </c>
      <c r="H277" s="363"/>
      <c r="I277" s="366">
        <f t="shared" si="48"/>
        <v>0</v>
      </c>
      <c r="J277" s="81"/>
      <c r="K277" s="54">
        <f t="shared" si="49"/>
        <v>0</v>
      </c>
      <c r="M277" s="192" t="str">
        <f t="shared" si="50"/>
        <v>7000/007Goodwill - amortisation this year</v>
      </c>
      <c r="N277" s="76"/>
      <c r="O277" s="77"/>
      <c r="P277" s="57"/>
      <c r="Q277" s="31"/>
    </row>
    <row r="278" spans="1:17" x14ac:dyDescent="0.2">
      <c r="A278" s="315"/>
      <c r="B278" s="110" t="s">
        <v>461</v>
      </c>
      <c r="C278" s="316" t="s">
        <v>1096</v>
      </c>
      <c r="D278" s="358"/>
      <c r="E278" s="356"/>
      <c r="F278" s="86"/>
      <c r="G278" s="53">
        <f>SUMIF(JournalsC!D$14:D$920,TrialBalanceC!M278,JournalsC!J$14:J$920)+SUMIF(JournalsC!E$14:E$920,TrialBalanceC!M278,JournalsC!J$14:J$920)</f>
        <v>0</v>
      </c>
      <c r="H278" s="363"/>
      <c r="I278" s="366">
        <f t="shared" si="48"/>
        <v>0</v>
      </c>
      <c r="J278" s="81"/>
      <c r="K278" s="54">
        <f t="shared" si="49"/>
        <v>0</v>
      </c>
      <c r="M278" s="192" t="str">
        <f t="shared" si="50"/>
        <v>7000/010GOODWILL - IMPAIRMENT</v>
      </c>
      <c r="N278" s="76"/>
      <c r="O278" s="77"/>
      <c r="P278" s="57"/>
      <c r="Q278" s="31"/>
    </row>
    <row r="279" spans="1:17" x14ac:dyDescent="0.2">
      <c r="A279" s="315"/>
      <c r="B279" s="110" t="s">
        <v>621</v>
      </c>
      <c r="C279" s="319" t="s">
        <v>1097</v>
      </c>
      <c r="D279" s="358"/>
      <c r="E279" s="356"/>
      <c r="F279" s="86">
        <f>SUM(K279:K280)</f>
        <v>0</v>
      </c>
      <c r="G279" s="53">
        <f>SUMIF(JournalsC!D$14:D$920,TrialBalanceC!M279,JournalsC!J$14:J$920)+SUMIF(JournalsC!E$14:E$920,TrialBalanceC!M279,JournalsC!J$14:J$920)</f>
        <v>0</v>
      </c>
      <c r="H279" s="363"/>
      <c r="I279" s="366">
        <f t="shared" si="48"/>
        <v>0</v>
      </c>
      <c r="J279" s="81"/>
      <c r="K279" s="54">
        <f t="shared" si="49"/>
        <v>0</v>
      </c>
      <c r="M279" s="192" t="str">
        <f t="shared" si="50"/>
        <v>7000/011Goodwill - impairment loss b/fwd</v>
      </c>
      <c r="N279" s="76"/>
      <c r="O279" s="77"/>
      <c r="P279" s="57"/>
      <c r="Q279" s="31"/>
    </row>
    <row r="280" spans="1:17" x14ac:dyDescent="0.2">
      <c r="A280" s="315"/>
      <c r="B280" s="110" t="s">
        <v>1098</v>
      </c>
      <c r="C280" s="319" t="s">
        <v>1099</v>
      </c>
      <c r="D280" s="358"/>
      <c r="E280" s="356"/>
      <c r="F280" s="86"/>
      <c r="G280" s="53">
        <f>SUMIF(JournalsC!D$14:D$920,TrialBalanceC!M280,JournalsC!J$14:J$920)+SUMIF(JournalsC!E$14:E$920,TrialBalanceC!M280,JournalsC!J$14:J$920)</f>
        <v>0</v>
      </c>
      <c r="H280" s="363"/>
      <c r="I280" s="366">
        <f t="shared" si="48"/>
        <v>0</v>
      </c>
      <c r="J280" s="81"/>
      <c r="K280" s="54">
        <f t="shared" si="49"/>
        <v>0</v>
      </c>
      <c r="M280" s="192" t="str">
        <f t="shared" si="50"/>
        <v>7000/012Goodwill - impairment loss this year</v>
      </c>
      <c r="N280" s="76"/>
      <c r="O280" s="77"/>
      <c r="P280" s="57"/>
      <c r="Q280" s="31"/>
    </row>
    <row r="281" spans="1:17" x14ac:dyDescent="0.2">
      <c r="A281" s="315"/>
      <c r="B281" s="110" t="s">
        <v>1100</v>
      </c>
      <c r="C281" s="316" t="s">
        <v>1101</v>
      </c>
      <c r="D281" s="358"/>
      <c r="E281" s="356"/>
      <c r="F281" s="86"/>
      <c r="G281" s="53">
        <f>SUMIF(JournalsC!D$14:D$920,TrialBalanceC!M281,JournalsC!J$14:J$920)+SUMIF(JournalsC!E$14:E$920,TrialBalanceC!M281,JournalsC!J$14:J$920)</f>
        <v>0</v>
      </c>
      <c r="H281" s="363"/>
      <c r="I281" s="366">
        <f t="shared" si="48"/>
        <v>0</v>
      </c>
      <c r="J281" s="81"/>
      <c r="K281" s="54">
        <f t="shared" si="49"/>
        <v>0</v>
      </c>
      <c r="M281" s="192" t="str">
        <f t="shared" si="50"/>
        <v>7000/021PREPAID LEASE AGREEMENT - COST</v>
      </c>
      <c r="N281" s="76"/>
      <c r="O281" s="77"/>
      <c r="P281" s="57"/>
      <c r="Q281" s="31"/>
    </row>
    <row r="282" spans="1:17" x14ac:dyDescent="0.2">
      <c r="A282" s="315"/>
      <c r="B282" s="110" t="s">
        <v>1102</v>
      </c>
      <c r="C282" s="319" t="s">
        <v>1103</v>
      </c>
      <c r="D282" s="358"/>
      <c r="E282" s="356"/>
      <c r="F282" s="86">
        <f>SUM(K282:K283)</f>
        <v>0</v>
      </c>
      <c r="G282" s="53">
        <f>SUMIF(JournalsC!D$14:D$920,TrialBalanceC!M282,JournalsC!J$14:J$920)+SUMIF(JournalsC!E$14:E$920,TrialBalanceC!M282,JournalsC!J$14:J$920)</f>
        <v>0</v>
      </c>
      <c r="H282" s="363"/>
      <c r="I282" s="366">
        <f t="shared" si="48"/>
        <v>0</v>
      </c>
      <c r="J282" s="81"/>
      <c r="K282" s="54">
        <f t="shared" si="49"/>
        <v>0</v>
      </c>
      <c r="M282" s="192" t="str">
        <f t="shared" si="50"/>
        <v>7000/022Prepaid lease agreement - cost b/fwd</v>
      </c>
      <c r="N282" s="76"/>
      <c r="O282" s="77"/>
      <c r="P282" s="57"/>
      <c r="Q282" s="31"/>
    </row>
    <row r="283" spans="1:17" x14ac:dyDescent="0.2">
      <c r="A283" s="315"/>
      <c r="B283" s="110" t="s">
        <v>1104</v>
      </c>
      <c r="C283" s="319" t="s">
        <v>1105</v>
      </c>
      <c r="D283" s="358"/>
      <c r="E283" s="356"/>
      <c r="F283" s="86"/>
      <c r="G283" s="53">
        <f>SUMIF(JournalsC!D$14:D$920,TrialBalanceC!M283,JournalsC!J$14:J$920)+SUMIF(JournalsC!E$14:E$920,TrialBalanceC!M283,JournalsC!J$14:J$920)</f>
        <v>0</v>
      </c>
      <c r="H283" s="363"/>
      <c r="I283" s="366">
        <f t="shared" si="48"/>
        <v>0</v>
      </c>
      <c r="J283" s="81"/>
      <c r="K283" s="54">
        <f t="shared" si="49"/>
        <v>0</v>
      </c>
      <c r="M283" s="192" t="str">
        <f t="shared" si="50"/>
        <v>7000/023Prepaid lease agreement - additions</v>
      </c>
      <c r="N283" s="76"/>
      <c r="O283" s="77"/>
      <c r="P283" s="57"/>
      <c r="Q283" s="31"/>
    </row>
    <row r="284" spans="1:17" x14ac:dyDescent="0.2">
      <c r="A284" s="315"/>
      <c r="B284" s="110" t="s">
        <v>462</v>
      </c>
      <c r="C284" s="316" t="s">
        <v>1106</v>
      </c>
      <c r="D284" s="358"/>
      <c r="E284" s="356"/>
      <c r="F284" s="86"/>
      <c r="G284" s="53">
        <f>SUMIF(JournalsC!D$14:D$920,TrialBalanceC!M284,JournalsC!J$14:J$920)+SUMIF(JournalsC!E$14:E$920,TrialBalanceC!M284,JournalsC!J$14:J$920)</f>
        <v>0</v>
      </c>
      <c r="H284" s="363"/>
      <c r="I284" s="366">
        <f t="shared" si="48"/>
        <v>0</v>
      </c>
      <c r="J284" s="81"/>
      <c r="K284" s="54">
        <f t="shared" si="49"/>
        <v>0</v>
      </c>
      <c r="M284" s="192" t="str">
        <f t="shared" si="50"/>
        <v>7000/025PREPAID LEASE AGREEMENT - ACC AMORTISATION</v>
      </c>
      <c r="N284" s="76"/>
      <c r="O284" s="77"/>
      <c r="P284" s="57"/>
      <c r="Q284" s="31"/>
    </row>
    <row r="285" spans="1:17" x14ac:dyDescent="0.2">
      <c r="A285" s="315"/>
      <c r="B285" s="110" t="s">
        <v>1107</v>
      </c>
      <c r="C285" s="319" t="s">
        <v>1108</v>
      </c>
      <c r="D285" s="358"/>
      <c r="E285" s="356"/>
      <c r="F285" s="86">
        <f>SUM(K285:K286)</f>
        <v>0</v>
      </c>
      <c r="G285" s="53">
        <f>SUMIF(JournalsC!D$14:D$920,TrialBalanceC!M285,JournalsC!J$14:J$920)+SUMIF(JournalsC!E$14:E$920,TrialBalanceC!M285,JournalsC!J$14:J$920)</f>
        <v>0</v>
      </c>
      <c r="H285" s="363"/>
      <c r="I285" s="366">
        <f t="shared" si="48"/>
        <v>0</v>
      </c>
      <c r="J285" s="81"/>
      <c r="K285" s="54">
        <f t="shared" si="49"/>
        <v>0</v>
      </c>
      <c r="M285" s="192" t="str">
        <f t="shared" si="50"/>
        <v>7000/026Prepaid lease agreement - acc amortisation b/fwd</v>
      </c>
      <c r="N285" s="76"/>
      <c r="O285" s="77"/>
      <c r="P285" s="57"/>
      <c r="Q285" s="31"/>
    </row>
    <row r="286" spans="1:17" x14ac:dyDescent="0.2">
      <c r="A286" s="315"/>
      <c r="B286" s="110" t="s">
        <v>1109</v>
      </c>
      <c r="C286" s="319" t="s">
        <v>1110</v>
      </c>
      <c r="D286" s="358"/>
      <c r="E286" s="356"/>
      <c r="F286" s="86"/>
      <c r="G286" s="53">
        <f>SUMIF(JournalsC!D$14:D$920,TrialBalanceC!M286,JournalsC!J$14:J$920)+SUMIF(JournalsC!E$14:E$920,TrialBalanceC!M286,JournalsC!J$14:J$920)</f>
        <v>0</v>
      </c>
      <c r="H286" s="363"/>
      <c r="I286" s="366">
        <f t="shared" si="48"/>
        <v>0</v>
      </c>
      <c r="J286" s="81"/>
      <c r="K286" s="54">
        <f t="shared" si="49"/>
        <v>0</v>
      </c>
      <c r="M286" s="192" t="str">
        <f t="shared" si="50"/>
        <v>7000/027Prepaid lease agreement - amortisation this year</v>
      </c>
      <c r="N286" s="76"/>
      <c r="O286" s="77"/>
      <c r="P286" s="57"/>
      <c r="Q286" s="31"/>
    </row>
    <row r="287" spans="1:17" x14ac:dyDescent="0.2">
      <c r="A287" s="315"/>
      <c r="B287" s="110" t="s">
        <v>1111</v>
      </c>
      <c r="C287" s="316" t="s">
        <v>1112</v>
      </c>
      <c r="D287" s="358"/>
      <c r="E287" s="356"/>
      <c r="F287" s="86"/>
      <c r="G287" s="53">
        <f>SUMIF(JournalsC!D$14:D$920,TrialBalanceC!M287,JournalsC!J$14:J$920)+SUMIF(JournalsC!E$14:E$920,TrialBalanceC!M287,JournalsC!J$14:J$920)</f>
        <v>0</v>
      </c>
      <c r="H287" s="363"/>
      <c r="I287" s="366">
        <f t="shared" si="48"/>
        <v>0</v>
      </c>
      <c r="J287" s="81"/>
      <c r="K287" s="54">
        <f t="shared" si="49"/>
        <v>0</v>
      </c>
      <c r="M287" s="192" t="str">
        <f t="shared" si="50"/>
        <v>7000/030PREPAID LEASE AGREEMENT - IMPAIRMENT</v>
      </c>
      <c r="N287" s="76"/>
      <c r="O287" s="77"/>
      <c r="P287" s="57"/>
      <c r="Q287" s="31"/>
    </row>
    <row r="288" spans="1:17" x14ac:dyDescent="0.2">
      <c r="A288" s="315"/>
      <c r="B288" s="110" t="s">
        <v>1113</v>
      </c>
      <c r="C288" s="319" t="s">
        <v>1114</v>
      </c>
      <c r="D288" s="358"/>
      <c r="E288" s="356"/>
      <c r="F288" s="86">
        <f>SUM(K288:K289)</f>
        <v>0</v>
      </c>
      <c r="G288" s="53">
        <f>SUMIF(JournalsC!D$14:D$920,TrialBalanceC!M288,JournalsC!J$14:J$920)+SUMIF(JournalsC!E$14:E$920,TrialBalanceC!M288,JournalsC!J$14:J$920)</f>
        <v>0</v>
      </c>
      <c r="H288" s="363"/>
      <c r="I288" s="366">
        <f t="shared" si="48"/>
        <v>0</v>
      </c>
      <c r="J288" s="81"/>
      <c r="K288" s="54">
        <f t="shared" si="49"/>
        <v>0</v>
      </c>
      <c r="M288" s="192" t="str">
        <f t="shared" si="50"/>
        <v>7000/031Prepaid lease agreement - impairment loss b/fwd</v>
      </c>
      <c r="N288" s="76"/>
      <c r="O288" s="77"/>
      <c r="P288" s="57"/>
      <c r="Q288" s="31"/>
    </row>
    <row r="289" spans="1:17" x14ac:dyDescent="0.2">
      <c r="A289" s="315"/>
      <c r="B289" s="110" t="s">
        <v>1115</v>
      </c>
      <c r="C289" s="319" t="s">
        <v>1116</v>
      </c>
      <c r="D289" s="358"/>
      <c r="E289" s="356"/>
      <c r="F289" s="86"/>
      <c r="G289" s="53">
        <f>SUMIF(JournalsC!D$14:D$920,TrialBalanceC!M289,JournalsC!J$14:J$920)+SUMIF(JournalsC!E$14:E$920,TrialBalanceC!M289,JournalsC!J$14:J$920)</f>
        <v>0</v>
      </c>
      <c r="H289" s="363"/>
      <c r="I289" s="366">
        <f t="shared" si="48"/>
        <v>0</v>
      </c>
      <c r="J289" s="81"/>
      <c r="K289" s="54">
        <f t="shared" si="49"/>
        <v>0</v>
      </c>
      <c r="M289" s="192" t="str">
        <f t="shared" si="50"/>
        <v>7000/032Prepaid lease agreement - impairment loss this year</v>
      </c>
      <c r="N289" s="76"/>
      <c r="O289" s="77"/>
      <c r="P289" s="57"/>
      <c r="Q289" s="31"/>
    </row>
    <row r="290" spans="1:17" x14ac:dyDescent="0.2">
      <c r="A290" s="315"/>
      <c r="B290" s="60" t="s">
        <v>463</v>
      </c>
      <c r="C290" s="316" t="s">
        <v>183</v>
      </c>
      <c r="D290" s="358"/>
      <c r="E290" s="356"/>
      <c r="F290" s="86"/>
      <c r="G290" s="53">
        <f>SUMIF(JournalsC!D$14:D$920,TrialBalanceC!M290,JournalsC!J$14:J$920)+SUMIF(JournalsC!E$14:E$920,TrialBalanceC!M290,JournalsC!J$14:J$920)</f>
        <v>0</v>
      </c>
      <c r="H290" s="363"/>
      <c r="I290" s="366">
        <f t="shared" si="47"/>
        <v>0</v>
      </c>
      <c r="J290" s="81"/>
      <c r="K290" s="54">
        <f t="shared" ref="K290:K387" si="51">ROUND(SUM(A290),0)</f>
        <v>0</v>
      </c>
      <c r="M290" s="192" t="str">
        <f t="shared" ref="M290:M387" si="52">CONCATENATE(B290,C290)</f>
        <v>7100/000INVESTMENTS</v>
      </c>
      <c r="N290" s="76"/>
      <c r="O290" s="77"/>
      <c r="P290" s="57"/>
      <c r="Q290" s="31"/>
    </row>
    <row r="291" spans="1:17" x14ac:dyDescent="0.2">
      <c r="A291" s="315"/>
      <c r="B291" s="60" t="s">
        <v>464</v>
      </c>
      <c r="C291" s="317" t="s">
        <v>465</v>
      </c>
      <c r="D291" s="357"/>
      <c r="E291" s="356"/>
      <c r="F291" s="86"/>
      <c r="G291" s="53">
        <f>SUMIF(JournalsC!D$14:D$920,TrialBalanceC!M291,JournalsC!J$14:J$920)+SUMIF(JournalsC!E$14:E$920,TrialBalanceC!M291,JournalsC!J$14:J$920)</f>
        <v>0</v>
      </c>
      <c r="H291" s="363"/>
      <c r="I291" s="366">
        <f t="shared" si="47"/>
        <v>0</v>
      </c>
      <c r="J291" s="81"/>
      <c r="K291" s="54">
        <f t="shared" si="51"/>
        <v>0</v>
      </c>
      <c r="M291" s="192" t="str">
        <f t="shared" si="52"/>
        <v>7100/100LISTED INVESTMENTS</v>
      </c>
      <c r="N291" s="76"/>
      <c r="O291" s="77"/>
      <c r="P291" s="57"/>
      <c r="Q291" s="31"/>
    </row>
    <row r="292" spans="1:17" x14ac:dyDescent="0.2">
      <c r="A292" s="315"/>
      <c r="B292" s="60" t="s">
        <v>466</v>
      </c>
      <c r="C292" s="352">
        <f>TrialBalance!C292</f>
        <v>0</v>
      </c>
      <c r="D292" s="357"/>
      <c r="E292" s="356"/>
      <c r="F292" s="86">
        <f>K292</f>
        <v>0</v>
      </c>
      <c r="G292" s="53">
        <f>SUMIF(JournalsC!D$14:D$920,TrialBalanceC!M292,JournalsC!J$14:J$920)+SUMIF(JournalsC!E$14:E$920,TrialBalanceC!M292,JournalsC!J$14:J$920)</f>
        <v>0</v>
      </c>
      <c r="H292" s="363"/>
      <c r="I292" s="366">
        <f t="shared" si="47"/>
        <v>0</v>
      </c>
      <c r="J292" s="81"/>
      <c r="K292" s="54">
        <f t="shared" si="51"/>
        <v>0</v>
      </c>
      <c r="M292" s="192" t="str">
        <f t="shared" si="52"/>
        <v>7100/1010</v>
      </c>
      <c r="N292" s="76"/>
      <c r="O292" s="77"/>
      <c r="P292" s="57"/>
      <c r="Q292" s="31"/>
    </row>
    <row r="293" spans="1:17" x14ac:dyDescent="0.2">
      <c r="A293" s="315"/>
      <c r="B293" s="60" t="s">
        <v>467</v>
      </c>
      <c r="C293" s="352">
        <f>TrialBalance!C293</f>
        <v>0</v>
      </c>
      <c r="D293" s="357"/>
      <c r="E293" s="356"/>
      <c r="F293" s="86">
        <f t="shared" ref="F293:F375" si="53">K293</f>
        <v>0</v>
      </c>
      <c r="G293" s="53">
        <f>SUMIF(JournalsC!D$14:D$920,TrialBalanceC!M293,JournalsC!J$14:J$920)+SUMIF(JournalsC!E$14:E$920,TrialBalanceC!M293,JournalsC!J$14:J$920)</f>
        <v>0</v>
      </c>
      <c r="H293" s="363"/>
      <c r="I293" s="366">
        <f t="shared" si="47"/>
        <v>0</v>
      </c>
      <c r="J293" s="81"/>
      <c r="K293" s="54">
        <f t="shared" si="51"/>
        <v>0</v>
      </c>
      <c r="M293" s="192" t="str">
        <f t="shared" si="52"/>
        <v>7100/1020</v>
      </c>
      <c r="N293" s="76"/>
      <c r="O293" s="77"/>
      <c r="P293" s="57"/>
      <c r="Q293" s="31"/>
    </row>
    <row r="294" spans="1:17" x14ac:dyDescent="0.2">
      <c r="A294" s="315"/>
      <c r="B294" s="60" t="s">
        <v>468</v>
      </c>
      <c r="C294" s="352">
        <f>TrialBalance!C294</f>
        <v>0</v>
      </c>
      <c r="D294" s="357"/>
      <c r="E294" s="356"/>
      <c r="F294" s="86">
        <f t="shared" si="53"/>
        <v>0</v>
      </c>
      <c r="G294" s="53">
        <f>SUMIF(JournalsC!D$14:D$920,TrialBalanceC!M294,JournalsC!J$14:J$920)+SUMIF(JournalsC!E$14:E$920,TrialBalanceC!M294,JournalsC!J$14:J$920)</f>
        <v>0</v>
      </c>
      <c r="H294" s="363"/>
      <c r="I294" s="366">
        <f t="shared" si="47"/>
        <v>0</v>
      </c>
      <c r="J294" s="81"/>
      <c r="K294" s="54">
        <f t="shared" si="51"/>
        <v>0</v>
      </c>
      <c r="M294" s="192" t="str">
        <f t="shared" si="52"/>
        <v>7100/1030</v>
      </c>
      <c r="N294" s="76"/>
      <c r="O294" s="77"/>
      <c r="P294" s="57"/>
      <c r="Q294" s="31"/>
    </row>
    <row r="295" spans="1:17" x14ac:dyDescent="0.2">
      <c r="A295" s="315"/>
      <c r="B295" s="60" t="s">
        <v>469</v>
      </c>
      <c r="C295" s="352">
        <f>TrialBalance!C295</f>
        <v>0</v>
      </c>
      <c r="D295" s="357"/>
      <c r="E295" s="356"/>
      <c r="F295" s="86">
        <f t="shared" si="53"/>
        <v>0</v>
      </c>
      <c r="G295" s="53">
        <f>SUMIF(JournalsC!D$14:D$920,TrialBalanceC!M295,JournalsC!J$14:J$920)+SUMIF(JournalsC!E$14:E$920,TrialBalanceC!M295,JournalsC!J$14:J$920)</f>
        <v>0</v>
      </c>
      <c r="H295" s="363"/>
      <c r="I295" s="366">
        <f t="shared" si="47"/>
        <v>0</v>
      </c>
      <c r="J295" s="81"/>
      <c r="K295" s="54">
        <f t="shared" si="51"/>
        <v>0</v>
      </c>
      <c r="M295" s="192" t="str">
        <f t="shared" si="52"/>
        <v>7100/1040</v>
      </c>
      <c r="N295" s="76"/>
      <c r="O295" s="77"/>
      <c r="P295" s="57"/>
      <c r="Q295" s="31"/>
    </row>
    <row r="296" spans="1:17" x14ac:dyDescent="0.2">
      <c r="A296" s="315"/>
      <c r="B296" s="60" t="s">
        <v>470</v>
      </c>
      <c r="C296" s="352">
        <f>TrialBalance!C296</f>
        <v>0</v>
      </c>
      <c r="D296" s="357"/>
      <c r="E296" s="356"/>
      <c r="F296" s="86">
        <f t="shared" si="53"/>
        <v>0</v>
      </c>
      <c r="G296" s="53">
        <f>SUMIF(JournalsC!D$14:D$920,TrialBalanceC!M296,JournalsC!J$14:J$920)+SUMIF(JournalsC!E$14:E$920,TrialBalanceC!M296,JournalsC!J$14:J$920)</f>
        <v>0</v>
      </c>
      <c r="H296" s="363"/>
      <c r="I296" s="366">
        <f t="shared" si="47"/>
        <v>0</v>
      </c>
      <c r="J296" s="81"/>
      <c r="K296" s="54">
        <f t="shared" si="51"/>
        <v>0</v>
      </c>
      <c r="M296" s="192" t="str">
        <f t="shared" si="52"/>
        <v>7100/1050</v>
      </c>
      <c r="N296" s="76"/>
      <c r="O296" s="77"/>
      <c r="P296" s="57"/>
      <c r="Q296" s="31"/>
    </row>
    <row r="297" spans="1:17" x14ac:dyDescent="0.2">
      <c r="A297" s="315"/>
      <c r="B297" s="60" t="s">
        <v>471</v>
      </c>
      <c r="C297" s="319" t="s">
        <v>920</v>
      </c>
      <c r="D297" s="358"/>
      <c r="E297" s="356"/>
      <c r="F297" s="86"/>
      <c r="G297" s="53">
        <f>SUMIF(JournalsC!D$14:D$920,TrialBalanceC!M297,JournalsC!J$14:J$920)+SUMIF(JournalsC!E$14:E$920,TrialBalanceC!M297,JournalsC!J$14:J$920)</f>
        <v>0</v>
      </c>
      <c r="H297" s="363"/>
      <c r="I297" s="366">
        <f t="shared" si="47"/>
        <v>0</v>
      </c>
      <c r="J297" s="81"/>
      <c r="K297" s="54">
        <f t="shared" si="51"/>
        <v>0</v>
      </c>
      <c r="M297" s="192" t="str">
        <f t="shared" si="52"/>
        <v>7100/200SHARES IN PRIVATE COMPANIES</v>
      </c>
      <c r="N297" s="76"/>
      <c r="O297" s="77"/>
      <c r="P297" s="57"/>
      <c r="Q297" s="31"/>
    </row>
    <row r="298" spans="1:17" x14ac:dyDescent="0.2">
      <c r="A298" s="315"/>
      <c r="B298" s="60" t="s">
        <v>472</v>
      </c>
      <c r="C298" s="352">
        <f>TrialBalance!C298</f>
        <v>0</v>
      </c>
      <c r="D298" s="359"/>
      <c r="E298" s="356"/>
      <c r="F298" s="86">
        <f t="shared" si="53"/>
        <v>0</v>
      </c>
      <c r="G298" s="53">
        <f>SUMIF(JournalsC!D$14:D$920,TrialBalanceC!M298,JournalsC!J$14:J$920)+SUMIF(JournalsC!E$14:E$920,TrialBalanceC!M298,JournalsC!J$14:J$920)</f>
        <v>0</v>
      </c>
      <c r="H298" s="363"/>
      <c r="I298" s="366">
        <f t="shared" si="47"/>
        <v>0</v>
      </c>
      <c r="J298" s="81"/>
      <c r="K298" s="54">
        <f t="shared" si="51"/>
        <v>0</v>
      </c>
      <c r="M298" s="192" t="str">
        <f t="shared" si="52"/>
        <v>7100/2010</v>
      </c>
      <c r="N298" s="76"/>
      <c r="O298" s="77"/>
      <c r="P298" s="57"/>
      <c r="Q298" s="31"/>
    </row>
    <row r="299" spans="1:17" x14ac:dyDescent="0.2">
      <c r="A299" s="315"/>
      <c r="B299" s="60" t="s">
        <v>473</v>
      </c>
      <c r="C299" s="352">
        <f>TrialBalance!C299</f>
        <v>0</v>
      </c>
      <c r="D299" s="359"/>
      <c r="E299" s="356"/>
      <c r="F299" s="86">
        <f t="shared" si="53"/>
        <v>0</v>
      </c>
      <c r="G299" s="53">
        <f>SUMIF(JournalsC!D$14:D$920,TrialBalanceC!M299,JournalsC!J$14:J$920)+SUMIF(JournalsC!E$14:E$920,TrialBalanceC!M299,JournalsC!J$14:J$920)</f>
        <v>0</v>
      </c>
      <c r="H299" s="363"/>
      <c r="I299" s="366">
        <f t="shared" si="47"/>
        <v>0</v>
      </c>
      <c r="J299" s="81"/>
      <c r="K299" s="54">
        <f t="shared" si="51"/>
        <v>0</v>
      </c>
      <c r="M299" s="192" t="str">
        <f t="shared" si="52"/>
        <v>7100/2020</v>
      </c>
      <c r="N299" s="76"/>
      <c r="O299" s="77"/>
      <c r="P299" s="57"/>
      <c r="Q299" s="31"/>
    </row>
    <row r="300" spans="1:17" x14ac:dyDescent="0.2">
      <c r="A300" s="315"/>
      <c r="B300" s="60" t="s">
        <v>474</v>
      </c>
      <c r="C300" s="352">
        <f>TrialBalance!C300</f>
        <v>0</v>
      </c>
      <c r="D300" s="357"/>
      <c r="E300" s="356"/>
      <c r="F300" s="86">
        <f t="shared" si="53"/>
        <v>0</v>
      </c>
      <c r="G300" s="53">
        <f>SUMIF(JournalsC!D$14:D$920,TrialBalanceC!M300,JournalsC!J$14:J$920)+SUMIF(JournalsC!E$14:E$920,TrialBalanceC!M300,JournalsC!J$14:J$920)</f>
        <v>0</v>
      </c>
      <c r="H300" s="363"/>
      <c r="I300" s="366">
        <f t="shared" si="47"/>
        <v>0</v>
      </c>
      <c r="J300" s="81"/>
      <c r="K300" s="54">
        <f t="shared" si="51"/>
        <v>0</v>
      </c>
      <c r="M300" s="192" t="str">
        <f t="shared" si="52"/>
        <v>7100/2030</v>
      </c>
      <c r="N300" s="76"/>
      <c r="O300" s="77"/>
      <c r="P300" s="57"/>
      <c r="Q300" s="31"/>
    </row>
    <row r="301" spans="1:17" x14ac:dyDescent="0.2">
      <c r="A301" s="315"/>
      <c r="B301" s="60" t="s">
        <v>475</v>
      </c>
      <c r="C301" s="352">
        <f>TrialBalance!C301</f>
        <v>0</v>
      </c>
      <c r="D301" s="357"/>
      <c r="E301" s="356"/>
      <c r="F301" s="86">
        <f t="shared" si="53"/>
        <v>0</v>
      </c>
      <c r="G301" s="53">
        <f>SUMIF(JournalsC!D$14:D$920,TrialBalanceC!M301,JournalsC!J$14:J$920)+SUMIF(JournalsC!E$14:E$920,TrialBalanceC!M301,JournalsC!J$14:J$920)</f>
        <v>0</v>
      </c>
      <c r="H301" s="363"/>
      <c r="I301" s="366">
        <f t="shared" si="47"/>
        <v>0</v>
      </c>
      <c r="J301" s="81"/>
      <c r="K301" s="54">
        <f t="shared" si="51"/>
        <v>0</v>
      </c>
      <c r="M301" s="192" t="str">
        <f t="shared" si="52"/>
        <v>7100/2040</v>
      </c>
      <c r="N301" s="76"/>
      <c r="O301" s="77"/>
      <c r="P301" s="57"/>
      <c r="Q301" s="31"/>
    </row>
    <row r="302" spans="1:17" x14ac:dyDescent="0.2">
      <c r="A302" s="315"/>
      <c r="B302" s="60" t="s">
        <v>159</v>
      </c>
      <c r="C302" s="352">
        <f>TrialBalance!C302</f>
        <v>0</v>
      </c>
      <c r="D302" s="357"/>
      <c r="E302" s="356"/>
      <c r="F302" s="86">
        <f t="shared" si="53"/>
        <v>0</v>
      </c>
      <c r="G302" s="53">
        <f>SUMIF(JournalsC!D$14:D$920,TrialBalanceC!M302,JournalsC!J$14:J$920)+SUMIF(JournalsC!E$14:E$920,TrialBalanceC!M302,JournalsC!J$14:J$920)</f>
        <v>0</v>
      </c>
      <c r="H302" s="363"/>
      <c r="I302" s="366">
        <f t="shared" si="47"/>
        <v>0</v>
      </c>
      <c r="J302" s="81"/>
      <c r="K302" s="54">
        <f t="shared" si="51"/>
        <v>0</v>
      </c>
      <c r="M302" s="192" t="str">
        <f t="shared" si="52"/>
        <v>7100/2050</v>
      </c>
      <c r="N302" s="76"/>
      <c r="O302" s="77"/>
      <c r="P302" s="57"/>
      <c r="Q302" s="31"/>
    </row>
    <row r="303" spans="1:17" x14ac:dyDescent="0.2">
      <c r="A303" s="315"/>
      <c r="B303" s="110" t="s">
        <v>904</v>
      </c>
      <c r="C303" s="352">
        <f>TrialBalance!C303</f>
        <v>0</v>
      </c>
      <c r="D303" s="357"/>
      <c r="E303" s="356"/>
      <c r="F303" s="86">
        <f t="shared" ref="F303:F311" si="54">K303</f>
        <v>0</v>
      </c>
      <c r="G303" s="53">
        <f>SUMIF(JournalsC!D$14:D$920,TrialBalanceC!M303,JournalsC!J$14:J$920)+SUMIF(JournalsC!E$14:E$920,TrialBalanceC!M303,JournalsC!J$14:J$920)</f>
        <v>0</v>
      </c>
      <c r="H303" s="363"/>
      <c r="I303" s="366">
        <f t="shared" ref="I303:I311" si="55">ROUND(D303-E303+G303+F303,0)</f>
        <v>0</v>
      </c>
      <c r="J303" s="81"/>
      <c r="K303" s="54">
        <f t="shared" ref="K303:K311" si="56">ROUND(SUM(A303),0)</f>
        <v>0</v>
      </c>
      <c r="M303" s="192" t="str">
        <f t="shared" ref="M303:M312" si="57">CONCATENATE(B303,C303)</f>
        <v>7100/2060</v>
      </c>
      <c r="N303" s="76"/>
      <c r="O303" s="77"/>
      <c r="P303" s="57"/>
      <c r="Q303" s="31"/>
    </row>
    <row r="304" spans="1:17" x14ac:dyDescent="0.2">
      <c r="A304" s="315"/>
      <c r="B304" s="110" t="s">
        <v>905</v>
      </c>
      <c r="C304" s="352">
        <f>TrialBalance!C304</f>
        <v>0</v>
      </c>
      <c r="D304" s="357"/>
      <c r="E304" s="356"/>
      <c r="F304" s="86">
        <f t="shared" si="54"/>
        <v>0</v>
      </c>
      <c r="G304" s="53">
        <f>SUMIF(JournalsC!D$14:D$920,TrialBalanceC!M304,JournalsC!J$14:J$920)+SUMIF(JournalsC!E$14:E$920,TrialBalanceC!M304,JournalsC!J$14:J$920)</f>
        <v>0</v>
      </c>
      <c r="H304" s="363"/>
      <c r="I304" s="366">
        <f t="shared" si="55"/>
        <v>0</v>
      </c>
      <c r="J304" s="81"/>
      <c r="K304" s="54">
        <f t="shared" si="56"/>
        <v>0</v>
      </c>
      <c r="M304" s="192" t="str">
        <f t="shared" si="57"/>
        <v>7100/2070</v>
      </c>
      <c r="N304" s="76"/>
      <c r="O304" s="77"/>
      <c r="P304" s="57"/>
      <c r="Q304" s="31"/>
    </row>
    <row r="305" spans="1:17" x14ac:dyDescent="0.2">
      <c r="A305" s="315"/>
      <c r="B305" s="110" t="s">
        <v>906</v>
      </c>
      <c r="C305" s="352">
        <f>TrialBalance!C305</f>
        <v>0</v>
      </c>
      <c r="D305" s="357"/>
      <c r="E305" s="356"/>
      <c r="F305" s="86">
        <f t="shared" si="54"/>
        <v>0</v>
      </c>
      <c r="G305" s="53">
        <f>SUMIF(JournalsC!D$14:D$920,TrialBalanceC!M305,JournalsC!J$14:J$920)+SUMIF(JournalsC!E$14:E$920,TrialBalanceC!M305,JournalsC!J$14:J$920)</f>
        <v>0</v>
      </c>
      <c r="H305" s="363"/>
      <c r="I305" s="366">
        <f t="shared" si="55"/>
        <v>0</v>
      </c>
      <c r="J305" s="81"/>
      <c r="K305" s="54">
        <f t="shared" si="56"/>
        <v>0</v>
      </c>
      <c r="M305" s="192" t="str">
        <f t="shared" si="57"/>
        <v>7100/2080</v>
      </c>
      <c r="N305" s="76"/>
      <c r="O305" s="77"/>
      <c r="P305" s="57"/>
      <c r="Q305" s="31"/>
    </row>
    <row r="306" spans="1:17" x14ac:dyDescent="0.2">
      <c r="A306" s="315"/>
      <c r="B306" s="110" t="s">
        <v>907</v>
      </c>
      <c r="C306" s="352">
        <f>TrialBalance!C306</f>
        <v>0</v>
      </c>
      <c r="D306" s="357"/>
      <c r="E306" s="356"/>
      <c r="F306" s="86">
        <f t="shared" si="54"/>
        <v>0</v>
      </c>
      <c r="G306" s="53">
        <f>SUMIF(JournalsC!D$14:D$920,TrialBalanceC!M306,JournalsC!J$14:J$920)+SUMIF(JournalsC!E$14:E$920,TrialBalanceC!M306,JournalsC!J$14:J$920)</f>
        <v>0</v>
      </c>
      <c r="H306" s="363"/>
      <c r="I306" s="366">
        <f t="shared" si="55"/>
        <v>0</v>
      </c>
      <c r="J306" s="81"/>
      <c r="K306" s="54">
        <f t="shared" si="56"/>
        <v>0</v>
      </c>
      <c r="M306" s="192" t="str">
        <f t="shared" si="57"/>
        <v>7100/2090</v>
      </c>
      <c r="N306" s="76"/>
      <c r="O306" s="77"/>
      <c r="P306" s="57"/>
      <c r="Q306" s="31"/>
    </row>
    <row r="307" spans="1:17" x14ac:dyDescent="0.2">
      <c r="A307" s="315"/>
      <c r="B307" s="110" t="s">
        <v>908</v>
      </c>
      <c r="C307" s="352">
        <f>TrialBalance!C307</f>
        <v>0</v>
      </c>
      <c r="D307" s="357"/>
      <c r="E307" s="356"/>
      <c r="F307" s="86">
        <f t="shared" si="54"/>
        <v>0</v>
      </c>
      <c r="G307" s="53">
        <f>SUMIF(JournalsC!D$14:D$920,TrialBalanceC!M307,JournalsC!J$14:J$920)+SUMIF(JournalsC!E$14:E$920,TrialBalanceC!M307,JournalsC!J$14:J$920)</f>
        <v>0</v>
      </c>
      <c r="H307" s="363"/>
      <c r="I307" s="366">
        <f t="shared" si="55"/>
        <v>0</v>
      </c>
      <c r="J307" s="81"/>
      <c r="K307" s="54">
        <f t="shared" si="56"/>
        <v>0</v>
      </c>
      <c r="M307" s="192" t="str">
        <f t="shared" si="57"/>
        <v>7100/2100</v>
      </c>
      <c r="N307" s="76"/>
      <c r="O307" s="77"/>
      <c r="P307" s="57"/>
      <c r="Q307" s="31"/>
    </row>
    <row r="308" spans="1:17" x14ac:dyDescent="0.2">
      <c r="A308" s="315"/>
      <c r="B308" s="110" t="s">
        <v>909</v>
      </c>
      <c r="C308" s="352">
        <f>TrialBalance!C308</f>
        <v>0</v>
      </c>
      <c r="D308" s="357"/>
      <c r="E308" s="356"/>
      <c r="F308" s="86">
        <f t="shared" si="54"/>
        <v>0</v>
      </c>
      <c r="G308" s="53">
        <f>SUMIF(JournalsC!D$14:D$920,TrialBalanceC!M308,JournalsC!J$14:J$920)+SUMIF(JournalsC!E$14:E$920,TrialBalanceC!M308,JournalsC!J$14:J$920)</f>
        <v>0</v>
      </c>
      <c r="H308" s="363"/>
      <c r="I308" s="366">
        <f t="shared" si="55"/>
        <v>0</v>
      </c>
      <c r="J308" s="81"/>
      <c r="K308" s="54">
        <f t="shared" si="56"/>
        <v>0</v>
      </c>
      <c r="M308" s="192" t="str">
        <f t="shared" si="57"/>
        <v>7100/2110</v>
      </c>
      <c r="N308" s="76"/>
      <c r="O308" s="77"/>
      <c r="P308" s="57"/>
      <c r="Q308" s="31"/>
    </row>
    <row r="309" spans="1:17" x14ac:dyDescent="0.2">
      <c r="A309" s="315"/>
      <c r="B309" s="110" t="s">
        <v>910</v>
      </c>
      <c r="C309" s="352">
        <f>TrialBalance!C309</f>
        <v>0</v>
      </c>
      <c r="D309" s="357"/>
      <c r="E309" s="356"/>
      <c r="F309" s="86">
        <f t="shared" si="54"/>
        <v>0</v>
      </c>
      <c r="G309" s="53">
        <f>SUMIF(JournalsC!D$14:D$920,TrialBalanceC!M309,JournalsC!J$14:J$920)+SUMIF(JournalsC!E$14:E$920,TrialBalanceC!M309,JournalsC!J$14:J$920)</f>
        <v>0</v>
      </c>
      <c r="H309" s="363"/>
      <c r="I309" s="366">
        <f t="shared" si="55"/>
        <v>0</v>
      </c>
      <c r="J309" s="81"/>
      <c r="K309" s="54">
        <f t="shared" si="56"/>
        <v>0</v>
      </c>
      <c r="M309" s="192" t="str">
        <f t="shared" si="57"/>
        <v>7100/2120</v>
      </c>
      <c r="N309" s="76"/>
      <c r="O309" s="77"/>
      <c r="P309" s="57"/>
      <c r="Q309" s="31"/>
    </row>
    <row r="310" spans="1:17" x14ac:dyDescent="0.2">
      <c r="A310" s="315"/>
      <c r="B310" s="110" t="s">
        <v>911</v>
      </c>
      <c r="C310" s="352">
        <f>TrialBalance!C310</f>
        <v>0</v>
      </c>
      <c r="D310" s="357"/>
      <c r="E310" s="356"/>
      <c r="F310" s="86">
        <f t="shared" si="54"/>
        <v>0</v>
      </c>
      <c r="G310" s="53">
        <f>SUMIF(JournalsC!D$14:D$920,TrialBalanceC!M310,JournalsC!J$14:J$920)+SUMIF(JournalsC!E$14:E$920,TrialBalanceC!M310,JournalsC!J$14:J$920)</f>
        <v>0</v>
      </c>
      <c r="H310" s="363"/>
      <c r="I310" s="366">
        <f t="shared" si="55"/>
        <v>0</v>
      </c>
      <c r="J310" s="81"/>
      <c r="K310" s="54">
        <f t="shared" si="56"/>
        <v>0</v>
      </c>
      <c r="M310" s="192" t="str">
        <f t="shared" si="57"/>
        <v>7100/2130</v>
      </c>
      <c r="N310" s="76"/>
      <c r="O310" s="77"/>
      <c r="P310" s="57"/>
      <c r="Q310" s="31"/>
    </row>
    <row r="311" spans="1:17" x14ac:dyDescent="0.2">
      <c r="A311" s="315"/>
      <c r="B311" s="110" t="s">
        <v>912</v>
      </c>
      <c r="C311" s="352">
        <f>TrialBalance!C311</f>
        <v>0</v>
      </c>
      <c r="D311" s="357"/>
      <c r="E311" s="356"/>
      <c r="F311" s="86">
        <f t="shared" si="54"/>
        <v>0</v>
      </c>
      <c r="G311" s="53">
        <f>SUMIF(JournalsC!D$14:D$920,TrialBalanceC!M311,JournalsC!J$14:J$920)+SUMIF(JournalsC!E$14:E$920,TrialBalanceC!M311,JournalsC!J$14:J$920)</f>
        <v>0</v>
      </c>
      <c r="H311" s="363"/>
      <c r="I311" s="366">
        <f t="shared" si="55"/>
        <v>0</v>
      </c>
      <c r="J311" s="81"/>
      <c r="K311" s="54">
        <f t="shared" si="56"/>
        <v>0</v>
      </c>
      <c r="M311" s="192" t="str">
        <f t="shared" si="57"/>
        <v>7100/2140</v>
      </c>
      <c r="N311" s="76"/>
      <c r="O311" s="77"/>
      <c r="P311" s="57"/>
      <c r="Q311" s="31"/>
    </row>
    <row r="312" spans="1:17" x14ac:dyDescent="0.2">
      <c r="A312" s="315"/>
      <c r="B312" s="110" t="s">
        <v>913</v>
      </c>
      <c r="C312" s="352">
        <f>TrialBalance!C312</f>
        <v>0</v>
      </c>
      <c r="D312" s="357"/>
      <c r="E312" s="356"/>
      <c r="F312" s="86">
        <f>K312</f>
        <v>0</v>
      </c>
      <c r="G312" s="53">
        <f>SUMIF(JournalsC!D$14:D$920,TrialBalanceC!M312,JournalsC!J$14:J$920)+SUMIF(JournalsC!E$14:E$920,TrialBalanceC!M312,JournalsC!J$14:J$920)</f>
        <v>0</v>
      </c>
      <c r="H312" s="363"/>
      <c r="I312" s="366">
        <f>ROUND(D312-E312+G312+F312,0)</f>
        <v>0</v>
      </c>
      <c r="J312" s="81"/>
      <c r="K312" s="54">
        <f>ROUND(SUM(A312),0)</f>
        <v>0</v>
      </c>
      <c r="M312" s="192" t="str">
        <f t="shared" si="57"/>
        <v>7100/2150</v>
      </c>
      <c r="N312" s="76"/>
      <c r="O312" s="77"/>
      <c r="P312" s="57"/>
      <c r="Q312" s="31"/>
    </row>
    <row r="313" spans="1:17" x14ac:dyDescent="0.2">
      <c r="A313" s="315"/>
      <c r="B313" s="110" t="s">
        <v>921</v>
      </c>
      <c r="C313" s="319" t="s">
        <v>922</v>
      </c>
      <c r="D313" s="357"/>
      <c r="E313" s="356"/>
      <c r="F313" s="86"/>
      <c r="G313" s="53">
        <f>SUMIF(JournalsC!D$14:D$920,TrialBalanceC!M313,JournalsC!J$14:J$920)+SUMIF(JournalsC!E$14:E$920,TrialBalanceC!M313,JournalsC!J$14:J$920)</f>
        <v>0</v>
      </c>
      <c r="H313" s="363"/>
      <c r="I313" s="366">
        <f>ROUND(D313-E313+G313+F313,0)</f>
        <v>0</v>
      </c>
      <c r="J313" s="81"/>
      <c r="K313" s="54">
        <f>ROUND(SUM(A313),0)</f>
        <v>0</v>
      </c>
      <c r="M313" s="192" t="str">
        <f t="shared" ref="M313" si="58">CONCATENATE(B313,C313)</f>
        <v>7100/250MEMBER'S INTEREST IN CLOSE CORPORATIONS</v>
      </c>
      <c r="N313" s="76"/>
      <c r="O313" s="77"/>
      <c r="P313" s="57"/>
      <c r="Q313" s="31"/>
    </row>
    <row r="314" spans="1:17" x14ac:dyDescent="0.2">
      <c r="A314" s="315"/>
      <c r="B314" s="110" t="s">
        <v>923</v>
      </c>
      <c r="C314" s="352">
        <f>TrialBalance!C314</f>
        <v>0</v>
      </c>
      <c r="D314" s="357"/>
      <c r="E314" s="356"/>
      <c r="F314" s="86">
        <f t="shared" ref="F314:F317" si="59">K314</f>
        <v>0</v>
      </c>
      <c r="G314" s="53">
        <f>SUMIF(JournalsC!D$14:D$920,TrialBalanceC!M314,JournalsC!J$14:J$920)+SUMIF(JournalsC!E$14:E$920,TrialBalanceC!M314,JournalsC!J$14:J$920)</f>
        <v>0</v>
      </c>
      <c r="H314" s="363"/>
      <c r="I314" s="366">
        <f t="shared" ref="I314:I317" si="60">ROUND(D314-E314+G314+F314,0)</f>
        <v>0</v>
      </c>
      <c r="J314" s="81"/>
      <c r="K314" s="54">
        <f t="shared" ref="K314:K317" si="61">ROUND(SUM(A314),0)</f>
        <v>0</v>
      </c>
      <c r="M314" s="192" t="str">
        <f t="shared" ref="M314:M318" si="62">CONCATENATE(B314,C314)</f>
        <v>7100/2510</v>
      </c>
      <c r="N314" s="76"/>
      <c r="O314" s="77"/>
      <c r="P314" s="57"/>
      <c r="Q314" s="31"/>
    </row>
    <row r="315" spans="1:17" x14ac:dyDescent="0.2">
      <c r="A315" s="315"/>
      <c r="B315" s="110" t="s">
        <v>924</v>
      </c>
      <c r="C315" s="352">
        <f>TrialBalance!C315</f>
        <v>0</v>
      </c>
      <c r="D315" s="357"/>
      <c r="E315" s="356"/>
      <c r="F315" s="86">
        <f t="shared" si="59"/>
        <v>0</v>
      </c>
      <c r="G315" s="53">
        <f>SUMIF(JournalsC!D$14:D$920,TrialBalanceC!M315,JournalsC!J$14:J$920)+SUMIF(JournalsC!E$14:E$920,TrialBalanceC!M315,JournalsC!J$14:J$920)</f>
        <v>0</v>
      </c>
      <c r="H315" s="363"/>
      <c r="I315" s="366">
        <f t="shared" si="60"/>
        <v>0</v>
      </c>
      <c r="J315" s="81"/>
      <c r="K315" s="54">
        <f t="shared" si="61"/>
        <v>0</v>
      </c>
      <c r="M315" s="192" t="str">
        <f t="shared" si="62"/>
        <v>7100/2520</v>
      </c>
      <c r="N315" s="76"/>
      <c r="O315" s="77"/>
      <c r="P315" s="57"/>
      <c r="Q315" s="31"/>
    </row>
    <row r="316" spans="1:17" x14ac:dyDescent="0.2">
      <c r="A316" s="315"/>
      <c r="B316" s="110" t="s">
        <v>925</v>
      </c>
      <c r="C316" s="352">
        <f>TrialBalance!C316</f>
        <v>0</v>
      </c>
      <c r="D316" s="357"/>
      <c r="E316" s="356"/>
      <c r="F316" s="86">
        <f t="shared" si="59"/>
        <v>0</v>
      </c>
      <c r="G316" s="53">
        <f>SUMIF(JournalsC!D$14:D$920,TrialBalanceC!M316,JournalsC!J$14:J$920)+SUMIF(JournalsC!E$14:E$920,TrialBalanceC!M316,JournalsC!J$14:J$920)</f>
        <v>0</v>
      </c>
      <c r="H316" s="363"/>
      <c r="I316" s="366">
        <f t="shared" si="60"/>
        <v>0</v>
      </c>
      <c r="J316" s="81"/>
      <c r="K316" s="54">
        <f t="shared" si="61"/>
        <v>0</v>
      </c>
      <c r="M316" s="192" t="str">
        <f t="shared" si="62"/>
        <v>7100/2530</v>
      </c>
      <c r="N316" s="76"/>
      <c r="O316" s="77"/>
      <c r="P316" s="57"/>
      <c r="Q316" s="31"/>
    </row>
    <row r="317" spans="1:17" x14ac:dyDescent="0.2">
      <c r="A317" s="315"/>
      <c r="B317" s="110" t="s">
        <v>926</v>
      </c>
      <c r="C317" s="352">
        <f>TrialBalance!C317</f>
        <v>0</v>
      </c>
      <c r="D317" s="357"/>
      <c r="E317" s="356"/>
      <c r="F317" s="86">
        <f t="shared" si="59"/>
        <v>0</v>
      </c>
      <c r="G317" s="53">
        <f>SUMIF(JournalsC!D$14:D$920,TrialBalanceC!M317,JournalsC!J$14:J$920)+SUMIF(JournalsC!E$14:E$920,TrialBalanceC!M317,JournalsC!J$14:J$920)</f>
        <v>0</v>
      </c>
      <c r="H317" s="363"/>
      <c r="I317" s="366">
        <f t="shared" si="60"/>
        <v>0</v>
      </c>
      <c r="J317" s="81"/>
      <c r="K317" s="54">
        <f t="shared" si="61"/>
        <v>0</v>
      </c>
      <c r="M317" s="192" t="str">
        <f t="shared" si="62"/>
        <v>7100/2540</v>
      </c>
      <c r="N317" s="76"/>
      <c r="O317" s="77"/>
      <c r="P317" s="57"/>
      <c r="Q317" s="31"/>
    </row>
    <row r="318" spans="1:17" x14ac:dyDescent="0.2">
      <c r="A318" s="315"/>
      <c r="B318" s="110" t="s">
        <v>927</v>
      </c>
      <c r="C318" s="352">
        <f>TrialBalance!C318</f>
        <v>0</v>
      </c>
      <c r="D318" s="357"/>
      <c r="E318" s="356"/>
      <c r="F318" s="86">
        <f>K318</f>
        <v>0</v>
      </c>
      <c r="G318" s="53">
        <f>SUMIF(JournalsC!D$14:D$920,TrialBalanceC!M318,JournalsC!J$14:J$920)+SUMIF(JournalsC!E$14:E$920,TrialBalanceC!M318,JournalsC!J$14:J$920)</f>
        <v>0</v>
      </c>
      <c r="H318" s="363"/>
      <c r="I318" s="366">
        <f>ROUND(D318-E318+G318+F318,0)</f>
        <v>0</v>
      </c>
      <c r="J318" s="81"/>
      <c r="K318" s="54">
        <f>ROUND(SUM(A318),0)</f>
        <v>0</v>
      </c>
      <c r="M318" s="192" t="str">
        <f t="shared" si="62"/>
        <v>7100/2550</v>
      </c>
      <c r="N318" s="76"/>
      <c r="O318" s="77"/>
      <c r="P318" s="57"/>
      <c r="Q318" s="31"/>
    </row>
    <row r="319" spans="1:17" x14ac:dyDescent="0.2">
      <c r="A319" s="315"/>
      <c r="B319" s="110" t="s">
        <v>914</v>
      </c>
      <c r="C319" s="318" t="s">
        <v>379</v>
      </c>
      <c r="D319" s="357"/>
      <c r="E319" s="356"/>
      <c r="F319" s="86"/>
      <c r="G319" s="53">
        <f>SUMIF(JournalsC!D$14:D$920,TrialBalanceC!M319,JournalsC!J$14:J$920)+SUMIF(JournalsC!E$14:E$920,TrialBalanceC!M319,JournalsC!J$14:J$920)</f>
        <v>0</v>
      </c>
      <c r="H319" s="363"/>
      <c r="I319" s="366">
        <f>ROUND(D319-E319+G319+F319,0)</f>
        <v>0</v>
      </c>
      <c r="J319" s="81"/>
      <c r="K319" s="54">
        <f>ROUND(SUM(A319),0)</f>
        <v>0</v>
      </c>
      <c r="M319" s="192" t="str">
        <f t="shared" ref="M319" si="63">CONCATENATE(B319,C319)</f>
        <v>7100/300OTHER INVESTMENTS</v>
      </c>
      <c r="N319" s="76"/>
      <c r="O319" s="77"/>
      <c r="P319" s="57"/>
      <c r="Q319" s="31"/>
    </row>
    <row r="320" spans="1:17" x14ac:dyDescent="0.2">
      <c r="A320" s="315"/>
      <c r="B320" s="110" t="s">
        <v>915</v>
      </c>
      <c r="C320" s="352">
        <f>TrialBalance!C320</f>
        <v>0</v>
      </c>
      <c r="D320" s="357"/>
      <c r="E320" s="356"/>
      <c r="F320" s="86">
        <f t="shared" ref="F320:F323" si="64">K320</f>
        <v>0</v>
      </c>
      <c r="G320" s="53">
        <f>SUMIF(JournalsC!D$14:D$920,TrialBalanceC!M320,JournalsC!J$14:J$920)+SUMIF(JournalsC!E$14:E$920,TrialBalanceC!M320,JournalsC!J$14:J$920)</f>
        <v>0</v>
      </c>
      <c r="H320" s="363"/>
      <c r="I320" s="366">
        <f t="shared" ref="I320:I323" si="65">ROUND(D320-E320+G320+F320,0)</f>
        <v>0</v>
      </c>
      <c r="J320" s="81"/>
      <c r="K320" s="54">
        <f t="shared" ref="K320:K323" si="66">ROUND(SUM(A320),0)</f>
        <v>0</v>
      </c>
      <c r="M320" s="192" t="str">
        <f t="shared" ref="M320:M324" si="67">CONCATENATE(B320,C320)</f>
        <v>7100/3010</v>
      </c>
      <c r="N320" s="76"/>
      <c r="O320" s="77"/>
      <c r="P320" s="57"/>
      <c r="Q320" s="31"/>
    </row>
    <row r="321" spans="1:17" x14ac:dyDescent="0.2">
      <c r="A321" s="315"/>
      <c r="B321" s="110" t="s">
        <v>916</v>
      </c>
      <c r="C321" s="352">
        <f>TrialBalance!C321</f>
        <v>0</v>
      </c>
      <c r="D321" s="357"/>
      <c r="E321" s="356"/>
      <c r="F321" s="86">
        <f t="shared" si="64"/>
        <v>0</v>
      </c>
      <c r="G321" s="53">
        <f>SUMIF(JournalsC!D$14:D$920,TrialBalanceC!M321,JournalsC!J$14:J$920)+SUMIF(JournalsC!E$14:E$920,TrialBalanceC!M321,JournalsC!J$14:J$920)</f>
        <v>0</v>
      </c>
      <c r="H321" s="363"/>
      <c r="I321" s="366">
        <f t="shared" si="65"/>
        <v>0</v>
      </c>
      <c r="J321" s="81"/>
      <c r="K321" s="54">
        <f t="shared" si="66"/>
        <v>0</v>
      </c>
      <c r="M321" s="192" t="str">
        <f t="shared" si="67"/>
        <v>7100/3020</v>
      </c>
      <c r="N321" s="76"/>
      <c r="O321" s="77"/>
      <c r="P321" s="57"/>
      <c r="Q321" s="31"/>
    </row>
    <row r="322" spans="1:17" x14ac:dyDescent="0.2">
      <c r="A322" s="315"/>
      <c r="B322" s="110" t="s">
        <v>917</v>
      </c>
      <c r="C322" s="352">
        <f>TrialBalance!C322</f>
        <v>0</v>
      </c>
      <c r="D322" s="357"/>
      <c r="E322" s="356"/>
      <c r="F322" s="86">
        <f t="shared" si="64"/>
        <v>0</v>
      </c>
      <c r="G322" s="53">
        <f>SUMIF(JournalsC!D$14:D$920,TrialBalanceC!M322,JournalsC!J$14:J$920)+SUMIF(JournalsC!E$14:E$920,TrialBalanceC!M322,JournalsC!J$14:J$920)</f>
        <v>0</v>
      </c>
      <c r="H322" s="363"/>
      <c r="I322" s="366">
        <f t="shared" si="65"/>
        <v>0</v>
      </c>
      <c r="J322" s="81"/>
      <c r="K322" s="54">
        <f t="shared" si="66"/>
        <v>0</v>
      </c>
      <c r="M322" s="192" t="str">
        <f t="shared" si="67"/>
        <v>7100/3030</v>
      </c>
      <c r="N322" s="76"/>
      <c r="O322" s="77"/>
      <c r="P322" s="57"/>
      <c r="Q322" s="31"/>
    </row>
    <row r="323" spans="1:17" x14ac:dyDescent="0.2">
      <c r="A323" s="315"/>
      <c r="B323" s="110" t="s">
        <v>918</v>
      </c>
      <c r="C323" s="352">
        <f>TrialBalance!C323</f>
        <v>0</v>
      </c>
      <c r="D323" s="357"/>
      <c r="E323" s="356"/>
      <c r="F323" s="86">
        <f t="shared" si="64"/>
        <v>0</v>
      </c>
      <c r="G323" s="53">
        <f>SUMIF(JournalsC!D$14:D$920,TrialBalanceC!M323,JournalsC!J$14:J$920)+SUMIF(JournalsC!E$14:E$920,TrialBalanceC!M323,JournalsC!J$14:J$920)</f>
        <v>0</v>
      </c>
      <c r="H323" s="363"/>
      <c r="I323" s="366">
        <f t="shared" si="65"/>
        <v>0</v>
      </c>
      <c r="J323" s="81"/>
      <c r="K323" s="54">
        <f t="shared" si="66"/>
        <v>0</v>
      </c>
      <c r="M323" s="192" t="str">
        <f t="shared" si="67"/>
        <v>7100/3040</v>
      </c>
      <c r="N323" s="76"/>
      <c r="O323" s="77"/>
      <c r="P323" s="57"/>
      <c r="Q323" s="31"/>
    </row>
    <row r="324" spans="1:17" x14ac:dyDescent="0.2">
      <c r="A324" s="315"/>
      <c r="B324" s="110" t="s">
        <v>919</v>
      </c>
      <c r="C324" s="352">
        <f>TrialBalance!C324</f>
        <v>0</v>
      </c>
      <c r="D324" s="357"/>
      <c r="E324" s="356"/>
      <c r="F324" s="86">
        <f>K324</f>
        <v>0</v>
      </c>
      <c r="G324" s="53">
        <f>SUMIF(JournalsC!D$14:D$920,TrialBalanceC!M324,JournalsC!J$14:J$920)+SUMIF(JournalsC!E$14:E$920,TrialBalanceC!M324,JournalsC!J$14:J$920)</f>
        <v>0</v>
      </c>
      <c r="H324" s="363"/>
      <c r="I324" s="366">
        <f>ROUND(D324-E324+G324+F324,0)</f>
        <v>0</v>
      </c>
      <c r="J324" s="81"/>
      <c r="K324" s="54">
        <f>ROUND(SUM(A324),0)</f>
        <v>0</v>
      </c>
      <c r="M324" s="192" t="str">
        <f t="shared" si="67"/>
        <v>7100/3050</v>
      </c>
      <c r="N324" s="76"/>
      <c r="O324" s="77"/>
      <c r="P324" s="57"/>
      <c r="Q324" s="31"/>
    </row>
    <row r="325" spans="1:17" x14ac:dyDescent="0.2">
      <c r="A325" s="315"/>
      <c r="B325" s="60" t="s">
        <v>160</v>
      </c>
      <c r="C325" s="319" t="s">
        <v>744</v>
      </c>
      <c r="D325" s="357"/>
      <c r="E325" s="356"/>
      <c r="F325" s="86"/>
      <c r="G325" s="53">
        <f>SUMIF(JournalsC!D$14:D$920,TrialBalanceC!M325,JournalsC!J$14:J$920)+SUMIF(JournalsC!E$14:E$920,TrialBalanceC!M325,JournalsC!J$14:J$920)</f>
        <v>0</v>
      </c>
      <c r="H325" s="363"/>
      <c r="I325" s="366">
        <f t="shared" si="47"/>
        <v>0</v>
      </c>
      <c r="J325" s="81"/>
      <c r="K325" s="54">
        <f t="shared" si="51"/>
        <v>0</v>
      </c>
      <c r="M325" s="192" t="str">
        <f t="shared" si="52"/>
        <v>7450/000CONNECTED ENTITIES LOANS</v>
      </c>
      <c r="N325" s="76"/>
      <c r="O325" s="77"/>
      <c r="P325" s="57"/>
      <c r="Q325" s="31"/>
    </row>
    <row r="326" spans="1:17" x14ac:dyDescent="0.2">
      <c r="A326" s="315"/>
      <c r="B326" s="60" t="s">
        <v>160</v>
      </c>
      <c r="C326" s="319" t="s">
        <v>644</v>
      </c>
      <c r="D326" s="357"/>
      <c r="E326" s="356"/>
      <c r="F326" s="86"/>
      <c r="G326" s="53">
        <f>SUMIF(JournalsC!D$14:D$920,TrialBalanceC!M326,JournalsC!J$14:J$920)+SUMIF(JournalsC!E$14:E$920,TrialBalanceC!M326,JournalsC!J$14:J$920)</f>
        <v>0</v>
      </c>
      <c r="H326" s="363"/>
      <c r="I326" s="366">
        <f t="shared" ref="I326" si="68">ROUND(D326-E326+G326+F326,0)</f>
        <v>0</v>
      </c>
      <c r="J326" s="81"/>
      <c r="K326" s="54">
        <f t="shared" ref="K326" si="69">ROUND(SUM(A326),0)</f>
        <v>0</v>
      </c>
      <c r="M326" s="192" t="str">
        <f t="shared" ref="M326" si="70">CONCATENATE(B326,C326)</f>
        <v>7450/000Interest bearing</v>
      </c>
      <c r="N326" s="76"/>
      <c r="O326" s="77"/>
      <c r="P326" s="57"/>
      <c r="Q326" s="31"/>
    </row>
    <row r="327" spans="1:17" x14ac:dyDescent="0.2">
      <c r="A327" s="315"/>
      <c r="B327" s="60" t="s">
        <v>161</v>
      </c>
      <c r="C327" s="352">
        <f>TrialBalance!C327</f>
        <v>0</v>
      </c>
      <c r="D327" s="359"/>
      <c r="E327" s="356"/>
      <c r="F327" s="86">
        <f t="shared" si="53"/>
        <v>0</v>
      </c>
      <c r="G327" s="53">
        <f>SUMIF(JournalsC!D$14:D$920,TrialBalanceC!M327,JournalsC!J$14:J$920)+SUMIF(JournalsC!E$14:E$920,TrialBalanceC!M327,JournalsC!J$14:J$920)</f>
        <v>0</v>
      </c>
      <c r="H327" s="363"/>
      <c r="I327" s="366">
        <f t="shared" si="47"/>
        <v>0</v>
      </c>
      <c r="J327" s="81"/>
      <c r="K327" s="54">
        <f t="shared" si="51"/>
        <v>0</v>
      </c>
      <c r="M327" s="192" t="str">
        <f t="shared" si="52"/>
        <v>7450/0010</v>
      </c>
      <c r="N327" s="76"/>
      <c r="O327" s="77"/>
      <c r="P327" s="57"/>
      <c r="Q327" s="31"/>
    </row>
    <row r="328" spans="1:17" x14ac:dyDescent="0.2">
      <c r="A328" s="315"/>
      <c r="B328" s="110" t="s">
        <v>162</v>
      </c>
      <c r="C328" s="352">
        <f>TrialBalance!C328</f>
        <v>0</v>
      </c>
      <c r="D328" s="359"/>
      <c r="E328" s="356"/>
      <c r="F328" s="86">
        <f t="shared" ref="F328:F329" si="71">K328</f>
        <v>0</v>
      </c>
      <c r="G328" s="53">
        <f>SUMIF(JournalsC!D$14:D$920,TrialBalanceC!M328,JournalsC!J$14:J$920)+SUMIF(JournalsC!E$14:E$920,TrialBalanceC!M328,JournalsC!J$14:J$920)</f>
        <v>0</v>
      </c>
      <c r="H328" s="363"/>
      <c r="I328" s="366">
        <f t="shared" ref="I328:I329" si="72">ROUND(D328-E328+G328+F328,0)</f>
        <v>0</v>
      </c>
      <c r="J328" s="81"/>
      <c r="K328" s="54">
        <f t="shared" ref="K328:K329" si="73">ROUND(SUM(A328),0)</f>
        <v>0</v>
      </c>
      <c r="M328" s="192" t="str">
        <f t="shared" ref="M328:M329" si="74">CONCATENATE(B328,C328)</f>
        <v>7450/0020</v>
      </c>
      <c r="N328" s="76"/>
      <c r="O328" s="77"/>
      <c r="P328" s="57"/>
      <c r="Q328" s="31"/>
    </row>
    <row r="329" spans="1:17" x14ac:dyDescent="0.2">
      <c r="A329" s="315"/>
      <c r="B329" s="110" t="s">
        <v>163</v>
      </c>
      <c r="C329" s="352">
        <f>TrialBalance!C329</f>
        <v>0</v>
      </c>
      <c r="D329" s="359"/>
      <c r="E329" s="356"/>
      <c r="F329" s="86">
        <f t="shared" si="71"/>
        <v>0</v>
      </c>
      <c r="G329" s="53">
        <f>SUMIF(JournalsC!D$14:D$920,TrialBalanceC!M329,JournalsC!J$14:J$920)+SUMIF(JournalsC!E$14:E$920,TrialBalanceC!M329,JournalsC!J$14:J$920)</f>
        <v>0</v>
      </c>
      <c r="H329" s="363"/>
      <c r="I329" s="366">
        <f t="shared" si="72"/>
        <v>0</v>
      </c>
      <c r="J329" s="81"/>
      <c r="K329" s="54">
        <f t="shared" si="73"/>
        <v>0</v>
      </c>
      <c r="M329" s="192" t="str">
        <f t="shared" si="74"/>
        <v>7450/0030</v>
      </c>
      <c r="N329" s="76"/>
      <c r="O329" s="77"/>
      <c r="P329" s="57"/>
      <c r="Q329" s="31"/>
    </row>
    <row r="330" spans="1:17" x14ac:dyDescent="0.2">
      <c r="A330" s="315"/>
      <c r="B330" s="110" t="s">
        <v>428</v>
      </c>
      <c r="C330" s="352">
        <f>TrialBalance!C330</f>
        <v>0</v>
      </c>
      <c r="D330" s="357"/>
      <c r="E330" s="356"/>
      <c r="F330" s="86">
        <f t="shared" si="53"/>
        <v>0</v>
      </c>
      <c r="G330" s="53">
        <f>SUMIF(JournalsC!D$14:D$920,TrialBalanceC!M330,JournalsC!J$14:J$920)+SUMIF(JournalsC!E$14:E$920,TrialBalanceC!M330,JournalsC!J$14:J$920)</f>
        <v>0</v>
      </c>
      <c r="H330" s="363"/>
      <c r="I330" s="366">
        <f t="shared" si="47"/>
        <v>0</v>
      </c>
      <c r="J330" s="81"/>
      <c r="K330" s="54">
        <f t="shared" si="51"/>
        <v>0</v>
      </c>
      <c r="M330" s="192" t="str">
        <f t="shared" si="52"/>
        <v>7450/0040</v>
      </c>
      <c r="N330" s="76"/>
      <c r="O330" s="77"/>
      <c r="P330" s="57"/>
      <c r="Q330" s="31"/>
    </row>
    <row r="331" spans="1:17" x14ac:dyDescent="0.2">
      <c r="A331" s="315"/>
      <c r="B331" s="60" t="s">
        <v>160</v>
      </c>
      <c r="C331" s="319" t="s">
        <v>643</v>
      </c>
      <c r="D331" s="357"/>
      <c r="E331" s="356"/>
      <c r="F331" s="86"/>
      <c r="G331" s="53">
        <f>SUMIF(JournalsC!D$14:D$920,TrialBalanceC!M331,JournalsC!J$14:J$920)+SUMIF(JournalsC!E$14:E$920,TrialBalanceC!M331,JournalsC!J$14:J$920)</f>
        <v>0</v>
      </c>
      <c r="H331" s="363"/>
      <c r="I331" s="366">
        <f t="shared" ref="I331" si="75">ROUND(D331-E331+G331+F331,0)</f>
        <v>0</v>
      </c>
      <c r="J331" s="81"/>
      <c r="K331" s="54">
        <f t="shared" ref="K331" si="76">ROUND(SUM(A331),0)</f>
        <v>0</v>
      </c>
      <c r="M331" s="192" t="str">
        <f t="shared" ref="M331" si="77">CONCATENATE(B331,C331)</f>
        <v>7450/000Interest free</v>
      </c>
      <c r="N331" s="76"/>
      <c r="O331" s="77"/>
      <c r="P331" s="57"/>
      <c r="Q331" s="31"/>
    </row>
    <row r="332" spans="1:17" x14ac:dyDescent="0.2">
      <c r="A332" s="315"/>
      <c r="B332" s="60" t="s">
        <v>163</v>
      </c>
      <c r="C332" s="352">
        <f>TrialBalance!C332</f>
        <v>0</v>
      </c>
      <c r="D332" s="357"/>
      <c r="E332" s="356"/>
      <c r="F332" s="86">
        <f t="shared" si="53"/>
        <v>0</v>
      </c>
      <c r="G332" s="53">
        <f>SUMIF(JournalsC!D$14:D$920,TrialBalanceC!M332,JournalsC!J$14:J$920)+SUMIF(JournalsC!E$14:E$920,TrialBalanceC!M332,JournalsC!J$14:J$920)</f>
        <v>0</v>
      </c>
      <c r="H332" s="363"/>
      <c r="I332" s="366">
        <f t="shared" si="47"/>
        <v>0</v>
      </c>
      <c r="J332" s="81"/>
      <c r="K332" s="54">
        <f t="shared" si="51"/>
        <v>0</v>
      </c>
      <c r="M332" s="192" t="str">
        <f t="shared" si="52"/>
        <v>7450/0030</v>
      </c>
      <c r="N332" s="76"/>
      <c r="O332" s="77"/>
      <c r="P332" s="57"/>
      <c r="Q332" s="31"/>
    </row>
    <row r="333" spans="1:17" x14ac:dyDescent="0.2">
      <c r="A333" s="315"/>
      <c r="B333" s="60" t="s">
        <v>428</v>
      </c>
      <c r="C333" s="352">
        <f>TrialBalance!C333</f>
        <v>0</v>
      </c>
      <c r="D333" s="357"/>
      <c r="E333" s="356"/>
      <c r="F333" s="86">
        <f t="shared" ref="F333" si="78">K333</f>
        <v>0</v>
      </c>
      <c r="G333" s="53">
        <f>SUMIF(JournalsC!D$14:D$920,TrialBalanceC!M333,JournalsC!J$14:J$920)+SUMIF(JournalsC!E$14:E$920,TrialBalanceC!M333,JournalsC!J$14:J$920)</f>
        <v>0</v>
      </c>
      <c r="H333" s="363"/>
      <c r="I333" s="366">
        <f t="shared" ref="I333" si="79">ROUND(D333-E333+G333+F333,0)</f>
        <v>0</v>
      </c>
      <c r="J333" s="81"/>
      <c r="K333" s="54">
        <f t="shared" ref="K333" si="80">ROUND(SUM(A333),0)</f>
        <v>0</v>
      </c>
      <c r="M333" s="192" t="str">
        <f t="shared" ref="M333" si="81">CONCATENATE(B333,C333)</f>
        <v>7450/0040</v>
      </c>
      <c r="N333" s="76"/>
      <c r="O333" s="77"/>
      <c r="P333" s="57"/>
      <c r="Q333" s="31"/>
    </row>
    <row r="334" spans="1:17" x14ac:dyDescent="0.2">
      <c r="A334" s="315"/>
      <c r="B334" s="60" t="s">
        <v>294</v>
      </c>
      <c r="C334" s="352">
        <f>TrialBalance!C334</f>
        <v>0</v>
      </c>
      <c r="D334" s="357"/>
      <c r="E334" s="356"/>
      <c r="F334" s="86">
        <f t="shared" si="53"/>
        <v>0</v>
      </c>
      <c r="G334" s="53">
        <f>SUMIF(JournalsC!D$14:D$920,TrialBalanceC!M334,JournalsC!J$14:J$920)+SUMIF(JournalsC!E$14:E$920,TrialBalanceC!M334,JournalsC!J$14:J$920)</f>
        <v>0</v>
      </c>
      <c r="H334" s="363"/>
      <c r="I334" s="366">
        <f t="shared" si="47"/>
        <v>0</v>
      </c>
      <c r="J334" s="81"/>
      <c r="K334" s="54">
        <f t="shared" si="51"/>
        <v>0</v>
      </c>
      <c r="M334" s="192" t="str">
        <f t="shared" si="52"/>
        <v>7450/0050</v>
      </c>
      <c r="N334" s="76"/>
      <c r="O334" s="77"/>
      <c r="P334" s="57"/>
      <c r="Q334" s="31"/>
    </row>
    <row r="335" spans="1:17" x14ac:dyDescent="0.2">
      <c r="A335" s="315"/>
      <c r="B335" s="110" t="s">
        <v>760</v>
      </c>
      <c r="C335" s="352">
        <f>TrialBalance!C335</f>
        <v>0</v>
      </c>
      <c r="D335" s="357"/>
      <c r="E335" s="356"/>
      <c r="F335" s="86">
        <f t="shared" si="53"/>
        <v>0</v>
      </c>
      <c r="G335" s="53">
        <f>SUMIF(JournalsC!D$14:D$920,TrialBalanceC!M335,JournalsC!J$14:J$920)+SUMIF(JournalsC!E$14:E$920,TrialBalanceC!M335,JournalsC!J$14:J$920)</f>
        <v>0</v>
      </c>
      <c r="H335" s="363"/>
      <c r="I335" s="366">
        <f t="shared" si="47"/>
        <v>0</v>
      </c>
      <c r="J335" s="81"/>
      <c r="K335" s="54">
        <f t="shared" si="51"/>
        <v>0</v>
      </c>
      <c r="M335" s="192" t="str">
        <f t="shared" si="52"/>
        <v>7450/0060</v>
      </c>
      <c r="N335" s="76"/>
      <c r="O335" s="77"/>
      <c r="P335" s="57"/>
      <c r="Q335" s="31"/>
    </row>
    <row r="336" spans="1:17" x14ac:dyDescent="0.2">
      <c r="A336" s="315"/>
      <c r="B336" s="60" t="s">
        <v>295</v>
      </c>
      <c r="C336" s="318" t="s">
        <v>729</v>
      </c>
      <c r="D336" s="348"/>
      <c r="E336" s="356"/>
      <c r="F336" s="86"/>
      <c r="G336" s="53">
        <f>SUMIF(JournalsC!D$14:D$920,TrialBalanceC!M336,JournalsC!J$14:J$920)+SUMIF(JournalsC!E$14:E$920,TrialBalanceC!M336,JournalsC!J$14:J$920)</f>
        <v>0</v>
      </c>
      <c r="H336" s="363"/>
      <c r="I336" s="366">
        <f t="shared" si="47"/>
        <v>0</v>
      </c>
      <c r="J336" s="81"/>
      <c r="K336" s="54">
        <f t="shared" si="51"/>
        <v>0</v>
      </c>
      <c r="M336" s="192" t="str">
        <f t="shared" si="52"/>
        <v>7460/000OTHER NON - CURRENT RECEIVABLES</v>
      </c>
      <c r="N336" s="76"/>
      <c r="O336" s="77"/>
      <c r="P336" s="57"/>
      <c r="Q336" s="31"/>
    </row>
    <row r="337" spans="1:17" x14ac:dyDescent="0.2">
      <c r="A337" s="315"/>
      <c r="B337" s="60" t="s">
        <v>295</v>
      </c>
      <c r="C337" s="318" t="s">
        <v>644</v>
      </c>
      <c r="D337" s="348"/>
      <c r="E337" s="356"/>
      <c r="F337" s="86"/>
      <c r="G337" s="53">
        <f>SUMIF(JournalsC!D$14:D$920,TrialBalanceC!M337,JournalsC!J$14:J$920)+SUMIF(JournalsC!E$14:E$920,TrialBalanceC!M337,JournalsC!J$14:J$920)</f>
        <v>0</v>
      </c>
      <c r="H337" s="363"/>
      <c r="I337" s="366">
        <f t="shared" ref="I337" si="82">ROUND(D337-E337+G337+F337,0)</f>
        <v>0</v>
      </c>
      <c r="J337" s="81"/>
      <c r="K337" s="54">
        <f t="shared" ref="K337" si="83">ROUND(SUM(A337),0)</f>
        <v>0</v>
      </c>
      <c r="M337" s="192" t="str">
        <f t="shared" ref="M337" si="84">CONCATENATE(B337,C337)</f>
        <v>7460/000Interest bearing</v>
      </c>
      <c r="N337" s="76"/>
      <c r="O337" s="77"/>
      <c r="P337" s="57"/>
      <c r="Q337" s="31"/>
    </row>
    <row r="338" spans="1:17" x14ac:dyDescent="0.2">
      <c r="A338" s="315"/>
      <c r="B338" s="60" t="s">
        <v>297</v>
      </c>
      <c r="C338" s="352">
        <f>TrialBalance!C338</f>
        <v>0</v>
      </c>
      <c r="D338" s="356"/>
      <c r="E338" s="356"/>
      <c r="F338" s="86">
        <f t="shared" si="53"/>
        <v>0</v>
      </c>
      <c r="G338" s="53">
        <f>SUMIF(JournalsC!D$14:D$920,TrialBalanceC!M338,JournalsC!J$14:J$920)+SUMIF(JournalsC!E$14:E$920,TrialBalanceC!M338,JournalsC!J$14:J$920)</f>
        <v>0</v>
      </c>
      <c r="H338" s="363"/>
      <c r="I338" s="366">
        <f t="shared" si="47"/>
        <v>0</v>
      </c>
      <c r="J338" s="81"/>
      <c r="K338" s="54">
        <f t="shared" si="51"/>
        <v>0</v>
      </c>
      <c r="M338" s="192" t="str">
        <f t="shared" si="52"/>
        <v>7460/0010</v>
      </c>
      <c r="N338" s="76"/>
      <c r="O338" s="77"/>
      <c r="P338" s="57"/>
      <c r="Q338" s="31"/>
    </row>
    <row r="339" spans="1:17" x14ac:dyDescent="0.2">
      <c r="A339" s="315"/>
      <c r="B339" s="60" t="s">
        <v>298</v>
      </c>
      <c r="C339" s="352">
        <f>TrialBalance!C339</f>
        <v>0</v>
      </c>
      <c r="D339" s="356"/>
      <c r="E339" s="356"/>
      <c r="F339" s="86">
        <f t="shared" ref="F339" si="85">K339</f>
        <v>0</v>
      </c>
      <c r="G339" s="53">
        <f>SUMIF(JournalsC!D$14:D$920,TrialBalanceC!M339,JournalsC!J$14:J$920)+SUMIF(JournalsC!E$14:E$920,TrialBalanceC!M339,JournalsC!J$14:J$920)</f>
        <v>0</v>
      </c>
      <c r="H339" s="363"/>
      <c r="I339" s="366">
        <f t="shared" ref="I339" si="86">ROUND(D339-E339+G339+F339,0)</f>
        <v>0</v>
      </c>
      <c r="J339" s="81"/>
      <c r="K339" s="54">
        <f t="shared" ref="K339" si="87">ROUND(SUM(A339),0)</f>
        <v>0</v>
      </c>
      <c r="M339" s="192" t="str">
        <f t="shared" ref="M339" si="88">CONCATENATE(B339,C339)</f>
        <v>7460/0020</v>
      </c>
      <c r="N339" s="76"/>
      <c r="O339" s="77"/>
      <c r="P339" s="57"/>
      <c r="Q339" s="31"/>
    </row>
    <row r="340" spans="1:17" x14ac:dyDescent="0.2">
      <c r="A340" s="315"/>
      <c r="B340" s="60" t="s">
        <v>299</v>
      </c>
      <c r="C340" s="352">
        <f>TrialBalance!C340</f>
        <v>0</v>
      </c>
      <c r="D340" s="357"/>
      <c r="E340" s="356"/>
      <c r="F340" s="86">
        <f t="shared" si="53"/>
        <v>0</v>
      </c>
      <c r="G340" s="53">
        <f>SUMIF(JournalsC!D$14:D$920,TrialBalanceC!M340,JournalsC!J$14:J$920)+SUMIF(JournalsC!E$14:E$920,TrialBalanceC!M340,JournalsC!J$14:J$920)</f>
        <v>0</v>
      </c>
      <c r="H340" s="363"/>
      <c r="I340" s="366">
        <f t="shared" si="47"/>
        <v>0</v>
      </c>
      <c r="J340" s="81"/>
      <c r="K340" s="54">
        <f t="shared" si="51"/>
        <v>0</v>
      </c>
      <c r="M340" s="192" t="str">
        <f t="shared" si="52"/>
        <v>7460/0030</v>
      </c>
      <c r="N340" s="76"/>
      <c r="O340" s="77"/>
      <c r="P340" s="57"/>
      <c r="Q340" s="31"/>
    </row>
    <row r="341" spans="1:17" x14ac:dyDescent="0.2">
      <c r="A341" s="315"/>
      <c r="B341" s="110" t="s">
        <v>611</v>
      </c>
      <c r="C341" s="352">
        <f>TrialBalance!C341</f>
        <v>0</v>
      </c>
      <c r="D341" s="357"/>
      <c r="E341" s="356"/>
      <c r="F341" s="86">
        <f t="shared" si="53"/>
        <v>0</v>
      </c>
      <c r="G341" s="53">
        <f>SUMIF(JournalsC!D$14:D$920,TrialBalanceC!M341,JournalsC!J$14:J$920)+SUMIF(JournalsC!E$14:E$920,TrialBalanceC!M341,JournalsC!J$14:J$920)</f>
        <v>0</v>
      </c>
      <c r="H341" s="363"/>
      <c r="I341" s="366">
        <f t="shared" si="47"/>
        <v>0</v>
      </c>
      <c r="J341" s="81"/>
      <c r="K341" s="54">
        <f t="shared" si="51"/>
        <v>0</v>
      </c>
      <c r="M341" s="192" t="str">
        <f t="shared" si="52"/>
        <v>7460/0040</v>
      </c>
      <c r="N341" s="76"/>
      <c r="O341" s="77"/>
      <c r="P341" s="57"/>
      <c r="Q341" s="31"/>
    </row>
    <row r="342" spans="1:17" x14ac:dyDescent="0.2">
      <c r="A342" s="315"/>
      <c r="B342" s="60" t="s">
        <v>295</v>
      </c>
      <c r="C342" s="319" t="s">
        <v>643</v>
      </c>
      <c r="D342" s="357"/>
      <c r="E342" s="356"/>
      <c r="F342" s="86"/>
      <c r="G342" s="53">
        <f>SUMIF(JournalsC!D$14:D$920,TrialBalanceC!M342,JournalsC!J$14:J$920)+SUMIF(JournalsC!E$14:E$920,TrialBalanceC!M342,JournalsC!J$14:J$920)</f>
        <v>0</v>
      </c>
      <c r="H342" s="363"/>
      <c r="I342" s="366">
        <f t="shared" ref="I342" si="89">ROUND(D342-E342+G342+F342,0)</f>
        <v>0</v>
      </c>
      <c r="J342" s="81"/>
      <c r="K342" s="54">
        <f t="shared" ref="K342" si="90">ROUND(SUM(A342),0)</f>
        <v>0</v>
      </c>
      <c r="M342" s="192" t="str">
        <f t="shared" ref="M342" si="91">CONCATENATE(B342,C342)</f>
        <v>7460/000Interest free</v>
      </c>
      <c r="N342" s="76"/>
      <c r="O342" s="77"/>
      <c r="P342" s="57"/>
      <c r="Q342" s="31"/>
    </row>
    <row r="343" spans="1:17" x14ac:dyDescent="0.2">
      <c r="A343" s="315"/>
      <c r="B343" s="110" t="s">
        <v>611</v>
      </c>
      <c r="C343" s="352">
        <f>TrialBalance!C343</f>
        <v>0</v>
      </c>
      <c r="D343" s="357"/>
      <c r="E343" s="356"/>
      <c r="F343" s="86">
        <f t="shared" si="53"/>
        <v>0</v>
      </c>
      <c r="G343" s="53">
        <f>SUMIF(JournalsC!D$14:D$920,TrialBalanceC!M343,JournalsC!J$14:J$920)+SUMIF(JournalsC!E$14:E$920,TrialBalanceC!M343,JournalsC!J$14:J$920)</f>
        <v>0</v>
      </c>
      <c r="H343" s="363"/>
      <c r="I343" s="366">
        <f t="shared" si="47"/>
        <v>0</v>
      </c>
      <c r="J343" s="81"/>
      <c r="K343" s="54">
        <f t="shared" si="51"/>
        <v>0</v>
      </c>
      <c r="M343" s="192" t="str">
        <f t="shared" si="52"/>
        <v>7460/0040</v>
      </c>
      <c r="N343" s="76"/>
      <c r="O343" s="77"/>
      <c r="P343" s="57"/>
      <c r="Q343" s="31"/>
    </row>
    <row r="344" spans="1:17" x14ac:dyDescent="0.2">
      <c r="A344" s="315"/>
      <c r="B344" s="110" t="s">
        <v>612</v>
      </c>
      <c r="C344" s="352">
        <f>TrialBalance!C344</f>
        <v>0</v>
      </c>
      <c r="D344" s="357"/>
      <c r="E344" s="356"/>
      <c r="F344" s="86">
        <f t="shared" si="53"/>
        <v>0</v>
      </c>
      <c r="G344" s="53">
        <f>SUMIF(JournalsC!D$14:D$920,TrialBalanceC!M344,JournalsC!J$14:J$920)+SUMIF(JournalsC!E$14:E$920,TrialBalanceC!M344,JournalsC!J$14:J$920)</f>
        <v>0</v>
      </c>
      <c r="H344" s="363"/>
      <c r="I344" s="366">
        <f t="shared" si="47"/>
        <v>0</v>
      </c>
      <c r="J344" s="81"/>
      <c r="K344" s="54">
        <f t="shared" si="51"/>
        <v>0</v>
      </c>
      <c r="M344" s="192" t="str">
        <f t="shared" si="52"/>
        <v>7460/0050</v>
      </c>
      <c r="N344" s="76"/>
      <c r="O344" s="77"/>
      <c r="P344" s="57"/>
      <c r="Q344" s="31"/>
    </row>
    <row r="345" spans="1:17" x14ac:dyDescent="0.2">
      <c r="A345" s="315"/>
      <c r="B345" s="110" t="s">
        <v>300</v>
      </c>
      <c r="C345" s="352">
        <f>TrialBalance!C345</f>
        <v>0</v>
      </c>
      <c r="D345" s="357"/>
      <c r="E345" s="356"/>
      <c r="F345" s="86">
        <f>K345</f>
        <v>0</v>
      </c>
      <c r="G345" s="53">
        <f>SUMIF(JournalsC!D$14:D$920,TrialBalanceC!M345,JournalsC!J$14:J$920)+SUMIF(JournalsC!E$14:E$920,TrialBalanceC!M345,JournalsC!J$14:J$920)</f>
        <v>0</v>
      </c>
      <c r="H345" s="363"/>
      <c r="I345" s="366">
        <f t="shared" si="47"/>
        <v>0</v>
      </c>
      <c r="J345" s="81"/>
      <c r="K345" s="54">
        <f t="shared" si="51"/>
        <v>0</v>
      </c>
      <c r="M345" s="192" t="str">
        <f t="shared" si="52"/>
        <v>7460/0060</v>
      </c>
      <c r="N345" s="76"/>
      <c r="O345" s="77"/>
      <c r="P345" s="57"/>
      <c r="Q345" s="31"/>
    </row>
    <row r="346" spans="1:17" x14ac:dyDescent="0.2">
      <c r="A346" s="315"/>
      <c r="B346" s="110" t="s">
        <v>301</v>
      </c>
      <c r="C346" s="352">
        <f>TrialBalance!C346</f>
        <v>0</v>
      </c>
      <c r="D346" s="357"/>
      <c r="E346" s="356"/>
      <c r="F346" s="86">
        <f>K346</f>
        <v>0</v>
      </c>
      <c r="G346" s="53">
        <f>SUMIF(JournalsC!D$14:D$920,TrialBalanceC!M346,JournalsC!J$14:J$920)+SUMIF(JournalsC!E$14:E$920,TrialBalanceC!M346,JournalsC!J$14:J$920)</f>
        <v>0</v>
      </c>
      <c r="H346" s="363"/>
      <c r="I346" s="366">
        <f t="shared" si="47"/>
        <v>0</v>
      </c>
      <c r="J346" s="81"/>
      <c r="K346" s="54">
        <f t="shared" si="51"/>
        <v>0</v>
      </c>
      <c r="M346" s="192" t="str">
        <f t="shared" si="52"/>
        <v>7460/0070</v>
      </c>
      <c r="N346" s="76"/>
      <c r="O346" s="77"/>
      <c r="P346" s="57"/>
      <c r="Q346" s="31"/>
    </row>
    <row r="347" spans="1:17" x14ac:dyDescent="0.2">
      <c r="A347" s="315"/>
      <c r="B347" s="110" t="s">
        <v>485</v>
      </c>
      <c r="C347" s="352">
        <f>TrialBalance!C347</f>
        <v>0</v>
      </c>
      <c r="D347" s="357"/>
      <c r="E347" s="356"/>
      <c r="F347" s="86">
        <f>K347</f>
        <v>0</v>
      </c>
      <c r="G347" s="53">
        <f>SUMIF(JournalsC!D$14:D$920,TrialBalanceC!M347,JournalsC!J$14:J$920)+SUMIF(JournalsC!E$14:E$920,TrialBalanceC!M347,JournalsC!J$14:J$920)</f>
        <v>0</v>
      </c>
      <c r="H347" s="363"/>
      <c r="I347" s="366">
        <f t="shared" si="47"/>
        <v>0</v>
      </c>
      <c r="J347" s="81"/>
      <c r="K347" s="54">
        <f t="shared" si="51"/>
        <v>0</v>
      </c>
      <c r="M347" s="192" t="str">
        <f t="shared" si="52"/>
        <v>7460/0080</v>
      </c>
      <c r="N347" s="76"/>
      <c r="O347" s="77"/>
      <c r="P347" s="57"/>
      <c r="Q347" s="31"/>
    </row>
    <row r="348" spans="1:17" x14ac:dyDescent="0.2">
      <c r="A348" s="315"/>
      <c r="B348" s="110" t="s">
        <v>929</v>
      </c>
      <c r="C348" s="318" t="s">
        <v>930</v>
      </c>
      <c r="D348" s="357"/>
      <c r="E348" s="356"/>
      <c r="F348" s="86"/>
      <c r="G348" s="53">
        <f>SUMIF(JournalsC!D$14:D$920,TrialBalanceC!M348,JournalsC!J$14:J$920)+SUMIF(JournalsC!E$14:E$920,TrialBalanceC!M348,JournalsC!J$14:J$920)</f>
        <v>0</v>
      </c>
      <c r="H348" s="363"/>
      <c r="I348" s="366">
        <f t="shared" ref="I348:I350" si="92">ROUND(D348-E348+G348+F348,0)</f>
        <v>0</v>
      </c>
      <c r="J348" s="81"/>
      <c r="K348" s="54">
        <f t="shared" ref="K348:K350" si="93">ROUND(SUM(A348),0)</f>
        <v>0</v>
      </c>
      <c r="M348" s="192" t="str">
        <f t="shared" ref="M348:M351" si="94">CONCATENATE(B348,C348)</f>
        <v>7480/000NET CAPITAL OF BUSINESS</v>
      </c>
      <c r="N348" s="76"/>
      <c r="O348" s="77"/>
      <c r="P348" s="57"/>
      <c r="Q348" s="31"/>
    </row>
    <row r="349" spans="1:17" x14ac:dyDescent="0.2">
      <c r="A349" s="315"/>
      <c r="B349" s="110" t="s">
        <v>931</v>
      </c>
      <c r="C349" s="352">
        <f>TrialBalance!C349</f>
        <v>0</v>
      </c>
      <c r="D349" s="357"/>
      <c r="E349" s="356"/>
      <c r="F349" s="86">
        <f t="shared" ref="F349:F350" si="95">K349</f>
        <v>0</v>
      </c>
      <c r="G349" s="53">
        <f>SUMIF(JournalsC!D$14:D$920,TrialBalanceC!M349,JournalsC!J$14:J$920)+SUMIF(JournalsC!E$14:E$920,TrialBalanceC!M349,JournalsC!J$14:J$920)</f>
        <v>0</v>
      </c>
      <c r="H349" s="363"/>
      <c r="I349" s="366">
        <f t="shared" si="92"/>
        <v>0</v>
      </c>
      <c r="J349" s="81"/>
      <c r="K349" s="54">
        <f t="shared" si="93"/>
        <v>0</v>
      </c>
      <c r="M349" s="192" t="str">
        <f t="shared" si="94"/>
        <v>7480/0010</v>
      </c>
      <c r="N349" s="76"/>
      <c r="O349" s="77"/>
      <c r="P349" s="57"/>
      <c r="Q349" s="31"/>
    </row>
    <row r="350" spans="1:17" x14ac:dyDescent="0.2">
      <c r="A350" s="315"/>
      <c r="B350" s="110" t="s">
        <v>932</v>
      </c>
      <c r="C350" s="352">
        <f>TrialBalance!C350</f>
        <v>0</v>
      </c>
      <c r="D350" s="357"/>
      <c r="E350" s="356"/>
      <c r="F350" s="86">
        <f t="shared" si="95"/>
        <v>0</v>
      </c>
      <c r="G350" s="53">
        <f>SUMIF(JournalsC!D$14:D$920,TrialBalanceC!M350,JournalsC!J$14:J$920)+SUMIF(JournalsC!E$14:E$920,TrialBalanceC!M350,JournalsC!J$14:J$920)</f>
        <v>0</v>
      </c>
      <c r="H350" s="363"/>
      <c r="I350" s="366">
        <f t="shared" si="92"/>
        <v>0</v>
      </c>
      <c r="J350" s="81"/>
      <c r="K350" s="54">
        <f t="shared" si="93"/>
        <v>0</v>
      </c>
      <c r="M350" s="192" t="str">
        <f t="shared" si="94"/>
        <v>7480/0020</v>
      </c>
      <c r="N350" s="76"/>
      <c r="O350" s="77"/>
      <c r="P350" s="57"/>
      <c r="Q350" s="31"/>
    </row>
    <row r="351" spans="1:17" x14ac:dyDescent="0.2">
      <c r="A351" s="315"/>
      <c r="B351" s="110" t="s">
        <v>933</v>
      </c>
      <c r="C351" s="352">
        <f>TrialBalance!C351</f>
        <v>0</v>
      </c>
      <c r="D351" s="357"/>
      <c r="E351" s="356"/>
      <c r="F351" s="86">
        <f>K351</f>
        <v>0</v>
      </c>
      <c r="G351" s="53">
        <f>SUMIF(JournalsC!D$14:D$920,TrialBalanceC!M351,JournalsC!J$14:J$920)+SUMIF(JournalsC!E$14:E$920,TrialBalanceC!M351,JournalsC!J$14:J$920)</f>
        <v>0</v>
      </c>
      <c r="H351" s="363"/>
      <c r="I351" s="366">
        <f>ROUND(D351-E351+G351+F351,0)</f>
        <v>0</v>
      </c>
      <c r="J351" s="81"/>
      <c r="K351" s="54">
        <f>ROUND(SUM(A351),0)</f>
        <v>0</v>
      </c>
      <c r="M351" s="192" t="str">
        <f t="shared" si="94"/>
        <v>7480/0030</v>
      </c>
      <c r="N351" s="76"/>
      <c r="O351" s="77"/>
      <c r="P351" s="57"/>
      <c r="Q351" s="31"/>
    </row>
    <row r="352" spans="1:17" x14ac:dyDescent="0.2">
      <c r="A352" s="315"/>
      <c r="B352" s="60" t="s">
        <v>423</v>
      </c>
      <c r="C352" s="316" t="s">
        <v>55</v>
      </c>
      <c r="D352" s="358"/>
      <c r="E352" s="356"/>
      <c r="F352" s="86"/>
      <c r="G352" s="53">
        <f>SUMIF(JournalsC!D$14:D$920,TrialBalanceC!M352,JournalsC!J$14:J$920)+SUMIF(JournalsC!E$14:E$920,TrialBalanceC!M352,JournalsC!J$14:J$920)</f>
        <v>0</v>
      </c>
      <c r="H352" s="363"/>
      <c r="I352" s="366">
        <f t="shared" si="47"/>
        <v>0</v>
      </c>
      <c r="J352" s="81"/>
      <c r="K352" s="54">
        <f t="shared" si="51"/>
        <v>0</v>
      </c>
      <c r="M352" s="192" t="str">
        <f t="shared" si="52"/>
        <v>7500/000INVENTORY</v>
      </c>
      <c r="N352" s="76"/>
      <c r="O352" s="77"/>
      <c r="P352" s="57"/>
      <c r="Q352" s="31"/>
    </row>
    <row r="353" spans="1:17" x14ac:dyDescent="0.2">
      <c r="A353" s="315"/>
      <c r="B353" s="60" t="s">
        <v>424</v>
      </c>
      <c r="C353" s="317" t="s">
        <v>425</v>
      </c>
      <c r="D353" s="357"/>
      <c r="E353" s="356"/>
      <c r="F353" s="86">
        <f t="shared" si="53"/>
        <v>0</v>
      </c>
      <c r="G353" s="53">
        <f>SUMIF(JournalsC!D$14:D$920,TrialBalanceC!M353,JournalsC!J$14:J$920)+SUMIF(JournalsC!E$14:E$920,TrialBalanceC!M353,JournalsC!J$14:J$920)</f>
        <v>0</v>
      </c>
      <c r="H353" s="363"/>
      <c r="I353" s="366">
        <f t="shared" si="47"/>
        <v>0</v>
      </c>
      <c r="J353" s="81"/>
      <c r="K353" s="54">
        <f t="shared" si="51"/>
        <v>0</v>
      </c>
      <c r="M353" s="192" t="str">
        <f t="shared" si="52"/>
        <v>7500/001Raw materials</v>
      </c>
      <c r="N353" s="76"/>
      <c r="O353" s="77"/>
      <c r="P353" s="57"/>
      <c r="Q353" s="31"/>
    </row>
    <row r="354" spans="1:17" x14ac:dyDescent="0.2">
      <c r="A354" s="315"/>
      <c r="B354" s="60" t="s">
        <v>22</v>
      </c>
      <c r="C354" s="317" t="s">
        <v>23</v>
      </c>
      <c r="D354" s="357"/>
      <c r="E354" s="356"/>
      <c r="F354" s="86">
        <f t="shared" si="53"/>
        <v>0</v>
      </c>
      <c r="G354" s="53">
        <f>SUMIF(JournalsC!D$14:D$920,TrialBalanceC!M354,JournalsC!J$14:J$920)+SUMIF(JournalsC!E$14:E$920,TrialBalanceC!M354,JournalsC!J$14:J$920)</f>
        <v>0</v>
      </c>
      <c r="H354" s="363"/>
      <c r="I354" s="366">
        <f t="shared" ref="I354:I397" si="96">ROUND(D354-E354+G354+F354,0)</f>
        <v>0</v>
      </c>
      <c r="J354" s="81"/>
      <c r="K354" s="54">
        <f t="shared" si="51"/>
        <v>0</v>
      </c>
      <c r="M354" s="192" t="str">
        <f t="shared" si="52"/>
        <v>7500/002Work in progress</v>
      </c>
      <c r="N354" s="76"/>
      <c r="O354" s="77"/>
      <c r="P354" s="57"/>
      <c r="Q354" s="31"/>
    </row>
    <row r="355" spans="1:17" x14ac:dyDescent="0.2">
      <c r="A355" s="315"/>
      <c r="B355" s="60" t="s">
        <v>24</v>
      </c>
      <c r="C355" s="317" t="s">
        <v>25</v>
      </c>
      <c r="D355" s="357"/>
      <c r="E355" s="356"/>
      <c r="F355" s="86">
        <f t="shared" si="53"/>
        <v>0</v>
      </c>
      <c r="G355" s="53">
        <f>SUMIF(JournalsC!D$14:D$920,TrialBalanceC!M355,JournalsC!J$14:J$920)+SUMIF(JournalsC!E$14:E$920,TrialBalanceC!M355,JournalsC!J$14:J$920)</f>
        <v>0</v>
      </c>
      <c r="H355" s="363"/>
      <c r="I355" s="366">
        <f t="shared" si="96"/>
        <v>0</v>
      </c>
      <c r="J355" s="81"/>
      <c r="K355" s="54">
        <f t="shared" si="51"/>
        <v>0</v>
      </c>
      <c r="M355" s="192" t="str">
        <f t="shared" si="52"/>
        <v>7500/003Finished goods</v>
      </c>
      <c r="N355" s="76"/>
      <c r="O355" s="77"/>
      <c r="P355" s="57"/>
      <c r="Q355" s="31"/>
    </row>
    <row r="356" spans="1:17" x14ac:dyDescent="0.2">
      <c r="A356" s="315"/>
      <c r="B356" s="60" t="s">
        <v>28</v>
      </c>
      <c r="C356" s="317" t="s">
        <v>29</v>
      </c>
      <c r="D356" s="357"/>
      <c r="E356" s="356"/>
      <c r="F356" s="86">
        <f t="shared" si="53"/>
        <v>0</v>
      </c>
      <c r="G356" s="53">
        <f>SUMIF(JournalsC!D$14:D$920,TrialBalanceC!M356,JournalsC!J$14:J$920)+SUMIF(JournalsC!E$14:E$920,TrialBalanceC!M356,JournalsC!J$14:J$920)</f>
        <v>0</v>
      </c>
      <c r="H356" s="363"/>
      <c r="I356" s="366">
        <f t="shared" si="96"/>
        <v>0</v>
      </c>
      <c r="J356" s="81"/>
      <c r="K356" s="54">
        <f t="shared" si="51"/>
        <v>0</v>
      </c>
      <c r="M356" s="192" t="str">
        <f t="shared" si="52"/>
        <v>7500/004Trading stock</v>
      </c>
      <c r="N356" s="76"/>
      <c r="O356" s="77"/>
      <c r="P356" s="57"/>
      <c r="Q356" s="31"/>
    </row>
    <row r="357" spans="1:17" x14ac:dyDescent="0.2">
      <c r="A357" s="315"/>
      <c r="B357" s="60" t="s">
        <v>31</v>
      </c>
      <c r="C357" s="316" t="s">
        <v>32</v>
      </c>
      <c r="D357" s="358"/>
      <c r="E357" s="356"/>
      <c r="F357" s="86"/>
      <c r="G357" s="53">
        <f>SUMIF(JournalsC!D$14:D$920,TrialBalanceC!M357,JournalsC!J$14:J$920)+SUMIF(JournalsC!E$14:E$920,TrialBalanceC!M357,JournalsC!J$14:J$920)</f>
        <v>0</v>
      </c>
      <c r="H357" s="363"/>
      <c r="I357" s="366">
        <f t="shared" si="96"/>
        <v>0</v>
      </c>
      <c r="J357" s="81"/>
      <c r="K357" s="54">
        <f t="shared" si="51"/>
        <v>0</v>
      </c>
      <c r="M357" s="192" t="str">
        <f t="shared" si="52"/>
        <v>8000/000DEBTORS</v>
      </c>
      <c r="N357" s="76"/>
      <c r="O357" s="77"/>
      <c r="P357" s="57"/>
      <c r="Q357" s="31"/>
    </row>
    <row r="358" spans="1:17" x14ac:dyDescent="0.2">
      <c r="A358" s="315"/>
      <c r="B358" s="60" t="s">
        <v>33</v>
      </c>
      <c r="C358" s="317" t="s">
        <v>34</v>
      </c>
      <c r="D358" s="357"/>
      <c r="E358" s="356"/>
      <c r="F358" s="86">
        <f t="shared" si="53"/>
        <v>0</v>
      </c>
      <c r="G358" s="53">
        <f>SUMIF(JournalsC!D$14:D$920,TrialBalanceC!M358,JournalsC!J$14:J$920)+SUMIF(JournalsC!E$14:E$920,TrialBalanceC!M358,JournalsC!J$14:J$920)</f>
        <v>0</v>
      </c>
      <c r="H358" s="363"/>
      <c r="I358" s="366">
        <f t="shared" si="96"/>
        <v>0</v>
      </c>
      <c r="J358" s="81"/>
      <c r="K358" s="54">
        <f t="shared" si="51"/>
        <v>0</v>
      </c>
      <c r="M358" s="192" t="str">
        <f t="shared" si="52"/>
        <v>8010/000Trade debtors</v>
      </c>
      <c r="N358" s="76"/>
      <c r="O358" s="77"/>
      <c r="P358" s="57"/>
      <c r="Q358" s="31"/>
    </row>
    <row r="359" spans="1:17" x14ac:dyDescent="0.2">
      <c r="A359" s="315"/>
      <c r="B359" s="110" t="s">
        <v>35</v>
      </c>
      <c r="C359" s="319" t="s">
        <v>561</v>
      </c>
      <c r="D359" s="357"/>
      <c r="E359" s="356"/>
      <c r="F359" s="86">
        <f t="shared" si="53"/>
        <v>0</v>
      </c>
      <c r="G359" s="53">
        <f>SUMIF(JournalsC!D$14:D$920,TrialBalanceC!M359,JournalsC!J$14:J$920)+SUMIF(JournalsC!E$14:E$920,TrialBalanceC!M359,JournalsC!J$14:J$920)</f>
        <v>0</v>
      </c>
      <c r="H359" s="363"/>
      <c r="I359" s="366">
        <f t="shared" si="96"/>
        <v>0</v>
      </c>
      <c r="J359" s="81"/>
      <c r="K359" s="54">
        <f t="shared" si="51"/>
        <v>0</v>
      </c>
      <c r="M359" s="192" t="str">
        <f t="shared" si="52"/>
        <v>8020/000Less: Provision for doubtful debts</v>
      </c>
      <c r="N359" s="76"/>
      <c r="O359" s="77"/>
      <c r="P359" s="57"/>
      <c r="Q359" s="31"/>
    </row>
    <row r="360" spans="1:17" x14ac:dyDescent="0.2">
      <c r="A360" s="315"/>
      <c r="B360" s="110" t="s">
        <v>563</v>
      </c>
      <c r="C360" s="317" t="s">
        <v>327</v>
      </c>
      <c r="D360" s="357"/>
      <c r="E360" s="356"/>
      <c r="F360" s="86">
        <f t="shared" si="53"/>
        <v>0</v>
      </c>
      <c r="G360" s="53">
        <f>SUMIF(JournalsC!D$14:D$920,TrialBalanceC!M360,JournalsC!J$14:J$920)+SUMIF(JournalsC!E$14:E$920,TrialBalanceC!M360,JournalsC!J$14:J$920)</f>
        <v>0</v>
      </c>
      <c r="H360" s="363"/>
      <c r="I360" s="366">
        <f t="shared" si="96"/>
        <v>0</v>
      </c>
      <c r="J360" s="81"/>
      <c r="K360" s="54">
        <f t="shared" si="51"/>
        <v>0</v>
      </c>
      <c r="M360" s="192" t="str">
        <f t="shared" si="52"/>
        <v>8030/000Service deposits</v>
      </c>
      <c r="N360" s="76"/>
      <c r="O360" s="77"/>
      <c r="P360" s="57"/>
      <c r="Q360" s="31"/>
    </row>
    <row r="361" spans="1:17" x14ac:dyDescent="0.2">
      <c r="A361" s="315"/>
      <c r="B361" s="60" t="s">
        <v>476</v>
      </c>
      <c r="C361" s="319" t="s">
        <v>801</v>
      </c>
      <c r="D361" s="357"/>
      <c r="E361" s="356"/>
      <c r="F361" s="86">
        <f t="shared" si="53"/>
        <v>0</v>
      </c>
      <c r="G361" s="53">
        <f>SUMIF(JournalsC!D$14:D$920,TrialBalanceC!M361,JournalsC!J$14:J$920)+SUMIF(JournalsC!E$14:E$920,TrialBalanceC!M361,JournalsC!J$14:J$920)</f>
        <v>0</v>
      </c>
      <c r="H361" s="363"/>
      <c r="I361" s="366">
        <f t="shared" si="96"/>
        <v>0</v>
      </c>
      <c r="J361" s="81"/>
      <c r="K361" s="54">
        <f t="shared" si="51"/>
        <v>0</v>
      </c>
      <c r="M361" s="192" t="str">
        <f t="shared" si="52"/>
        <v>8200/000Sundry customers</v>
      </c>
      <c r="N361" s="76"/>
      <c r="O361" s="77"/>
      <c r="P361" s="57"/>
      <c r="Q361" s="31"/>
    </row>
    <row r="362" spans="1:17" x14ac:dyDescent="0.2">
      <c r="A362" s="315"/>
      <c r="B362" s="60" t="s">
        <v>477</v>
      </c>
      <c r="C362" s="317" t="s">
        <v>382</v>
      </c>
      <c r="D362" s="357"/>
      <c r="E362" s="356"/>
      <c r="F362" s="86">
        <f t="shared" si="53"/>
        <v>0</v>
      </c>
      <c r="G362" s="53">
        <f>SUMIF(JournalsC!D$14:D$920,TrialBalanceC!M362,JournalsC!J$14:J$920)+SUMIF(JournalsC!E$14:E$920,TrialBalanceC!M362,JournalsC!J$14:J$920)</f>
        <v>0</v>
      </c>
      <c r="H362" s="363"/>
      <c r="I362" s="366">
        <f t="shared" si="96"/>
        <v>0</v>
      </c>
      <c r="J362" s="81"/>
      <c r="K362" s="54">
        <f t="shared" si="51"/>
        <v>0</v>
      </c>
      <c r="M362" s="192" t="str">
        <f t="shared" si="52"/>
        <v>8200/010Prepayments</v>
      </c>
      <c r="N362" s="76"/>
      <c r="O362" s="77"/>
      <c r="P362" s="57"/>
      <c r="Q362" s="31"/>
    </row>
    <row r="363" spans="1:17" x14ac:dyDescent="0.2">
      <c r="A363" s="315"/>
      <c r="B363" s="60" t="s">
        <v>244</v>
      </c>
      <c r="C363" s="318" t="s">
        <v>534</v>
      </c>
      <c r="D363" s="348"/>
      <c r="E363" s="356"/>
      <c r="F363" s="86">
        <f t="shared" si="53"/>
        <v>0</v>
      </c>
      <c r="G363" s="53">
        <f>SUMIF(JournalsC!D$14:D$920,TrialBalanceC!M363,JournalsC!J$14:J$920)+SUMIF(JournalsC!E$14:E$920,TrialBalanceC!M363,JournalsC!J$14:J$920)</f>
        <v>0</v>
      </c>
      <c r="H363" s="363"/>
      <c r="I363" s="366">
        <f t="shared" si="96"/>
        <v>0</v>
      </c>
      <c r="J363" s="81"/>
      <c r="K363" s="54">
        <f t="shared" si="51"/>
        <v>0</v>
      </c>
      <c r="M363" s="192" t="str">
        <f t="shared" si="52"/>
        <v>8200/020Staff loans</v>
      </c>
      <c r="N363" s="76"/>
      <c r="O363" s="77"/>
      <c r="P363" s="57"/>
      <c r="Q363" s="31"/>
    </row>
    <row r="364" spans="1:17" x14ac:dyDescent="0.2">
      <c r="A364" s="315"/>
      <c r="B364" s="60" t="s">
        <v>245</v>
      </c>
      <c r="C364" s="321" t="s">
        <v>132</v>
      </c>
      <c r="D364" s="346"/>
      <c r="E364" s="356"/>
      <c r="F364" s="86"/>
      <c r="G364" s="53">
        <f>SUMIF(JournalsC!D$14:D$920,TrialBalanceC!M364,JournalsC!J$14:J$920)+SUMIF(JournalsC!E$14:E$920,TrialBalanceC!M364,JournalsC!J$14:J$920)</f>
        <v>0</v>
      </c>
      <c r="H364" s="363"/>
      <c r="I364" s="366">
        <f t="shared" si="96"/>
        <v>0</v>
      </c>
      <c r="J364" s="81"/>
      <c r="K364" s="54">
        <f t="shared" si="51"/>
        <v>0</v>
      </c>
      <c r="M364" s="192" t="str">
        <f t="shared" si="52"/>
        <v>8400/000BANK ACCOUNTS</v>
      </c>
      <c r="N364" s="76"/>
      <c r="O364" s="77"/>
      <c r="P364" s="57"/>
      <c r="Q364" s="31"/>
    </row>
    <row r="365" spans="1:17" x14ac:dyDescent="0.2">
      <c r="A365" s="315"/>
      <c r="B365" s="60" t="s">
        <v>246</v>
      </c>
      <c r="C365" s="352">
        <f>TrialBalance!C365</f>
        <v>0</v>
      </c>
      <c r="D365" s="356"/>
      <c r="E365" s="356"/>
      <c r="F365" s="86">
        <f t="shared" si="53"/>
        <v>0</v>
      </c>
      <c r="G365" s="53">
        <f>SUMIF(JournalsC!D$14:D$920,TrialBalanceC!M365,JournalsC!J$14:J$920)+SUMIF(JournalsC!E$14:E$920,TrialBalanceC!M365,JournalsC!J$14:J$920)</f>
        <v>0</v>
      </c>
      <c r="H365" s="363"/>
      <c r="I365" s="366">
        <f t="shared" si="96"/>
        <v>0</v>
      </c>
      <c r="J365" s="81"/>
      <c r="K365" s="54">
        <f t="shared" si="51"/>
        <v>0</v>
      </c>
      <c r="M365" s="192" t="str">
        <f t="shared" si="52"/>
        <v>8410/0000</v>
      </c>
      <c r="N365" s="76"/>
      <c r="O365" s="77"/>
      <c r="P365" s="57"/>
      <c r="Q365" s="31"/>
    </row>
    <row r="366" spans="1:17" x14ac:dyDescent="0.2">
      <c r="A366" s="315"/>
      <c r="B366" s="60" t="s">
        <v>247</v>
      </c>
      <c r="C366" s="352">
        <f>TrialBalance!C366</f>
        <v>0</v>
      </c>
      <c r="D366" s="356"/>
      <c r="E366" s="356"/>
      <c r="F366" s="86">
        <f t="shared" si="53"/>
        <v>0</v>
      </c>
      <c r="G366" s="53">
        <f>SUMIF(JournalsC!D$14:D$920,TrialBalanceC!M366,JournalsC!J$14:J$920)+SUMIF(JournalsC!E$14:E$920,TrialBalanceC!M366,JournalsC!J$14:J$920)</f>
        <v>0</v>
      </c>
      <c r="H366" s="363"/>
      <c r="I366" s="366">
        <f t="shared" si="96"/>
        <v>0</v>
      </c>
      <c r="J366" s="81"/>
      <c r="K366" s="54">
        <f t="shared" si="51"/>
        <v>0</v>
      </c>
      <c r="M366" s="192" t="str">
        <f t="shared" si="52"/>
        <v>8420/0000</v>
      </c>
      <c r="N366" s="76"/>
      <c r="O366" s="77"/>
      <c r="P366" s="57"/>
      <c r="Q366" s="31"/>
    </row>
    <row r="367" spans="1:17" x14ac:dyDescent="0.2">
      <c r="A367" s="315"/>
      <c r="B367" s="60" t="s">
        <v>248</v>
      </c>
      <c r="C367" s="352">
        <f>TrialBalance!C367</f>
        <v>0</v>
      </c>
      <c r="D367" s="348"/>
      <c r="E367" s="356"/>
      <c r="F367" s="86">
        <f t="shared" si="53"/>
        <v>0</v>
      </c>
      <c r="G367" s="53">
        <f>SUMIF(JournalsC!D$14:D$920,TrialBalanceC!M367,JournalsC!J$14:J$920)+SUMIF(JournalsC!E$14:E$920,TrialBalanceC!M367,JournalsC!J$14:J$920)</f>
        <v>0</v>
      </c>
      <c r="H367" s="363"/>
      <c r="I367" s="366">
        <f t="shared" si="96"/>
        <v>0</v>
      </c>
      <c r="J367" s="81"/>
      <c r="K367" s="54">
        <f t="shared" si="51"/>
        <v>0</v>
      </c>
      <c r="M367" s="192" t="str">
        <f t="shared" si="52"/>
        <v>8430/0000</v>
      </c>
      <c r="N367" s="76"/>
      <c r="O367" s="77"/>
      <c r="P367" s="57"/>
      <c r="Q367" s="31"/>
    </row>
    <row r="368" spans="1:17" x14ac:dyDescent="0.2">
      <c r="A368" s="315"/>
      <c r="B368" s="60" t="s">
        <v>249</v>
      </c>
      <c r="C368" s="352">
        <f>TrialBalance!C368</f>
        <v>0</v>
      </c>
      <c r="D368" s="357"/>
      <c r="E368" s="356"/>
      <c r="F368" s="86">
        <f t="shared" si="53"/>
        <v>0</v>
      </c>
      <c r="G368" s="53">
        <f>SUMIF(JournalsC!D$14:D$920,TrialBalanceC!M368,JournalsC!J$14:J$920)+SUMIF(JournalsC!E$14:E$920,TrialBalanceC!M368,JournalsC!J$14:J$920)</f>
        <v>0</v>
      </c>
      <c r="H368" s="363"/>
      <c r="I368" s="366">
        <f t="shared" si="96"/>
        <v>0</v>
      </c>
      <c r="J368" s="81"/>
      <c r="K368" s="54">
        <f t="shared" si="51"/>
        <v>0</v>
      </c>
      <c r="M368" s="192" t="str">
        <f t="shared" si="52"/>
        <v>8440/0000</v>
      </c>
      <c r="N368" s="76"/>
      <c r="O368" s="77"/>
      <c r="P368" s="57"/>
      <c r="Q368" s="31"/>
    </row>
    <row r="369" spans="1:17" x14ac:dyDescent="0.2">
      <c r="A369" s="315"/>
      <c r="B369" s="60" t="s">
        <v>250</v>
      </c>
      <c r="C369" s="352">
        <f>TrialBalance!C369</f>
        <v>0</v>
      </c>
      <c r="D369" s="357"/>
      <c r="E369" s="356"/>
      <c r="F369" s="86">
        <f t="shared" si="53"/>
        <v>0</v>
      </c>
      <c r="G369" s="53">
        <f>SUMIF(JournalsC!D$14:D$920,TrialBalanceC!M369,JournalsC!J$14:J$920)+SUMIF(JournalsC!E$14:E$920,TrialBalanceC!M369,JournalsC!J$14:J$920)</f>
        <v>0</v>
      </c>
      <c r="H369" s="363"/>
      <c r="I369" s="366">
        <f t="shared" si="96"/>
        <v>0</v>
      </c>
      <c r="J369" s="81"/>
      <c r="K369" s="54">
        <f t="shared" si="51"/>
        <v>0</v>
      </c>
      <c r="M369" s="192" t="str">
        <f t="shared" si="52"/>
        <v>8450/0000</v>
      </c>
      <c r="N369" s="76"/>
      <c r="O369" s="77"/>
      <c r="P369" s="57"/>
      <c r="Q369" s="31"/>
    </row>
    <row r="370" spans="1:17" x14ac:dyDescent="0.2">
      <c r="A370" s="315"/>
      <c r="B370" s="60" t="s">
        <v>133</v>
      </c>
      <c r="C370" s="352">
        <f>TrialBalance!C370</f>
        <v>0</v>
      </c>
      <c r="D370" s="357"/>
      <c r="E370" s="356"/>
      <c r="F370" s="86">
        <f t="shared" si="53"/>
        <v>0</v>
      </c>
      <c r="G370" s="53">
        <f>SUMIF(JournalsC!D$14:D$920,TrialBalanceC!M370,JournalsC!J$14:J$920)+SUMIF(JournalsC!E$14:E$920,TrialBalanceC!M370,JournalsC!J$14:J$920)</f>
        <v>0</v>
      </c>
      <c r="H370" s="363"/>
      <c r="I370" s="366">
        <f t="shared" si="96"/>
        <v>0</v>
      </c>
      <c r="J370" s="81"/>
      <c r="K370" s="54">
        <f t="shared" si="51"/>
        <v>0</v>
      </c>
      <c r="M370" s="192" t="str">
        <f t="shared" si="52"/>
        <v>8460/0000</v>
      </c>
      <c r="N370" s="76"/>
      <c r="O370" s="77"/>
      <c r="P370" s="57"/>
      <c r="Q370" s="31"/>
    </row>
    <row r="371" spans="1:17" x14ac:dyDescent="0.2">
      <c r="A371" s="315"/>
      <c r="B371" s="60" t="s">
        <v>430</v>
      </c>
      <c r="C371" s="323" t="s">
        <v>431</v>
      </c>
      <c r="D371" s="348"/>
      <c r="E371" s="356"/>
      <c r="F371" s="86">
        <f t="shared" si="53"/>
        <v>0</v>
      </c>
      <c r="G371" s="53">
        <f>SUMIF(JournalsC!D$14:D$920,TrialBalanceC!M371,JournalsC!J$14:J$920)+SUMIF(JournalsC!E$14:E$920,TrialBalanceC!M371,JournalsC!J$14:J$920)</f>
        <v>0</v>
      </c>
      <c r="H371" s="363"/>
      <c r="I371" s="366">
        <f t="shared" si="96"/>
        <v>0</v>
      </c>
      <c r="J371" s="81"/>
      <c r="K371" s="54">
        <f t="shared" si="51"/>
        <v>0</v>
      </c>
      <c r="M371" s="192" t="str">
        <f t="shared" si="52"/>
        <v>8500/000Cash on hand</v>
      </c>
      <c r="N371" s="76"/>
      <c r="O371" s="77"/>
      <c r="P371" s="57"/>
      <c r="Q371" s="31"/>
    </row>
    <row r="372" spans="1:17" x14ac:dyDescent="0.2">
      <c r="A372" s="315"/>
      <c r="B372" s="60" t="s">
        <v>432</v>
      </c>
      <c r="C372" s="321" t="s">
        <v>289</v>
      </c>
      <c r="D372" s="346"/>
      <c r="E372" s="356"/>
      <c r="F372" s="86"/>
      <c r="G372" s="53">
        <f>SUMIF(JournalsC!D$14:D$920,TrialBalanceC!M372,JournalsC!J$14:J$920)+SUMIF(JournalsC!E$14:E$920,TrialBalanceC!M372,JournalsC!J$14:J$920)</f>
        <v>0</v>
      </c>
      <c r="H372" s="363"/>
      <c r="I372" s="366">
        <f t="shared" si="96"/>
        <v>0</v>
      </c>
      <c r="J372" s="81"/>
      <c r="K372" s="54">
        <f t="shared" si="51"/>
        <v>0</v>
      </c>
      <c r="M372" s="192" t="str">
        <f t="shared" si="52"/>
        <v>8900/000SHORT TERM LOANS</v>
      </c>
      <c r="N372" s="76"/>
      <c r="O372" s="77"/>
      <c r="P372" s="57"/>
      <c r="Q372" s="31"/>
    </row>
    <row r="373" spans="1:17" x14ac:dyDescent="0.2">
      <c r="A373" s="315"/>
      <c r="B373" s="60" t="s">
        <v>433</v>
      </c>
      <c r="C373" s="352">
        <f>TrialBalance!C373</f>
        <v>0</v>
      </c>
      <c r="D373" s="348"/>
      <c r="E373" s="356"/>
      <c r="F373" s="86">
        <f t="shared" si="53"/>
        <v>0</v>
      </c>
      <c r="G373" s="53">
        <f>SUMIF(JournalsC!D$14:D$920,TrialBalanceC!M373,JournalsC!J$14:J$920)+SUMIF(JournalsC!E$14:E$920,TrialBalanceC!M373,JournalsC!J$14:J$920)</f>
        <v>0</v>
      </c>
      <c r="H373" s="363"/>
      <c r="I373" s="366">
        <f t="shared" si="96"/>
        <v>0</v>
      </c>
      <c r="J373" s="81"/>
      <c r="K373" s="54">
        <f t="shared" si="51"/>
        <v>0</v>
      </c>
      <c r="M373" s="192" t="str">
        <f t="shared" si="52"/>
        <v>8900/0010</v>
      </c>
      <c r="N373" s="76"/>
      <c r="O373" s="77"/>
      <c r="P373" s="57"/>
      <c r="Q373" s="31"/>
    </row>
    <row r="374" spans="1:17" x14ac:dyDescent="0.2">
      <c r="A374" s="315"/>
      <c r="B374" s="60" t="s">
        <v>434</v>
      </c>
      <c r="C374" s="352">
        <f>TrialBalance!C374</f>
        <v>0</v>
      </c>
      <c r="D374" s="357"/>
      <c r="E374" s="356"/>
      <c r="F374" s="86">
        <f t="shared" si="53"/>
        <v>0</v>
      </c>
      <c r="G374" s="53">
        <f>SUMIF(JournalsC!D$14:D$920,TrialBalanceC!M374,JournalsC!J$14:J$920)+SUMIF(JournalsC!E$14:E$920,TrialBalanceC!M374,JournalsC!J$14:J$920)</f>
        <v>0</v>
      </c>
      <c r="H374" s="363"/>
      <c r="I374" s="366">
        <f t="shared" si="96"/>
        <v>0</v>
      </c>
      <c r="J374" s="81"/>
      <c r="K374" s="54">
        <f t="shared" si="51"/>
        <v>0</v>
      </c>
      <c r="M374" s="192" t="str">
        <f t="shared" si="52"/>
        <v>8900/0020</v>
      </c>
      <c r="N374" s="76"/>
      <c r="O374" s="77"/>
      <c r="P374" s="57"/>
      <c r="Q374" s="31"/>
    </row>
    <row r="375" spans="1:17" x14ac:dyDescent="0.2">
      <c r="A375" s="315"/>
      <c r="B375" s="60" t="s">
        <v>435</v>
      </c>
      <c r="C375" s="352">
        <f>TrialBalance!C375</f>
        <v>0</v>
      </c>
      <c r="D375" s="357"/>
      <c r="E375" s="356"/>
      <c r="F375" s="86">
        <f t="shared" si="53"/>
        <v>0</v>
      </c>
      <c r="G375" s="53">
        <f>SUMIF(JournalsC!D$14:D$920,TrialBalanceC!M375,JournalsC!J$14:J$920)+SUMIF(JournalsC!E$14:E$920,TrialBalanceC!M375,JournalsC!J$14:J$920)</f>
        <v>0</v>
      </c>
      <c r="H375" s="363"/>
      <c r="I375" s="366">
        <f t="shared" si="96"/>
        <v>0</v>
      </c>
      <c r="J375" s="81"/>
      <c r="K375" s="54">
        <f t="shared" si="51"/>
        <v>0</v>
      </c>
      <c r="M375" s="192" t="str">
        <f t="shared" si="52"/>
        <v>8900/0030</v>
      </c>
      <c r="N375" s="76"/>
      <c r="O375" s="77"/>
      <c r="P375" s="57"/>
      <c r="Q375" s="31"/>
    </row>
    <row r="376" spans="1:17" x14ac:dyDescent="0.2">
      <c r="A376" s="315"/>
      <c r="B376" s="60" t="s">
        <v>436</v>
      </c>
      <c r="C376" s="316" t="s">
        <v>256</v>
      </c>
      <c r="D376" s="358"/>
      <c r="E376" s="356"/>
      <c r="F376" s="86"/>
      <c r="G376" s="53">
        <f>SUMIF(JournalsC!D$14:D$920,TrialBalanceC!M376,JournalsC!J$14:J$920)+SUMIF(JournalsC!E$14:E$920,TrialBalanceC!M376,JournalsC!J$14:J$920)</f>
        <v>0</v>
      </c>
      <c r="H376" s="363"/>
      <c r="I376" s="366">
        <f t="shared" si="96"/>
        <v>0</v>
      </c>
      <c r="J376" s="81"/>
      <c r="K376" s="54">
        <f t="shared" si="51"/>
        <v>0</v>
      </c>
      <c r="M376" s="192" t="str">
        <f t="shared" si="52"/>
        <v>8900/004Short term portion of long term loans</v>
      </c>
      <c r="N376" s="76"/>
      <c r="O376" s="77"/>
      <c r="P376" s="57"/>
      <c r="Q376" s="31"/>
    </row>
    <row r="377" spans="1:17" x14ac:dyDescent="0.2">
      <c r="A377" s="315"/>
      <c r="B377" s="60" t="s">
        <v>437</v>
      </c>
      <c r="C377" s="316" t="s">
        <v>438</v>
      </c>
      <c r="D377" s="358"/>
      <c r="E377" s="356"/>
      <c r="F377" s="86"/>
      <c r="G377" s="53">
        <f>SUMIF(JournalsC!D$14:D$920,TrialBalanceC!M377,JournalsC!J$14:J$920)+SUMIF(JournalsC!E$14:E$920,TrialBalanceC!M377,JournalsC!J$14:J$920)</f>
        <v>0</v>
      </c>
      <c r="H377" s="363"/>
      <c r="I377" s="366">
        <f t="shared" si="96"/>
        <v>0</v>
      </c>
      <c r="J377" s="81"/>
      <c r="K377" s="54">
        <f t="shared" si="51"/>
        <v>0</v>
      </c>
      <c r="M377" s="192" t="str">
        <f t="shared" si="52"/>
        <v>9000/000CREDITORS</v>
      </c>
      <c r="N377" s="76"/>
      <c r="O377" s="77"/>
      <c r="P377" s="57"/>
      <c r="Q377" s="31"/>
    </row>
    <row r="378" spans="1:17" x14ac:dyDescent="0.2">
      <c r="A378" s="315"/>
      <c r="B378" s="60" t="s">
        <v>439</v>
      </c>
      <c r="C378" s="317" t="s">
        <v>440</v>
      </c>
      <c r="D378" s="357"/>
      <c r="E378" s="356"/>
      <c r="F378" s="86">
        <f>K378</f>
        <v>0</v>
      </c>
      <c r="G378" s="53">
        <f>SUMIF(JournalsC!D$14:D$920,TrialBalanceC!M378,JournalsC!J$14:J$920)+SUMIF(JournalsC!E$14:E$920,TrialBalanceC!M378,JournalsC!J$14:J$920)</f>
        <v>0</v>
      </c>
      <c r="H378" s="363"/>
      <c r="I378" s="366">
        <f t="shared" si="96"/>
        <v>0</v>
      </c>
      <c r="J378" s="81"/>
      <c r="K378" s="54">
        <f t="shared" si="51"/>
        <v>0</v>
      </c>
      <c r="M378" s="192" t="str">
        <f t="shared" si="52"/>
        <v>9010/000Trade creditors</v>
      </c>
      <c r="N378" s="76"/>
      <c r="O378" s="77"/>
      <c r="P378" s="57"/>
      <c r="Q378" s="31"/>
    </row>
    <row r="379" spans="1:17" x14ac:dyDescent="0.2">
      <c r="A379" s="315"/>
      <c r="B379" s="60" t="s">
        <v>441</v>
      </c>
      <c r="C379" s="319" t="s">
        <v>548</v>
      </c>
      <c r="D379" s="357"/>
      <c r="E379" s="356"/>
      <c r="F379" s="86">
        <f>K379</f>
        <v>0</v>
      </c>
      <c r="G379" s="53">
        <f>SUMIF(JournalsC!D$14:D$920,TrialBalanceC!M379,JournalsC!J$14:J$920)+SUMIF(JournalsC!E$14:E$920,TrialBalanceC!M379,JournalsC!J$14:J$920)</f>
        <v>0</v>
      </c>
      <c r="H379" s="363"/>
      <c r="I379" s="366">
        <f t="shared" si="96"/>
        <v>0</v>
      </c>
      <c r="J379" s="81"/>
      <c r="K379" s="54">
        <f t="shared" si="51"/>
        <v>0</v>
      </c>
      <c r="M379" s="192" t="str">
        <f t="shared" si="52"/>
        <v>9200/000Sundry suppliers</v>
      </c>
      <c r="N379" s="76"/>
      <c r="O379" s="77"/>
      <c r="P379" s="57"/>
      <c r="Q379" s="31"/>
    </row>
    <row r="380" spans="1:17" x14ac:dyDescent="0.2">
      <c r="A380" s="315"/>
      <c r="B380" s="60" t="s">
        <v>442</v>
      </c>
      <c r="C380" s="319" t="s">
        <v>758</v>
      </c>
      <c r="D380" s="359"/>
      <c r="E380" s="356"/>
      <c r="F380" s="86">
        <f>K380</f>
        <v>0</v>
      </c>
      <c r="G380" s="53">
        <f>SUMIF(JournalsC!D$14:D$920,TrialBalanceC!M380,JournalsC!J$14:J$920)+SUMIF(JournalsC!E$14:E$920,TrialBalanceC!M380,JournalsC!J$14:J$920)</f>
        <v>0</v>
      </c>
      <c r="H380" s="363"/>
      <c r="I380" s="366">
        <f t="shared" si="96"/>
        <v>0</v>
      </c>
      <c r="J380" s="81"/>
      <c r="K380" s="54">
        <f t="shared" si="51"/>
        <v>0</v>
      </c>
      <c r="M380" s="192" t="str">
        <f t="shared" si="52"/>
        <v>9200/010Audit and accounting fee accrual</v>
      </c>
      <c r="N380" s="76"/>
      <c r="O380" s="77"/>
      <c r="P380" s="57"/>
      <c r="Q380" s="31"/>
    </row>
    <row r="381" spans="1:17" x14ac:dyDescent="0.2">
      <c r="A381" s="315"/>
      <c r="B381" s="60" t="s">
        <v>443</v>
      </c>
      <c r="C381" s="319" t="s">
        <v>549</v>
      </c>
      <c r="D381" s="357"/>
      <c r="E381" s="356"/>
      <c r="F381" s="86">
        <f>K381</f>
        <v>0</v>
      </c>
      <c r="G381" s="53">
        <f>SUMIF(JournalsC!D$14:D$920,TrialBalanceC!M381,JournalsC!J$14:J$920)+SUMIF(JournalsC!E$14:E$920,TrialBalanceC!M381,JournalsC!J$14:J$920)</f>
        <v>0</v>
      </c>
      <c r="H381" s="363"/>
      <c r="I381" s="366">
        <f t="shared" si="96"/>
        <v>0</v>
      </c>
      <c r="J381" s="81"/>
      <c r="K381" s="54">
        <f t="shared" si="51"/>
        <v>0</v>
      </c>
      <c r="M381" s="192" t="str">
        <f t="shared" si="52"/>
        <v>9200/020Other accruals</v>
      </c>
      <c r="N381" s="76"/>
      <c r="O381" s="77"/>
      <c r="P381" s="57"/>
      <c r="Q381" s="31"/>
    </row>
    <row r="382" spans="1:17" x14ac:dyDescent="0.2">
      <c r="A382" s="315"/>
      <c r="B382" s="60" t="s">
        <v>444</v>
      </c>
      <c r="C382" s="319" t="s">
        <v>753</v>
      </c>
      <c r="D382" s="357"/>
      <c r="E382" s="356"/>
      <c r="F382" s="86">
        <f>K382</f>
        <v>0</v>
      </c>
      <c r="G382" s="53">
        <f>SUMIF(JournalsC!D$14:D$920,TrialBalanceC!M382,JournalsC!J$14:J$920)+SUMIF(JournalsC!E$14:E$920,TrialBalanceC!M382,JournalsC!J$14:J$920)</f>
        <v>0</v>
      </c>
      <c r="H382" s="363"/>
      <c r="I382" s="366">
        <f t="shared" si="96"/>
        <v>0</v>
      </c>
      <c r="J382" s="81"/>
      <c r="K382" s="54">
        <f t="shared" si="51"/>
        <v>0</v>
      </c>
      <c r="M382" s="192" t="str">
        <f t="shared" si="52"/>
        <v>9250/000Salary and wages control</v>
      </c>
      <c r="N382" s="76"/>
      <c r="O382" s="77"/>
      <c r="P382" s="57"/>
      <c r="Q382" s="31"/>
    </row>
    <row r="383" spans="1:17" x14ac:dyDescent="0.2">
      <c r="A383" s="315"/>
      <c r="B383" s="60" t="s">
        <v>336</v>
      </c>
      <c r="C383" s="316" t="s">
        <v>124</v>
      </c>
      <c r="D383" s="358"/>
      <c r="E383" s="356"/>
      <c r="F383" s="86"/>
      <c r="G383" s="53">
        <f>SUMIF(JournalsC!D$14:D$920,TrialBalanceC!M383,JournalsC!J$14:J$920)+SUMIF(JournalsC!E$14:E$920,TrialBalanceC!M383,JournalsC!J$14:J$920)</f>
        <v>0</v>
      </c>
      <c r="H383" s="363"/>
      <c r="I383" s="366">
        <f t="shared" si="96"/>
        <v>0</v>
      </c>
      <c r="J383" s="81"/>
      <c r="K383" s="54">
        <f t="shared" si="51"/>
        <v>0</v>
      </c>
      <c r="M383" s="192" t="str">
        <f t="shared" si="52"/>
        <v>9300/000TAXATION</v>
      </c>
      <c r="N383" s="76"/>
      <c r="O383" s="77"/>
      <c r="P383" s="57"/>
      <c r="Q383" s="31"/>
    </row>
    <row r="384" spans="1:17" x14ac:dyDescent="0.2">
      <c r="A384" s="315"/>
      <c r="B384" s="60" t="s">
        <v>453</v>
      </c>
      <c r="C384" s="317" t="s">
        <v>92</v>
      </c>
      <c r="D384" s="357"/>
      <c r="E384" s="356"/>
      <c r="F384" s="86">
        <f>SUM(K384:K390)</f>
        <v>0</v>
      </c>
      <c r="G384" s="53">
        <f>SUMIF(JournalsC!D$14:D$920,TrialBalanceC!M384,JournalsC!J$14:J$920)+SUMIF(JournalsC!E$14:E$920,TrialBalanceC!M384,JournalsC!J$14:J$920)</f>
        <v>0</v>
      </c>
      <c r="H384" s="363"/>
      <c r="I384" s="366">
        <f t="shared" si="96"/>
        <v>0</v>
      </c>
      <c r="J384" s="81"/>
      <c r="K384" s="54">
        <f t="shared" si="51"/>
        <v>0</v>
      </c>
      <c r="M384" s="192" t="str">
        <f t="shared" si="52"/>
        <v>9300/010Balance b/fwd</v>
      </c>
      <c r="N384" s="76"/>
      <c r="O384" s="77"/>
      <c r="P384" s="57"/>
      <c r="Q384" s="31"/>
    </row>
    <row r="385" spans="1:17" x14ac:dyDescent="0.2">
      <c r="A385" s="315"/>
      <c r="B385" s="60" t="s">
        <v>454</v>
      </c>
      <c r="C385" s="323" t="s">
        <v>130</v>
      </c>
      <c r="D385" s="348"/>
      <c r="E385" s="356"/>
      <c r="F385" s="86"/>
      <c r="G385" s="53">
        <f>SUMIF(JournalsC!D$14:D$920,TrialBalanceC!M385,JournalsC!J$14:J$920)+SUMIF(JournalsC!E$14:E$920,TrialBalanceC!M385,JournalsC!J$14:J$920)</f>
        <v>0</v>
      </c>
      <c r="H385" s="363"/>
      <c r="I385" s="366">
        <f t="shared" si="96"/>
        <v>0</v>
      </c>
      <c r="J385" s="81"/>
      <c r="K385" s="54">
        <f t="shared" si="51"/>
        <v>0</v>
      </c>
      <c r="M385" s="192" t="str">
        <f t="shared" si="52"/>
        <v>9300/020Tax provision this year</v>
      </c>
      <c r="N385" s="76"/>
      <c r="O385" s="77"/>
      <c r="P385" s="57"/>
      <c r="Q385" s="31"/>
    </row>
    <row r="386" spans="1:17" x14ac:dyDescent="0.2">
      <c r="A386" s="315"/>
      <c r="B386" s="60" t="s">
        <v>455</v>
      </c>
      <c r="C386" s="319" t="s">
        <v>891</v>
      </c>
      <c r="D386" s="357"/>
      <c r="E386" s="356"/>
      <c r="F386" s="86"/>
      <c r="G386" s="53">
        <f>SUMIF(JournalsC!D$14:D$920,TrialBalanceC!M386,JournalsC!J$14:J$920)+SUMIF(JournalsC!E$14:E$920,TrialBalanceC!M386,JournalsC!J$14:J$920)</f>
        <v>0</v>
      </c>
      <c r="H386" s="363"/>
      <c r="I386" s="366">
        <f t="shared" si="96"/>
        <v>0</v>
      </c>
      <c r="J386" s="81"/>
      <c r="K386" s="54">
        <f t="shared" si="51"/>
        <v>0</v>
      </c>
      <c r="M386" s="192" t="str">
        <f t="shared" si="52"/>
        <v>9300/030Over-/(Under) provision previous year</v>
      </c>
      <c r="N386" s="76"/>
      <c r="O386" s="77"/>
      <c r="P386" s="57"/>
      <c r="Q386" s="31"/>
    </row>
    <row r="387" spans="1:17" x14ac:dyDescent="0.2">
      <c r="A387" s="315"/>
      <c r="B387" s="60" t="s">
        <v>456</v>
      </c>
      <c r="C387" s="319" t="s">
        <v>892</v>
      </c>
      <c r="D387" s="357"/>
      <c r="E387" s="356"/>
      <c r="F387" s="86"/>
      <c r="G387" s="53">
        <f>SUMIF(JournalsC!D$14:D$920,TrialBalanceC!M387,JournalsC!J$14:J$920)+SUMIF(JournalsC!E$14:E$920,TrialBalanceC!M387,JournalsC!J$14:J$920)</f>
        <v>0</v>
      </c>
      <c r="H387" s="363"/>
      <c r="I387" s="366">
        <f t="shared" si="96"/>
        <v>0</v>
      </c>
      <c r="J387" s="81"/>
      <c r="K387" s="54">
        <f t="shared" si="51"/>
        <v>0</v>
      </c>
      <c r="M387" s="192" t="str">
        <f t="shared" si="52"/>
        <v>9300/040Tax paid/(refund) for previous year provisions</v>
      </c>
      <c r="N387" s="76"/>
      <c r="O387" s="77"/>
      <c r="P387" s="57"/>
      <c r="Q387" s="31"/>
    </row>
    <row r="388" spans="1:17" x14ac:dyDescent="0.2">
      <c r="A388" s="315"/>
      <c r="B388" s="60" t="s">
        <v>457</v>
      </c>
      <c r="C388" s="319" t="s">
        <v>802</v>
      </c>
      <c r="D388" s="357"/>
      <c r="E388" s="356"/>
      <c r="F388" s="86"/>
      <c r="G388" s="53">
        <f>SUMIF(JournalsC!D$14:D$920,TrialBalanceC!M388,JournalsC!J$14:J$920)+SUMIF(JournalsC!E$14:E$920,TrialBalanceC!M388,JournalsC!J$14:J$920)</f>
        <v>0</v>
      </c>
      <c r="H388" s="363"/>
      <c r="I388" s="366">
        <f t="shared" si="96"/>
        <v>0</v>
      </c>
      <c r="J388" s="81"/>
      <c r="K388" s="54">
        <f t="shared" ref="K388:K397" si="97">ROUND(SUM(A388),0)</f>
        <v>0</v>
      </c>
      <c r="M388" s="192" t="str">
        <f t="shared" ref="M388:M397" si="98">CONCATENATE(B388,C388)</f>
        <v>9300/0501st Provisional paid</v>
      </c>
      <c r="N388" s="76"/>
      <c r="O388" s="77"/>
      <c r="P388" s="57"/>
      <c r="Q388" s="31"/>
    </row>
    <row r="389" spans="1:17" x14ac:dyDescent="0.2">
      <c r="A389" s="315"/>
      <c r="B389" s="60" t="s">
        <v>458</v>
      </c>
      <c r="C389" s="319" t="s">
        <v>803</v>
      </c>
      <c r="D389" s="357"/>
      <c r="E389" s="356"/>
      <c r="F389" s="86"/>
      <c r="G389" s="53">
        <f>SUMIF(JournalsC!D$14:D$920,TrialBalanceC!M389,JournalsC!J$14:J$920)+SUMIF(JournalsC!E$14:E$920,TrialBalanceC!M389,JournalsC!J$14:J$920)</f>
        <v>0</v>
      </c>
      <c r="H389" s="363"/>
      <c r="I389" s="366">
        <f t="shared" si="96"/>
        <v>0</v>
      </c>
      <c r="J389" s="81"/>
      <c r="K389" s="54">
        <f t="shared" si="97"/>
        <v>0</v>
      </c>
      <c r="M389" s="192" t="str">
        <f t="shared" si="98"/>
        <v>9300/0602nd Provisional paid</v>
      </c>
      <c r="N389" s="76"/>
      <c r="O389" s="77"/>
      <c r="P389" s="57"/>
      <c r="Q389" s="31"/>
    </row>
    <row r="390" spans="1:17" x14ac:dyDescent="0.2">
      <c r="A390" s="315"/>
      <c r="B390" s="60" t="s">
        <v>459</v>
      </c>
      <c r="C390" s="317" t="s">
        <v>131</v>
      </c>
      <c r="D390" s="357"/>
      <c r="E390" s="356"/>
      <c r="F390" s="86"/>
      <c r="G390" s="53">
        <f>SUMIF(JournalsC!D$14:D$920,TrialBalanceC!M390,JournalsC!J$14:J$920)+SUMIF(JournalsC!E$14:E$920,TrialBalanceC!M390,JournalsC!J$14:J$920)</f>
        <v>0</v>
      </c>
      <c r="H390" s="363"/>
      <c r="I390" s="366">
        <f t="shared" si="96"/>
        <v>0</v>
      </c>
      <c r="J390" s="81"/>
      <c r="K390" s="54">
        <f t="shared" si="97"/>
        <v>0</v>
      </c>
      <c r="M390" s="192" t="str">
        <f t="shared" si="98"/>
        <v>9300/0703rd Provisional paid</v>
      </c>
      <c r="N390" s="76"/>
      <c r="O390" s="77"/>
      <c r="P390" s="57"/>
      <c r="Q390" s="31"/>
    </row>
    <row r="391" spans="1:17" x14ac:dyDescent="0.2">
      <c r="A391" s="315"/>
      <c r="B391" s="60" t="s">
        <v>337</v>
      </c>
      <c r="C391" s="319" t="s">
        <v>536</v>
      </c>
      <c r="D391" s="357"/>
      <c r="E391" s="356"/>
      <c r="F391" s="86">
        <f>K391</f>
        <v>0</v>
      </c>
      <c r="G391" s="53">
        <f>SUMIF(JournalsC!D$14:D$920,TrialBalanceC!M391,JournalsC!J$14:J$920)+SUMIF(JournalsC!E$14:E$920,TrialBalanceC!M391,JournalsC!J$14:J$920)</f>
        <v>0</v>
      </c>
      <c r="H391" s="363"/>
      <c r="I391" s="366">
        <f t="shared" si="96"/>
        <v>0</v>
      </c>
      <c r="J391" s="81"/>
      <c r="K391" s="54">
        <f t="shared" si="97"/>
        <v>0</v>
      </c>
      <c r="M391" s="192" t="str">
        <f t="shared" si="98"/>
        <v>9400/000Provision for future expenses</v>
      </c>
      <c r="N391" s="76"/>
      <c r="O391" s="77"/>
      <c r="P391" s="57"/>
      <c r="Q391" s="31"/>
    </row>
    <row r="392" spans="1:17" x14ac:dyDescent="0.2">
      <c r="A392" s="315"/>
      <c r="B392" s="60" t="s">
        <v>338</v>
      </c>
      <c r="C392" s="319" t="s">
        <v>537</v>
      </c>
      <c r="D392" s="357"/>
      <c r="E392" s="356"/>
      <c r="F392" s="86">
        <f>K392</f>
        <v>0</v>
      </c>
      <c r="G392" s="53">
        <f>SUMIF(JournalsC!D$14:D$920,TrialBalanceC!M392,JournalsC!J$14:J$920)+SUMIF(JournalsC!E$14:E$920,TrialBalanceC!M392,JournalsC!J$14:J$920)</f>
        <v>0</v>
      </c>
      <c r="H392" s="363"/>
      <c r="I392" s="366">
        <f t="shared" si="96"/>
        <v>0</v>
      </c>
      <c r="J392" s="81"/>
      <c r="K392" s="54">
        <f t="shared" si="97"/>
        <v>0</v>
      </c>
      <c r="M392" s="192" t="str">
        <f t="shared" si="98"/>
        <v>9400/010Provision for insurance</v>
      </c>
      <c r="N392" s="76"/>
      <c r="O392" s="77"/>
      <c r="P392" s="57"/>
      <c r="Q392" s="31"/>
    </row>
    <row r="393" spans="1:17" x14ac:dyDescent="0.2">
      <c r="A393" s="315"/>
      <c r="B393" s="60" t="s">
        <v>339</v>
      </c>
      <c r="C393" s="319" t="s">
        <v>538</v>
      </c>
      <c r="D393" s="357"/>
      <c r="E393" s="356"/>
      <c r="F393" s="86">
        <f>K393</f>
        <v>0</v>
      </c>
      <c r="G393" s="53">
        <f>SUMIF(JournalsC!D$14:D$920,TrialBalanceC!M393,JournalsC!J$14:J$920)+SUMIF(JournalsC!E$14:E$920,TrialBalanceC!M393,JournalsC!J$14:J$920)</f>
        <v>0</v>
      </c>
      <c r="H393" s="363"/>
      <c r="I393" s="366">
        <f t="shared" si="96"/>
        <v>0</v>
      </c>
      <c r="J393" s="81"/>
      <c r="K393" s="54">
        <f t="shared" si="97"/>
        <v>0</v>
      </c>
      <c r="M393" s="192" t="str">
        <f t="shared" si="98"/>
        <v>9400/020Provision for salary bonus</v>
      </c>
      <c r="N393" s="76"/>
      <c r="O393" s="77"/>
      <c r="P393" s="57"/>
      <c r="Q393" s="31"/>
    </row>
    <row r="394" spans="1:17" x14ac:dyDescent="0.2">
      <c r="A394" s="315"/>
      <c r="B394" s="60" t="s">
        <v>340</v>
      </c>
      <c r="C394" s="316" t="s">
        <v>341</v>
      </c>
      <c r="D394" s="358"/>
      <c r="E394" s="356"/>
      <c r="F394" s="86"/>
      <c r="G394" s="53">
        <f>SUMIF(JournalsC!D$14:D$920,TrialBalanceC!M394,JournalsC!J$14:J$920)+SUMIF(JournalsC!E$14:E$920,TrialBalanceC!M394,JournalsC!J$14:J$920)</f>
        <v>0</v>
      </c>
      <c r="H394" s="363"/>
      <c r="I394" s="366">
        <f t="shared" si="96"/>
        <v>0</v>
      </c>
      <c r="J394" s="81"/>
      <c r="K394" s="54">
        <f t="shared" si="97"/>
        <v>0</v>
      </c>
      <c r="M394" s="192" t="str">
        <f t="shared" si="98"/>
        <v>9500/000VALUE ADDED TAX</v>
      </c>
      <c r="N394" s="76"/>
      <c r="O394" s="77"/>
      <c r="P394" s="57"/>
      <c r="Q394" s="31"/>
    </row>
    <row r="395" spans="1:17" x14ac:dyDescent="0.2">
      <c r="A395" s="315"/>
      <c r="B395" s="60" t="s">
        <v>342</v>
      </c>
      <c r="C395" s="317" t="s">
        <v>343</v>
      </c>
      <c r="D395" s="357"/>
      <c r="E395" s="356"/>
      <c r="F395" s="86">
        <f>K395</f>
        <v>0</v>
      </c>
      <c r="G395" s="53">
        <f>SUMIF(JournalsC!D$14:D$920,TrialBalanceC!M395,JournalsC!J$14:J$920)+SUMIF(JournalsC!E$14:E$920,TrialBalanceC!M395,JournalsC!J$14:J$920)</f>
        <v>0</v>
      </c>
      <c r="H395" s="363"/>
      <c r="I395" s="366">
        <f t="shared" si="96"/>
        <v>0</v>
      </c>
      <c r="J395" s="81"/>
      <c r="K395" s="54">
        <f t="shared" si="97"/>
        <v>0</v>
      </c>
      <c r="M395" s="192" t="str">
        <f t="shared" si="98"/>
        <v>9501/000VAT account</v>
      </c>
      <c r="N395" s="76"/>
      <c r="O395" s="77"/>
      <c r="P395" s="57"/>
      <c r="Q395" s="31"/>
    </row>
    <row r="396" spans="1:17" x14ac:dyDescent="0.2">
      <c r="A396" s="315"/>
      <c r="B396" s="60" t="s">
        <v>344</v>
      </c>
      <c r="C396" s="317" t="s">
        <v>30</v>
      </c>
      <c r="D396" s="357"/>
      <c r="E396" s="356"/>
      <c r="F396" s="86"/>
      <c r="G396" s="53">
        <f>SUMIF(JournalsC!D$14:D$920,TrialBalanceC!M396,JournalsC!J$14:J$920)+SUMIF(JournalsC!E$14:E$920,TrialBalanceC!M396,JournalsC!J$14:J$920)</f>
        <v>0</v>
      </c>
      <c r="H396" s="363"/>
      <c r="I396" s="366">
        <f t="shared" si="96"/>
        <v>0</v>
      </c>
      <c r="J396" s="81"/>
      <c r="K396" s="54">
        <f t="shared" si="97"/>
        <v>0</v>
      </c>
      <c r="M396" s="192" t="str">
        <f t="shared" si="98"/>
        <v>9510/000----------------------------------------</v>
      </c>
      <c r="N396" s="76"/>
      <c r="O396" s="77"/>
      <c r="P396" s="57"/>
      <c r="Q396" s="31"/>
    </row>
    <row r="397" spans="1:17" x14ac:dyDescent="0.2">
      <c r="A397" s="315"/>
      <c r="B397" s="60" t="s">
        <v>345</v>
      </c>
      <c r="C397" s="316" t="s">
        <v>804</v>
      </c>
      <c r="D397" s="358"/>
      <c r="E397" s="356"/>
      <c r="F397" s="86">
        <f>K397</f>
        <v>0</v>
      </c>
      <c r="G397" s="53">
        <f>SUMIF(JournalsC!D$14:D$920,TrialBalanceC!M397,JournalsC!J$14:J$920)+SUMIF(JournalsC!E$14:E$920,TrialBalanceC!M397,JournalsC!J$14:J$920)</f>
        <v>0</v>
      </c>
      <c r="H397" s="363"/>
      <c r="I397" s="366">
        <f t="shared" si="96"/>
        <v>0</v>
      </c>
      <c r="J397" s="81"/>
      <c r="K397" s="54">
        <f t="shared" si="97"/>
        <v>0</v>
      </c>
      <c r="M397" s="192" t="str">
        <f t="shared" si="98"/>
        <v>9990/000Suspense account</v>
      </c>
      <c r="N397" s="76"/>
      <c r="O397" s="77"/>
      <c r="P397" s="57"/>
      <c r="Q397" s="31"/>
    </row>
    <row r="398" spans="1:17" x14ac:dyDescent="0.2">
      <c r="A398" s="315"/>
      <c r="B398" s="60"/>
      <c r="C398" s="60"/>
      <c r="D398" s="357"/>
      <c r="E398" s="348"/>
      <c r="F398" s="86"/>
      <c r="G398" s="53"/>
      <c r="H398" s="363"/>
      <c r="I398" s="366"/>
      <c r="J398" s="81"/>
      <c r="K398" s="54"/>
      <c r="M398" s="192"/>
      <c r="N398" s="76"/>
      <c r="O398" s="77"/>
      <c r="P398" s="57"/>
      <c r="Q398" s="31"/>
    </row>
    <row r="399" spans="1:17" x14ac:dyDescent="0.2">
      <c r="A399" s="315"/>
      <c r="B399" s="60" t="s">
        <v>233</v>
      </c>
      <c r="C399" s="61" t="s">
        <v>233</v>
      </c>
      <c r="D399" s="339"/>
      <c r="E399" s="339"/>
      <c r="F399" s="89"/>
      <c r="G399" s="53"/>
      <c r="H399" s="363"/>
      <c r="I399" s="366"/>
      <c r="J399" s="81"/>
      <c r="K399" s="54"/>
      <c r="M399" s="192">
        <v>0</v>
      </c>
      <c r="N399" s="76"/>
      <c r="O399" s="79"/>
      <c r="P399" s="79"/>
      <c r="Q399" s="31"/>
    </row>
    <row r="400" spans="1:17" ht="13.5" thickBot="1" x14ac:dyDescent="0.25">
      <c r="A400" s="47">
        <f>SUM(A6:A399)</f>
        <v>0</v>
      </c>
      <c r="B400" s="60" t="s">
        <v>233</v>
      </c>
      <c r="C400" s="61" t="s">
        <v>233</v>
      </c>
      <c r="D400" s="47">
        <f>SUM(D6:D399)</f>
        <v>0</v>
      </c>
      <c r="E400" s="47">
        <f>SUM(E6:E399)</f>
        <v>0</v>
      </c>
      <c r="F400" s="47">
        <f>SUM(F6:F399)</f>
        <v>0</v>
      </c>
      <c r="G400" s="47">
        <f>SUM(G6:G399)</f>
        <v>0</v>
      </c>
      <c r="H400" s="47"/>
      <c r="I400" s="47">
        <f>SUM(I6:I399)</f>
        <v>0</v>
      </c>
      <c r="J400" s="47"/>
      <c r="K400" s="47">
        <f>SUM(K6:K399)</f>
        <v>0</v>
      </c>
      <c r="M400" s="192">
        <v>0</v>
      </c>
      <c r="N400" s="80"/>
      <c r="O400" s="80"/>
      <c r="P400" s="80"/>
      <c r="Q400" s="80"/>
    </row>
    <row r="401" spans="1:16" ht="13.5" thickTop="1" x14ac:dyDescent="0.2">
      <c r="A401" s="44"/>
      <c r="B401" s="48"/>
      <c r="C401" s="51"/>
      <c r="D401" s="45"/>
      <c r="E401" s="45"/>
      <c r="F401" s="45"/>
      <c r="G401" s="45"/>
      <c r="H401" s="45"/>
      <c r="I401" s="65"/>
      <c r="J401" s="65"/>
      <c r="K401" s="44"/>
      <c r="M401" s="192"/>
      <c r="O401" s="45"/>
      <c r="P401" s="45"/>
    </row>
    <row r="402" spans="1:16" x14ac:dyDescent="0.2">
      <c r="A402" s="44"/>
      <c r="B402" s="48"/>
      <c r="C402" s="51"/>
      <c r="D402" s="45"/>
      <c r="E402" s="45"/>
      <c r="F402" s="45"/>
      <c r="G402" s="45"/>
      <c r="H402" s="45"/>
      <c r="K402" s="48"/>
      <c r="O402" s="45"/>
      <c r="P402" s="45"/>
    </row>
    <row r="403" spans="1:16" x14ac:dyDescent="0.2">
      <c r="A403" s="44"/>
      <c r="B403" s="48"/>
      <c r="C403" s="51"/>
      <c r="D403" s="45"/>
      <c r="E403" s="45"/>
      <c r="F403" s="45"/>
      <c r="G403" s="45"/>
      <c r="H403" s="45"/>
      <c r="K403" s="48"/>
      <c r="O403" s="45"/>
      <c r="P403" s="45"/>
    </row>
    <row r="404" spans="1:16" x14ac:dyDescent="0.2">
      <c r="A404" s="44"/>
      <c r="B404" s="48"/>
      <c r="C404" s="51"/>
      <c r="D404" s="45"/>
      <c r="E404" s="45"/>
      <c r="F404" s="45"/>
      <c r="G404" s="45"/>
      <c r="H404" s="45"/>
      <c r="K404" s="48"/>
      <c r="O404" s="45"/>
      <c r="P404" s="45"/>
    </row>
    <row r="405" spans="1:16" x14ac:dyDescent="0.2">
      <c r="A405" s="44"/>
      <c r="B405" s="48"/>
      <c r="C405" s="51"/>
      <c r="D405" s="45"/>
      <c r="E405" s="45"/>
      <c r="F405" s="45"/>
      <c r="G405" s="45"/>
      <c r="H405" s="45"/>
      <c r="K405" s="48"/>
      <c r="O405" s="45"/>
      <c r="P405" s="45"/>
    </row>
    <row r="406" spans="1:16" x14ac:dyDescent="0.2">
      <c r="A406" s="44"/>
      <c r="B406" s="48"/>
      <c r="C406" s="51"/>
      <c r="D406" s="45"/>
      <c r="E406" s="45"/>
      <c r="F406" s="45"/>
      <c r="G406" s="45"/>
      <c r="H406" s="45"/>
      <c r="K406" s="48"/>
      <c r="O406" s="45"/>
      <c r="P406" s="45"/>
    </row>
    <row r="407" spans="1:16" x14ac:dyDescent="0.2">
      <c r="A407" s="44"/>
      <c r="B407" s="48"/>
      <c r="C407" s="51"/>
      <c r="D407" s="45"/>
      <c r="E407" s="45"/>
      <c r="F407" s="45"/>
      <c r="G407" s="45"/>
      <c r="H407" s="45"/>
      <c r="K407" s="48"/>
      <c r="O407" s="45"/>
      <c r="P407" s="45"/>
    </row>
    <row r="408" spans="1:16" x14ac:dyDescent="0.2">
      <c r="A408" s="44"/>
      <c r="B408" s="48"/>
      <c r="C408" s="51"/>
      <c r="D408" s="45"/>
      <c r="E408" s="45"/>
      <c r="F408" s="45"/>
      <c r="G408" s="45"/>
      <c r="H408" s="45"/>
      <c r="K408" s="48"/>
      <c r="O408" s="45" t="s">
        <v>104</v>
      </c>
      <c r="P408" s="45" t="s">
        <v>104</v>
      </c>
    </row>
    <row r="409" spans="1:16" x14ac:dyDescent="0.2">
      <c r="A409" s="44"/>
      <c r="B409" s="48"/>
      <c r="C409" s="51"/>
      <c r="D409" s="45"/>
      <c r="E409" s="45"/>
      <c r="F409" s="45"/>
      <c r="G409" s="45"/>
      <c r="H409" s="45"/>
      <c r="K409" s="48"/>
      <c r="O409" s="45" t="s">
        <v>104</v>
      </c>
      <c r="P409" s="45" t="s">
        <v>104</v>
      </c>
    </row>
    <row r="410" spans="1:16" x14ac:dyDescent="0.2">
      <c r="A410" s="44"/>
      <c r="B410" s="48"/>
      <c r="C410" s="51"/>
      <c r="D410" s="45"/>
      <c r="E410" s="45"/>
      <c r="F410" s="45"/>
      <c r="G410" s="45"/>
      <c r="H410" s="45"/>
      <c r="K410" s="48"/>
      <c r="O410" s="45" t="s">
        <v>104</v>
      </c>
      <c r="P410" s="45" t="s">
        <v>104</v>
      </c>
    </row>
    <row r="411" spans="1:16" x14ac:dyDescent="0.2">
      <c r="A411" s="44"/>
      <c r="B411" s="48"/>
      <c r="C411" s="51"/>
      <c r="D411" s="45"/>
      <c r="E411" s="45"/>
      <c r="F411" s="45"/>
      <c r="G411" s="45"/>
      <c r="H411" s="45"/>
      <c r="K411" s="48"/>
      <c r="O411" s="45" t="s">
        <v>104</v>
      </c>
      <c r="P411" s="45" t="s">
        <v>104</v>
      </c>
    </row>
    <row r="412" spans="1:16" x14ac:dyDescent="0.2">
      <c r="A412" s="44"/>
      <c r="B412" s="48"/>
      <c r="C412" s="51"/>
      <c r="D412" s="45"/>
      <c r="E412" s="45"/>
      <c r="F412" s="45"/>
      <c r="G412" s="45"/>
      <c r="H412" s="45"/>
      <c r="K412" s="48"/>
      <c r="O412" s="45" t="s">
        <v>104</v>
      </c>
      <c r="P412" s="45" t="s">
        <v>104</v>
      </c>
    </row>
    <row r="413" spans="1:16" x14ac:dyDescent="0.2">
      <c r="A413" s="44"/>
      <c r="B413" s="48"/>
      <c r="C413" s="51"/>
      <c r="D413" s="45"/>
      <c r="E413" s="45"/>
      <c r="F413" s="45"/>
      <c r="G413" s="45"/>
      <c r="H413" s="45"/>
      <c r="K413" s="48"/>
      <c r="O413" s="45"/>
      <c r="P413" s="45"/>
    </row>
    <row r="414" spans="1:16" x14ac:dyDescent="0.2">
      <c r="A414" s="44"/>
      <c r="B414" s="48"/>
      <c r="C414" s="51"/>
      <c r="D414" s="45"/>
      <c r="E414" s="45"/>
      <c r="F414" s="45"/>
      <c r="G414" s="45"/>
      <c r="H414" s="45"/>
      <c r="K414" s="48"/>
      <c r="O414" s="45"/>
      <c r="P414" s="45"/>
    </row>
    <row r="415" spans="1:16" x14ac:dyDescent="0.2">
      <c r="A415" s="44"/>
      <c r="B415" s="48"/>
      <c r="C415" s="51"/>
      <c r="D415" s="45"/>
      <c r="E415" s="45"/>
      <c r="F415" s="45"/>
      <c r="G415" s="45"/>
      <c r="H415" s="45"/>
      <c r="K415" s="48"/>
      <c r="O415" s="45"/>
      <c r="P415" s="45"/>
    </row>
    <row r="416" spans="1:16" x14ac:dyDescent="0.2">
      <c r="A416" s="44"/>
      <c r="B416" s="48"/>
      <c r="C416" s="51"/>
      <c r="D416" s="45"/>
      <c r="E416" s="45"/>
      <c r="F416" s="45"/>
      <c r="G416" s="45"/>
      <c r="H416" s="45"/>
      <c r="K416" s="48"/>
      <c r="O416" s="45"/>
      <c r="P416" s="45"/>
    </row>
    <row r="417" spans="1:16" x14ac:dyDescent="0.2">
      <c r="A417" s="44"/>
      <c r="B417" s="48"/>
      <c r="C417" s="51"/>
      <c r="D417" s="45"/>
      <c r="E417" s="45"/>
      <c r="F417" s="45"/>
      <c r="G417" s="45"/>
      <c r="H417" s="45"/>
      <c r="K417" s="48"/>
      <c r="O417" s="45"/>
      <c r="P417" s="45"/>
    </row>
    <row r="418" spans="1:16" x14ac:dyDescent="0.2">
      <c r="A418" s="44"/>
      <c r="B418" s="48"/>
      <c r="C418" s="51"/>
      <c r="D418" s="45"/>
      <c r="E418" s="45"/>
      <c r="F418" s="45"/>
      <c r="G418" s="45"/>
      <c r="H418" s="45"/>
      <c r="K418" s="48"/>
      <c r="O418" s="45"/>
      <c r="P418" s="45"/>
    </row>
    <row r="419" spans="1:16" x14ac:dyDescent="0.2">
      <c r="A419" s="44"/>
      <c r="B419" s="48"/>
      <c r="C419" s="51"/>
      <c r="D419" s="45"/>
      <c r="E419" s="45"/>
      <c r="F419" s="45"/>
      <c r="G419" s="45"/>
      <c r="H419" s="45"/>
      <c r="K419" s="48"/>
      <c r="O419" s="45"/>
      <c r="P419" s="45"/>
    </row>
    <row r="420" spans="1:16" x14ac:dyDescent="0.2">
      <c r="A420" s="44"/>
      <c r="B420" s="48"/>
      <c r="C420" s="51"/>
      <c r="D420" s="45"/>
      <c r="E420" s="45"/>
      <c r="F420" s="45"/>
      <c r="G420" s="45"/>
      <c r="H420" s="45"/>
      <c r="K420" s="48"/>
      <c r="O420" s="45"/>
      <c r="P420" s="45"/>
    </row>
    <row r="421" spans="1:16" x14ac:dyDescent="0.2">
      <c r="A421" s="44"/>
      <c r="B421" s="48"/>
      <c r="C421" s="51"/>
      <c r="D421" s="45"/>
      <c r="E421" s="45"/>
      <c r="F421" s="45"/>
      <c r="G421" s="45"/>
      <c r="H421" s="45"/>
      <c r="K421" s="48"/>
      <c r="O421" s="45"/>
      <c r="P421" s="45"/>
    </row>
    <row r="422" spans="1:16" x14ac:dyDescent="0.2">
      <c r="A422" s="44"/>
      <c r="B422" s="48"/>
      <c r="C422" s="51"/>
      <c r="D422" s="45"/>
      <c r="E422" s="45"/>
      <c r="F422" s="45"/>
      <c r="G422" s="45"/>
      <c r="H422" s="45"/>
      <c r="K422" s="48"/>
      <c r="O422" s="45"/>
      <c r="P422" s="45"/>
    </row>
    <row r="423" spans="1:16" x14ac:dyDescent="0.2">
      <c r="A423" s="44"/>
      <c r="B423" s="48"/>
      <c r="C423" s="51"/>
      <c r="D423" s="45"/>
      <c r="E423" s="45"/>
      <c r="F423" s="45"/>
      <c r="G423" s="45"/>
      <c r="H423" s="45"/>
      <c r="K423" s="48"/>
      <c r="O423" s="45"/>
      <c r="P423" s="45"/>
    </row>
    <row r="424" spans="1:16" x14ac:dyDescent="0.2">
      <c r="A424" s="44"/>
      <c r="B424" s="48"/>
      <c r="C424" s="51"/>
      <c r="D424" s="45"/>
      <c r="E424" s="45"/>
      <c r="F424" s="45"/>
      <c r="G424" s="45"/>
      <c r="H424" s="45"/>
      <c r="K424" s="48"/>
      <c r="O424" s="45"/>
      <c r="P424" s="45"/>
    </row>
    <row r="425" spans="1:16" x14ac:dyDescent="0.2">
      <c r="A425" s="44"/>
      <c r="B425" s="48"/>
      <c r="C425" s="51"/>
      <c r="D425" s="45"/>
      <c r="E425" s="45"/>
      <c r="F425" s="45"/>
      <c r="G425" s="45"/>
      <c r="H425" s="45"/>
      <c r="K425" s="48"/>
      <c r="O425" s="45"/>
      <c r="P425" s="45"/>
    </row>
    <row r="426" spans="1:16" x14ac:dyDescent="0.2">
      <c r="A426" s="44"/>
      <c r="B426" s="48"/>
      <c r="C426" s="51"/>
      <c r="D426" s="45"/>
      <c r="E426" s="45"/>
      <c r="F426" s="45"/>
      <c r="G426" s="45"/>
      <c r="H426" s="45"/>
      <c r="K426" s="48"/>
      <c r="O426" s="45"/>
      <c r="P426" s="45"/>
    </row>
    <row r="427" spans="1:16" x14ac:dyDescent="0.2">
      <c r="A427" s="44"/>
      <c r="B427" s="48"/>
      <c r="C427" s="51"/>
      <c r="G427" s="45"/>
      <c r="H427" s="45"/>
      <c r="K427" s="48"/>
      <c r="O427" s="45"/>
      <c r="P427" s="45"/>
    </row>
    <row r="428" spans="1:16" x14ac:dyDescent="0.2">
      <c r="O428" s="14"/>
      <c r="P428" s="14"/>
    </row>
  </sheetData>
  <sheetProtection algorithmName="SHA-512" hashValue="B5GFDVDgX7n92ARNkTt2Pif1UCsT0XOVWxbxn39xbhNa2gUhmOl2esNgNGOPmXiPmSBGA6AX1FWHPs3sfbhBAw==" saltValue="SvIu3E5WVvAwgajPhQ5bKg==" spinCount="100000" sheet="1" objects="1" scenarios="1" formatColumns="0" selectLockedCells="1"/>
  <mergeCells count="1">
    <mergeCell ref="D2:E2"/>
  </mergeCells>
  <hyperlinks>
    <hyperlink ref="B6" location="bank2!A1" display="1000/001" xr:uid="{CDC03D11-19FD-4663-90E2-68F9510118F1}"/>
    <hyperlink ref="B14" location="bank2!A1" display="2000/010" xr:uid="{9824FCB6-6D36-4514-B9E8-840810C17BC8}"/>
    <hyperlink ref="B15" location="bank2!A1" display="2000/011" xr:uid="{C5A27E2E-3B1A-4C3A-97BE-1F44F5CA0A56}"/>
    <hyperlink ref="C1" location="TrialBalance!A1" display="TrialBalance!A1" xr:uid="{F5A2E56B-6DDA-4515-A8D1-0943365CC102}"/>
  </hyperlinks>
  <pageMargins left="0.75" right="0.7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4F91E-A868-4580-BDF5-29498DF02DC9}">
  <dimension ref="A1:M486"/>
  <sheetViews>
    <sheetView view="pageBreakPreview" zoomScale="85" zoomScaleNormal="85" zoomScaleSheetLayoutView="85" workbookViewId="0">
      <pane ySplit="13" topLeftCell="A14" activePane="bottomLeft" state="frozen"/>
      <selection pane="bottomLeft" activeCell="D15" sqref="D15"/>
    </sheetView>
  </sheetViews>
  <sheetFormatPr defaultColWidth="11.28515625" defaultRowHeight="15.75" x14ac:dyDescent="0.25"/>
  <cols>
    <col min="1" max="1" width="12.28515625" style="2" bestFit="1" customWidth="1"/>
    <col min="2" max="2" width="5.85546875" style="5" customWidth="1"/>
    <col min="3" max="3" width="38.42578125" style="2" customWidth="1"/>
    <col min="4" max="4" width="30" style="2" customWidth="1"/>
    <col min="5" max="5" width="35.42578125" style="2" customWidth="1"/>
    <col min="6" max="6" width="16.85546875" style="4" customWidth="1"/>
    <col min="7" max="7" width="16.140625" style="4" bestFit="1" customWidth="1"/>
    <col min="8" max="8" width="15.7109375" style="4" bestFit="1" customWidth="1"/>
    <col min="9" max="9" width="16.140625" style="4" bestFit="1" customWidth="1"/>
    <col min="10" max="10" width="15.7109375" style="2" bestFit="1" customWidth="1"/>
    <col min="11" max="13" width="11.28515625" style="2" bestFit="1" customWidth="1"/>
    <col min="14" max="255" width="11.28515625" bestFit="1" customWidth="1"/>
  </cols>
  <sheetData>
    <row r="1" spans="1:13" x14ac:dyDescent="0.25">
      <c r="H1" s="41"/>
      <c r="I1" s="41"/>
    </row>
    <row r="2" spans="1:13" x14ac:dyDescent="0.25">
      <c r="C2" s="3" t="str">
        <f>Criteria!E9</f>
        <v>ABC TRUST</v>
      </c>
    </row>
    <row r="3" spans="1:13" x14ac:dyDescent="0.25">
      <c r="H3" s="84" t="s">
        <v>90</v>
      </c>
      <c r="I3" s="84"/>
    </row>
    <row r="4" spans="1:13" x14ac:dyDescent="0.25">
      <c r="C4" s="3" t="s">
        <v>89</v>
      </c>
      <c r="D4" s="41" t="str">
        <f>Criteria!E20</f>
        <v>29 FEBRUARY 2024</v>
      </c>
    </row>
    <row r="5" spans="1:13" x14ac:dyDescent="0.25">
      <c r="H5" s="84" t="s">
        <v>91</v>
      </c>
      <c r="I5" s="84"/>
    </row>
    <row r="6" spans="1:13" x14ac:dyDescent="0.25">
      <c r="C6" s="3" t="s">
        <v>178</v>
      </c>
      <c r="H6" s="41"/>
      <c r="I6" s="41"/>
    </row>
    <row r="7" spans="1:13" x14ac:dyDescent="0.25">
      <c r="C7" s="6"/>
      <c r="D7" s="6"/>
      <c r="E7" s="6"/>
      <c r="F7" s="85"/>
      <c r="G7" s="85"/>
      <c r="H7" s="85"/>
      <c r="I7" s="85"/>
    </row>
    <row r="8" spans="1:13" x14ac:dyDescent="0.25">
      <c r="D8" s="8" t="str">
        <f>IF(F8=0," ","OUT OF BALANCE")</f>
        <v xml:space="preserve"> </v>
      </c>
      <c r="E8" s="8"/>
      <c r="F8" s="4">
        <f>ROUND(F484-G484+H484-I484,2)</f>
        <v>0</v>
      </c>
    </row>
    <row r="9" spans="1:13" x14ac:dyDescent="0.25">
      <c r="D9" s="8" t="s">
        <v>296</v>
      </c>
      <c r="E9" s="8"/>
      <c r="F9" s="4">
        <f>F486</f>
        <v>0</v>
      </c>
    </row>
    <row r="10" spans="1:13" x14ac:dyDescent="0.25">
      <c r="D10" s="8"/>
      <c r="E10" s="8"/>
    </row>
    <row r="11" spans="1:13" x14ac:dyDescent="0.25">
      <c r="A11" s="40" t="s">
        <v>271</v>
      </c>
      <c r="F11" s="511"/>
      <c r="G11" s="511"/>
      <c r="H11" s="511"/>
      <c r="I11" s="511"/>
    </row>
    <row r="12" spans="1:13" x14ac:dyDescent="0.25">
      <c r="A12" s="40" t="s">
        <v>628</v>
      </c>
      <c r="F12" s="511" t="s">
        <v>349</v>
      </c>
      <c r="G12" s="511"/>
      <c r="H12" s="511" t="s">
        <v>101</v>
      </c>
      <c r="I12" s="511"/>
    </row>
    <row r="13" spans="1:13" x14ac:dyDescent="0.25">
      <c r="A13" s="40" t="s">
        <v>272</v>
      </c>
      <c r="B13" s="32" t="s">
        <v>177</v>
      </c>
      <c r="C13" s="32" t="s">
        <v>231</v>
      </c>
      <c r="D13" s="32" t="s">
        <v>252</v>
      </c>
      <c r="E13" s="32" t="s">
        <v>421</v>
      </c>
      <c r="F13" s="22" t="s">
        <v>234</v>
      </c>
      <c r="G13" s="22" t="s">
        <v>235</v>
      </c>
      <c r="H13" s="22" t="s">
        <v>234</v>
      </c>
      <c r="I13" s="22" t="s">
        <v>235</v>
      </c>
    </row>
    <row r="14" spans="1:13" x14ac:dyDescent="0.25">
      <c r="A14" s="40"/>
    </row>
    <row r="15" spans="1:13" x14ac:dyDescent="0.25">
      <c r="A15" s="40" t="str">
        <f t="shared" ref="A15:A78" si="0">IF(COUNTIF(K15:M15,"ERROR")&gt;0,"ERROR"," ")</f>
        <v xml:space="preserve"> </v>
      </c>
      <c r="B15" s="5">
        <v>1</v>
      </c>
      <c r="D15" s="39"/>
      <c r="E15" s="39"/>
      <c r="J15" s="15">
        <f>F15-G15+H15-I15</f>
        <v>0</v>
      </c>
      <c r="K15" s="2" t="str">
        <f>IF(COUNTA(D15:E15)=2,"ERROR"," ")</f>
        <v xml:space="preserve"> </v>
      </c>
      <c r="L15" s="2" t="str">
        <f t="shared" ref="L15:L78" si="1">IF(D15=0," ",IF(COUNTIF(ProfitLoss4,D15)&gt;0," ","ERROR"))</f>
        <v xml:space="preserve"> </v>
      </c>
      <c r="M15" s="2" t="str">
        <f t="shared" ref="M15:M78" si="2">IF(E15=0," ",IF(COUNTIF(BalanceSheet4,E15)&gt;0," ","ERROR"))</f>
        <v xml:space="preserve"> </v>
      </c>
    </row>
    <row r="16" spans="1:13" x14ac:dyDescent="0.25">
      <c r="A16" s="40" t="str">
        <f t="shared" si="0"/>
        <v xml:space="preserve"> </v>
      </c>
      <c r="B16" s="25"/>
      <c r="D16" s="39"/>
      <c r="E16" s="39"/>
      <c r="J16" s="15">
        <f t="shared" ref="J16:J79" si="3">F16-G16+H16-I16</f>
        <v>0</v>
      </c>
      <c r="K16" s="2" t="str">
        <f t="shared" ref="K16:K79" si="4">IF(COUNTA(D16:E16)=2,"ERROR"," ")</f>
        <v xml:space="preserve"> </v>
      </c>
      <c r="L16" s="2" t="str">
        <f t="shared" si="1"/>
        <v xml:space="preserve"> </v>
      </c>
      <c r="M16" s="2" t="str">
        <f t="shared" si="2"/>
        <v xml:space="preserve"> </v>
      </c>
    </row>
    <row r="17" spans="1:13" x14ac:dyDescent="0.25">
      <c r="A17" s="40" t="str">
        <f t="shared" si="0"/>
        <v xml:space="preserve"> </v>
      </c>
      <c r="D17" s="39"/>
      <c r="E17" s="39"/>
      <c r="J17" s="15">
        <f t="shared" si="3"/>
        <v>0</v>
      </c>
      <c r="K17" s="2" t="str">
        <f t="shared" si="4"/>
        <v xml:space="preserve"> </v>
      </c>
      <c r="L17" s="2" t="str">
        <f t="shared" si="1"/>
        <v xml:space="preserve"> </v>
      </c>
      <c r="M17" s="2" t="str">
        <f t="shared" si="2"/>
        <v xml:space="preserve"> </v>
      </c>
    </row>
    <row r="18" spans="1:13" x14ac:dyDescent="0.25">
      <c r="A18" s="40" t="str">
        <f t="shared" si="0"/>
        <v xml:space="preserve"> </v>
      </c>
      <c r="D18" s="39"/>
      <c r="E18" s="39"/>
      <c r="J18" s="15">
        <f t="shared" si="3"/>
        <v>0</v>
      </c>
      <c r="K18" s="2" t="str">
        <f t="shared" si="4"/>
        <v xml:space="preserve"> </v>
      </c>
      <c r="L18" s="2" t="str">
        <f t="shared" si="1"/>
        <v xml:space="preserve"> </v>
      </c>
      <c r="M18" s="2" t="str">
        <f t="shared" si="2"/>
        <v xml:space="preserve"> </v>
      </c>
    </row>
    <row r="19" spans="1:13" x14ac:dyDescent="0.25">
      <c r="A19" s="40" t="str">
        <f t="shared" si="0"/>
        <v xml:space="preserve"> </v>
      </c>
      <c r="D19" s="39"/>
      <c r="E19" s="39"/>
      <c r="J19" s="15">
        <f t="shared" si="3"/>
        <v>0</v>
      </c>
      <c r="K19" s="2" t="str">
        <f t="shared" si="4"/>
        <v xml:space="preserve"> </v>
      </c>
      <c r="L19" s="2" t="str">
        <f t="shared" si="1"/>
        <v xml:space="preserve"> </v>
      </c>
      <c r="M19" s="2" t="str">
        <f t="shared" si="2"/>
        <v xml:space="preserve"> </v>
      </c>
    </row>
    <row r="20" spans="1:13" x14ac:dyDescent="0.25">
      <c r="A20" s="40" t="str">
        <f t="shared" si="0"/>
        <v xml:space="preserve"> </v>
      </c>
      <c r="D20" s="39"/>
      <c r="E20" s="39"/>
      <c r="J20" s="15">
        <f t="shared" si="3"/>
        <v>0</v>
      </c>
      <c r="K20" s="2" t="str">
        <f t="shared" si="4"/>
        <v xml:space="preserve"> </v>
      </c>
      <c r="L20" s="2" t="str">
        <f t="shared" si="1"/>
        <v xml:space="preserve"> </v>
      </c>
      <c r="M20" s="2" t="str">
        <f t="shared" si="2"/>
        <v xml:space="preserve"> </v>
      </c>
    </row>
    <row r="21" spans="1:13" x14ac:dyDescent="0.25">
      <c r="A21" s="40" t="str">
        <f t="shared" si="0"/>
        <v xml:space="preserve"> </v>
      </c>
      <c r="D21" s="39"/>
      <c r="E21" s="39"/>
      <c r="J21" s="15">
        <f t="shared" si="3"/>
        <v>0</v>
      </c>
      <c r="K21" s="2" t="str">
        <f t="shared" si="4"/>
        <v xml:space="preserve"> </v>
      </c>
      <c r="L21" s="2" t="str">
        <f t="shared" si="1"/>
        <v xml:space="preserve"> </v>
      </c>
      <c r="M21" s="2" t="str">
        <f t="shared" si="2"/>
        <v xml:space="preserve"> </v>
      </c>
    </row>
    <row r="22" spans="1:13" x14ac:dyDescent="0.25">
      <c r="A22" s="40" t="str">
        <f t="shared" si="0"/>
        <v xml:space="preserve"> </v>
      </c>
      <c r="D22" s="39"/>
      <c r="E22" s="39"/>
      <c r="J22" s="15">
        <f t="shared" si="3"/>
        <v>0</v>
      </c>
      <c r="K22" s="2" t="str">
        <f t="shared" si="4"/>
        <v xml:space="preserve"> </v>
      </c>
      <c r="L22" s="2" t="str">
        <f t="shared" si="1"/>
        <v xml:space="preserve"> </v>
      </c>
      <c r="M22" s="2" t="str">
        <f t="shared" si="2"/>
        <v xml:space="preserve"> </v>
      </c>
    </row>
    <row r="23" spans="1:13" x14ac:dyDescent="0.25">
      <c r="A23" s="40" t="str">
        <f t="shared" si="0"/>
        <v xml:space="preserve"> </v>
      </c>
      <c r="D23" s="39"/>
      <c r="E23" s="39"/>
      <c r="J23" s="15">
        <f t="shared" si="3"/>
        <v>0</v>
      </c>
      <c r="K23" s="2" t="str">
        <f t="shared" si="4"/>
        <v xml:space="preserve"> </v>
      </c>
      <c r="L23" s="2" t="str">
        <f t="shared" si="1"/>
        <v xml:space="preserve"> </v>
      </c>
      <c r="M23" s="2" t="str">
        <f t="shared" si="2"/>
        <v xml:space="preserve"> </v>
      </c>
    </row>
    <row r="24" spans="1:13" x14ac:dyDescent="0.25">
      <c r="A24" s="40" t="str">
        <f t="shared" si="0"/>
        <v xml:space="preserve"> </v>
      </c>
      <c r="D24" s="39"/>
      <c r="E24" s="39"/>
      <c r="J24" s="15">
        <f t="shared" si="3"/>
        <v>0</v>
      </c>
      <c r="K24" s="2" t="str">
        <f t="shared" si="4"/>
        <v xml:space="preserve"> </v>
      </c>
      <c r="L24" s="2" t="str">
        <f t="shared" si="1"/>
        <v xml:space="preserve"> </v>
      </c>
      <c r="M24" s="2" t="str">
        <f t="shared" si="2"/>
        <v xml:space="preserve"> </v>
      </c>
    </row>
    <row r="25" spans="1:13" x14ac:dyDescent="0.25">
      <c r="A25" s="40" t="str">
        <f t="shared" si="0"/>
        <v xml:space="preserve"> </v>
      </c>
      <c r="C25" s="58"/>
      <c r="D25" s="39"/>
      <c r="E25" s="39"/>
      <c r="J25" s="15">
        <f t="shared" si="3"/>
        <v>0</v>
      </c>
      <c r="K25" s="2" t="str">
        <f t="shared" si="4"/>
        <v xml:space="preserve"> </v>
      </c>
      <c r="L25" s="2" t="str">
        <f t="shared" si="1"/>
        <v xml:space="preserve"> </v>
      </c>
      <c r="M25" s="2" t="str">
        <f t="shared" si="2"/>
        <v xml:space="preserve"> </v>
      </c>
    </row>
    <row r="26" spans="1:13" x14ac:dyDescent="0.25">
      <c r="A26" s="40" t="str">
        <f t="shared" si="0"/>
        <v xml:space="preserve"> </v>
      </c>
      <c r="D26" s="39"/>
      <c r="E26" s="39"/>
      <c r="J26" s="15">
        <f t="shared" si="3"/>
        <v>0</v>
      </c>
      <c r="K26" s="2" t="str">
        <f t="shared" si="4"/>
        <v xml:space="preserve"> </v>
      </c>
      <c r="L26" s="2" t="str">
        <f t="shared" si="1"/>
        <v xml:space="preserve"> </v>
      </c>
      <c r="M26" s="2" t="str">
        <f t="shared" si="2"/>
        <v xml:space="preserve"> </v>
      </c>
    </row>
    <row r="27" spans="1:13" x14ac:dyDescent="0.25">
      <c r="A27" s="40" t="str">
        <f t="shared" si="0"/>
        <v xml:space="preserve"> </v>
      </c>
      <c r="D27" s="39"/>
      <c r="E27" s="39"/>
      <c r="J27" s="15">
        <f t="shared" si="3"/>
        <v>0</v>
      </c>
      <c r="K27" s="2" t="str">
        <f t="shared" si="4"/>
        <v xml:space="preserve"> </v>
      </c>
      <c r="L27" s="2" t="str">
        <f t="shared" si="1"/>
        <v xml:space="preserve"> </v>
      </c>
      <c r="M27" s="2" t="str">
        <f t="shared" si="2"/>
        <v xml:space="preserve"> </v>
      </c>
    </row>
    <row r="28" spans="1:13" x14ac:dyDescent="0.25">
      <c r="A28" s="40" t="str">
        <f t="shared" si="0"/>
        <v xml:space="preserve"> </v>
      </c>
      <c r="D28" s="39"/>
      <c r="E28" s="39"/>
      <c r="J28" s="15">
        <f t="shared" si="3"/>
        <v>0</v>
      </c>
      <c r="K28" s="2" t="str">
        <f t="shared" si="4"/>
        <v xml:space="preserve"> </v>
      </c>
      <c r="L28" s="2" t="str">
        <f t="shared" si="1"/>
        <v xml:space="preserve"> </v>
      </c>
      <c r="M28" s="2" t="str">
        <f t="shared" si="2"/>
        <v xml:space="preserve"> </v>
      </c>
    </row>
    <row r="29" spans="1:13" x14ac:dyDescent="0.25">
      <c r="A29" s="40" t="str">
        <f t="shared" si="0"/>
        <v xml:space="preserve"> </v>
      </c>
      <c r="D29" s="39"/>
      <c r="E29" s="39"/>
      <c r="J29" s="15">
        <f t="shared" si="3"/>
        <v>0</v>
      </c>
      <c r="K29" s="2" t="str">
        <f t="shared" si="4"/>
        <v xml:space="preserve"> </v>
      </c>
      <c r="L29" s="2" t="str">
        <f t="shared" si="1"/>
        <v xml:space="preserve"> </v>
      </c>
      <c r="M29" s="2" t="str">
        <f t="shared" si="2"/>
        <v xml:space="preserve"> </v>
      </c>
    </row>
    <row r="30" spans="1:13" x14ac:dyDescent="0.25">
      <c r="A30" s="40" t="str">
        <f t="shared" si="0"/>
        <v xml:space="preserve"> </v>
      </c>
      <c r="D30" s="39"/>
      <c r="E30" s="39"/>
      <c r="J30" s="15">
        <f t="shared" si="3"/>
        <v>0</v>
      </c>
      <c r="K30" s="2" t="str">
        <f t="shared" si="4"/>
        <v xml:space="preserve"> </v>
      </c>
      <c r="L30" s="2" t="str">
        <f t="shared" si="1"/>
        <v xml:space="preserve"> </v>
      </c>
      <c r="M30" s="2" t="str">
        <f t="shared" si="2"/>
        <v xml:space="preserve"> </v>
      </c>
    </row>
    <row r="31" spans="1:13" x14ac:dyDescent="0.25">
      <c r="A31" s="40" t="str">
        <f t="shared" si="0"/>
        <v xml:space="preserve"> </v>
      </c>
      <c r="D31" s="39"/>
      <c r="E31" s="39"/>
      <c r="J31" s="15">
        <f t="shared" si="3"/>
        <v>0</v>
      </c>
      <c r="K31" s="2" t="str">
        <f t="shared" si="4"/>
        <v xml:space="preserve"> </v>
      </c>
      <c r="L31" s="2" t="str">
        <f t="shared" si="1"/>
        <v xml:space="preserve"> </v>
      </c>
      <c r="M31" s="2" t="str">
        <f t="shared" si="2"/>
        <v xml:space="preserve"> </v>
      </c>
    </row>
    <row r="32" spans="1:13" x14ac:dyDescent="0.25">
      <c r="A32" s="40" t="str">
        <f t="shared" si="0"/>
        <v xml:space="preserve"> </v>
      </c>
      <c r="D32" s="39"/>
      <c r="E32" s="39"/>
      <c r="J32" s="15">
        <f t="shared" si="3"/>
        <v>0</v>
      </c>
      <c r="K32" s="2" t="str">
        <f t="shared" si="4"/>
        <v xml:space="preserve"> </v>
      </c>
      <c r="L32" s="2" t="str">
        <f t="shared" si="1"/>
        <v xml:space="preserve"> </v>
      </c>
      <c r="M32" s="2" t="str">
        <f t="shared" si="2"/>
        <v xml:space="preserve"> </v>
      </c>
    </row>
    <row r="33" spans="1:13" x14ac:dyDescent="0.25">
      <c r="A33" s="40" t="str">
        <f t="shared" si="0"/>
        <v xml:space="preserve"> </v>
      </c>
      <c r="D33" s="39"/>
      <c r="E33" s="39"/>
      <c r="J33" s="15">
        <f t="shared" si="3"/>
        <v>0</v>
      </c>
      <c r="K33" s="2" t="str">
        <f t="shared" si="4"/>
        <v xml:space="preserve"> </v>
      </c>
      <c r="L33" s="2" t="str">
        <f t="shared" si="1"/>
        <v xml:space="preserve"> </v>
      </c>
      <c r="M33" s="2" t="str">
        <f t="shared" si="2"/>
        <v xml:space="preserve"> </v>
      </c>
    </row>
    <row r="34" spans="1:13" x14ac:dyDescent="0.25">
      <c r="A34" s="40" t="str">
        <f t="shared" si="0"/>
        <v xml:space="preserve"> </v>
      </c>
      <c r="D34" s="39"/>
      <c r="E34" s="39"/>
      <c r="J34" s="15">
        <f t="shared" si="3"/>
        <v>0</v>
      </c>
      <c r="K34" s="2" t="str">
        <f t="shared" si="4"/>
        <v xml:space="preserve"> </v>
      </c>
      <c r="L34" s="2" t="str">
        <f t="shared" si="1"/>
        <v xml:space="preserve"> </v>
      </c>
      <c r="M34" s="2" t="str">
        <f t="shared" si="2"/>
        <v xml:space="preserve"> </v>
      </c>
    </row>
    <row r="35" spans="1:13" x14ac:dyDescent="0.25">
      <c r="A35" s="40" t="str">
        <f t="shared" si="0"/>
        <v xml:space="preserve"> </v>
      </c>
      <c r="D35" s="39"/>
      <c r="E35" s="39"/>
      <c r="J35" s="15">
        <f t="shared" si="3"/>
        <v>0</v>
      </c>
      <c r="K35" s="2" t="str">
        <f t="shared" si="4"/>
        <v xml:space="preserve"> </v>
      </c>
      <c r="L35" s="2" t="str">
        <f t="shared" si="1"/>
        <v xml:space="preserve"> </v>
      </c>
      <c r="M35" s="2" t="str">
        <f t="shared" si="2"/>
        <v xml:space="preserve"> </v>
      </c>
    </row>
    <row r="36" spans="1:13" x14ac:dyDescent="0.25">
      <c r="A36" s="40" t="str">
        <f t="shared" si="0"/>
        <v xml:space="preserve"> </v>
      </c>
      <c r="D36" s="39"/>
      <c r="E36" s="39"/>
      <c r="J36" s="15">
        <f t="shared" si="3"/>
        <v>0</v>
      </c>
      <c r="K36" s="2" t="str">
        <f t="shared" si="4"/>
        <v xml:space="preserve"> </v>
      </c>
      <c r="L36" s="2" t="str">
        <f t="shared" si="1"/>
        <v xml:space="preserve"> </v>
      </c>
      <c r="M36" s="2" t="str">
        <f t="shared" si="2"/>
        <v xml:space="preserve"> </v>
      </c>
    </row>
    <row r="37" spans="1:13" x14ac:dyDescent="0.25">
      <c r="A37" s="40" t="str">
        <f t="shared" si="0"/>
        <v xml:space="preserve"> </v>
      </c>
      <c r="D37" s="39"/>
      <c r="E37" s="39"/>
      <c r="J37" s="15">
        <f t="shared" si="3"/>
        <v>0</v>
      </c>
      <c r="K37" s="2" t="str">
        <f t="shared" si="4"/>
        <v xml:space="preserve"> </v>
      </c>
      <c r="L37" s="2" t="str">
        <f t="shared" si="1"/>
        <v xml:space="preserve"> </v>
      </c>
      <c r="M37" s="2" t="str">
        <f t="shared" si="2"/>
        <v xml:space="preserve"> </v>
      </c>
    </row>
    <row r="38" spans="1:13" x14ac:dyDescent="0.25">
      <c r="A38" s="40" t="str">
        <f t="shared" si="0"/>
        <v xml:space="preserve"> </v>
      </c>
      <c r="D38" s="39"/>
      <c r="E38" s="39"/>
      <c r="J38" s="15">
        <f t="shared" si="3"/>
        <v>0</v>
      </c>
      <c r="K38" s="2" t="str">
        <f t="shared" si="4"/>
        <v xml:space="preserve"> </v>
      </c>
      <c r="L38" s="2" t="str">
        <f t="shared" si="1"/>
        <v xml:space="preserve"> </v>
      </c>
      <c r="M38" s="2" t="str">
        <f t="shared" si="2"/>
        <v xml:space="preserve"> </v>
      </c>
    </row>
    <row r="39" spans="1:13" x14ac:dyDescent="0.25">
      <c r="A39" s="40" t="str">
        <f t="shared" si="0"/>
        <v xml:space="preserve"> </v>
      </c>
      <c r="D39" s="39"/>
      <c r="E39" s="39"/>
      <c r="J39" s="15">
        <f t="shared" si="3"/>
        <v>0</v>
      </c>
      <c r="K39" s="2" t="str">
        <f t="shared" si="4"/>
        <v xml:space="preserve"> </v>
      </c>
      <c r="L39" s="2" t="str">
        <f t="shared" si="1"/>
        <v xml:space="preserve"> </v>
      </c>
      <c r="M39" s="2" t="str">
        <f t="shared" si="2"/>
        <v xml:space="preserve"> </v>
      </c>
    </row>
    <row r="40" spans="1:13" x14ac:dyDescent="0.25">
      <c r="A40" s="40" t="str">
        <f t="shared" si="0"/>
        <v xml:space="preserve"> </v>
      </c>
      <c r="D40" s="39"/>
      <c r="E40" s="39"/>
      <c r="J40" s="15">
        <f t="shared" si="3"/>
        <v>0</v>
      </c>
      <c r="K40" s="2" t="str">
        <f t="shared" si="4"/>
        <v xml:space="preserve"> </v>
      </c>
      <c r="L40" s="2" t="str">
        <f t="shared" si="1"/>
        <v xml:space="preserve"> </v>
      </c>
      <c r="M40" s="2" t="str">
        <f t="shared" si="2"/>
        <v xml:space="preserve"> </v>
      </c>
    </row>
    <row r="41" spans="1:13" x14ac:dyDescent="0.25">
      <c r="A41" s="40" t="str">
        <f t="shared" si="0"/>
        <v xml:space="preserve"> </v>
      </c>
      <c r="D41" s="39"/>
      <c r="E41" s="39"/>
      <c r="J41" s="15">
        <f t="shared" si="3"/>
        <v>0</v>
      </c>
      <c r="K41" s="2" t="str">
        <f t="shared" si="4"/>
        <v xml:space="preserve"> </v>
      </c>
      <c r="L41" s="2" t="str">
        <f t="shared" si="1"/>
        <v xml:space="preserve"> </v>
      </c>
      <c r="M41" s="2" t="str">
        <f t="shared" si="2"/>
        <v xml:space="preserve"> </v>
      </c>
    </row>
    <row r="42" spans="1:13" x14ac:dyDescent="0.25">
      <c r="A42" s="40" t="str">
        <f t="shared" si="0"/>
        <v xml:space="preserve"> </v>
      </c>
      <c r="D42" s="39"/>
      <c r="E42" s="39"/>
      <c r="J42" s="15">
        <f t="shared" si="3"/>
        <v>0</v>
      </c>
      <c r="K42" s="2" t="str">
        <f t="shared" si="4"/>
        <v xml:space="preserve"> </v>
      </c>
      <c r="L42" s="2" t="str">
        <f t="shared" si="1"/>
        <v xml:space="preserve"> </v>
      </c>
      <c r="M42" s="2" t="str">
        <f t="shared" si="2"/>
        <v xml:space="preserve"> </v>
      </c>
    </row>
    <row r="43" spans="1:13" x14ac:dyDescent="0.25">
      <c r="A43" s="40" t="str">
        <f t="shared" si="0"/>
        <v xml:space="preserve"> </v>
      </c>
      <c r="D43" s="39"/>
      <c r="E43" s="39"/>
      <c r="J43" s="15">
        <f t="shared" si="3"/>
        <v>0</v>
      </c>
      <c r="K43" s="2" t="str">
        <f t="shared" si="4"/>
        <v xml:space="preserve"> </v>
      </c>
      <c r="L43" s="2" t="str">
        <f t="shared" si="1"/>
        <v xml:space="preserve"> </v>
      </c>
      <c r="M43" s="2" t="str">
        <f t="shared" si="2"/>
        <v xml:space="preserve"> </v>
      </c>
    </row>
    <row r="44" spans="1:13" x14ac:dyDescent="0.25">
      <c r="A44" s="40" t="str">
        <f t="shared" si="0"/>
        <v xml:space="preserve"> </v>
      </c>
      <c r="D44" s="39"/>
      <c r="E44" s="39"/>
      <c r="J44" s="15">
        <f t="shared" si="3"/>
        <v>0</v>
      </c>
      <c r="K44" s="2" t="str">
        <f t="shared" si="4"/>
        <v xml:space="preserve"> </v>
      </c>
      <c r="L44" s="2" t="str">
        <f t="shared" si="1"/>
        <v xml:space="preserve"> </v>
      </c>
      <c r="M44" s="2" t="str">
        <f t="shared" si="2"/>
        <v xml:space="preserve"> </v>
      </c>
    </row>
    <row r="45" spans="1:13" x14ac:dyDescent="0.25">
      <c r="A45" s="40" t="str">
        <f t="shared" si="0"/>
        <v xml:space="preserve"> </v>
      </c>
      <c r="D45" s="39"/>
      <c r="E45" s="39"/>
      <c r="J45" s="15">
        <f t="shared" si="3"/>
        <v>0</v>
      </c>
      <c r="K45" s="2" t="str">
        <f t="shared" si="4"/>
        <v xml:space="preserve"> </v>
      </c>
      <c r="L45" s="2" t="str">
        <f t="shared" si="1"/>
        <v xml:space="preserve"> </v>
      </c>
      <c r="M45" s="2" t="str">
        <f t="shared" si="2"/>
        <v xml:space="preserve"> </v>
      </c>
    </row>
    <row r="46" spans="1:13" x14ac:dyDescent="0.25">
      <c r="A46" s="40" t="str">
        <f t="shared" si="0"/>
        <v xml:space="preserve"> </v>
      </c>
      <c r="D46" s="39"/>
      <c r="E46" s="39"/>
      <c r="J46" s="15">
        <f t="shared" si="3"/>
        <v>0</v>
      </c>
      <c r="K46" s="2" t="str">
        <f t="shared" si="4"/>
        <v xml:space="preserve"> </v>
      </c>
      <c r="L46" s="2" t="str">
        <f t="shared" si="1"/>
        <v xml:space="preserve"> </v>
      </c>
      <c r="M46" s="2" t="str">
        <f t="shared" si="2"/>
        <v xml:space="preserve"> </v>
      </c>
    </row>
    <row r="47" spans="1:13" x14ac:dyDescent="0.25">
      <c r="A47" s="40" t="str">
        <f t="shared" si="0"/>
        <v xml:space="preserve"> </v>
      </c>
      <c r="D47" s="39"/>
      <c r="E47" s="39"/>
      <c r="J47" s="15">
        <f t="shared" si="3"/>
        <v>0</v>
      </c>
      <c r="K47" s="2" t="str">
        <f t="shared" si="4"/>
        <v xml:space="preserve"> </v>
      </c>
      <c r="L47" s="2" t="str">
        <f t="shared" si="1"/>
        <v xml:space="preserve"> </v>
      </c>
      <c r="M47" s="2" t="str">
        <f t="shared" si="2"/>
        <v xml:space="preserve"> </v>
      </c>
    </row>
    <row r="48" spans="1:13" x14ac:dyDescent="0.25">
      <c r="A48" s="40" t="str">
        <f t="shared" si="0"/>
        <v xml:space="preserve"> </v>
      </c>
      <c r="D48" s="39"/>
      <c r="E48" s="39"/>
      <c r="J48" s="15">
        <f t="shared" si="3"/>
        <v>0</v>
      </c>
      <c r="K48" s="2" t="str">
        <f t="shared" si="4"/>
        <v xml:space="preserve"> </v>
      </c>
      <c r="L48" s="2" t="str">
        <f t="shared" si="1"/>
        <v xml:space="preserve"> </v>
      </c>
      <c r="M48" s="2" t="str">
        <f t="shared" si="2"/>
        <v xml:space="preserve"> </v>
      </c>
    </row>
    <row r="49" spans="1:13" x14ac:dyDescent="0.25">
      <c r="A49" s="40" t="str">
        <f t="shared" si="0"/>
        <v xml:space="preserve"> </v>
      </c>
      <c r="D49" s="39"/>
      <c r="E49" s="39"/>
      <c r="J49" s="15">
        <f t="shared" si="3"/>
        <v>0</v>
      </c>
      <c r="K49" s="2" t="str">
        <f t="shared" si="4"/>
        <v xml:space="preserve"> </v>
      </c>
      <c r="L49" s="2" t="str">
        <f t="shared" si="1"/>
        <v xml:space="preserve"> </v>
      </c>
      <c r="M49" s="2" t="str">
        <f t="shared" si="2"/>
        <v xml:space="preserve"> </v>
      </c>
    </row>
    <row r="50" spans="1:13" x14ac:dyDescent="0.25">
      <c r="A50" s="40" t="str">
        <f t="shared" si="0"/>
        <v xml:space="preserve"> </v>
      </c>
      <c r="D50" s="39"/>
      <c r="E50" s="39"/>
      <c r="J50" s="15">
        <f t="shared" si="3"/>
        <v>0</v>
      </c>
      <c r="K50" s="2" t="str">
        <f t="shared" si="4"/>
        <v xml:space="preserve"> </v>
      </c>
      <c r="L50" s="2" t="str">
        <f t="shared" si="1"/>
        <v xml:space="preserve"> </v>
      </c>
      <c r="M50" s="2" t="str">
        <f t="shared" si="2"/>
        <v xml:space="preserve"> </v>
      </c>
    </row>
    <row r="51" spans="1:13" x14ac:dyDescent="0.25">
      <c r="A51" s="40" t="str">
        <f t="shared" si="0"/>
        <v xml:space="preserve"> </v>
      </c>
      <c r="D51" s="39"/>
      <c r="E51" s="39"/>
      <c r="J51" s="15">
        <f t="shared" si="3"/>
        <v>0</v>
      </c>
      <c r="K51" s="2" t="str">
        <f t="shared" si="4"/>
        <v xml:space="preserve"> </v>
      </c>
      <c r="L51" s="2" t="str">
        <f t="shared" si="1"/>
        <v xml:space="preserve"> </v>
      </c>
      <c r="M51" s="2" t="str">
        <f t="shared" si="2"/>
        <v xml:space="preserve"> </v>
      </c>
    </row>
    <row r="52" spans="1:13" x14ac:dyDescent="0.25">
      <c r="A52" s="40" t="str">
        <f t="shared" si="0"/>
        <v xml:space="preserve"> </v>
      </c>
      <c r="D52" s="39"/>
      <c r="E52" s="39"/>
      <c r="J52" s="15">
        <f t="shared" si="3"/>
        <v>0</v>
      </c>
      <c r="K52" s="2" t="str">
        <f t="shared" si="4"/>
        <v xml:space="preserve"> </v>
      </c>
      <c r="L52" s="2" t="str">
        <f t="shared" si="1"/>
        <v xml:space="preserve"> </v>
      </c>
      <c r="M52" s="2" t="str">
        <f t="shared" si="2"/>
        <v xml:space="preserve"> </v>
      </c>
    </row>
    <row r="53" spans="1:13" x14ac:dyDescent="0.25">
      <c r="A53" s="40" t="str">
        <f t="shared" si="0"/>
        <v xml:space="preserve"> </v>
      </c>
      <c r="D53" s="39"/>
      <c r="E53" s="39"/>
      <c r="J53" s="15">
        <f t="shared" si="3"/>
        <v>0</v>
      </c>
      <c r="K53" s="2" t="str">
        <f t="shared" si="4"/>
        <v xml:space="preserve"> </v>
      </c>
      <c r="L53" s="2" t="str">
        <f t="shared" si="1"/>
        <v xml:space="preserve"> </v>
      </c>
      <c r="M53" s="2" t="str">
        <f t="shared" si="2"/>
        <v xml:space="preserve"> </v>
      </c>
    </row>
    <row r="54" spans="1:13" x14ac:dyDescent="0.25">
      <c r="A54" s="40" t="str">
        <f t="shared" si="0"/>
        <v xml:space="preserve"> </v>
      </c>
      <c r="D54" s="39"/>
      <c r="E54" s="39"/>
      <c r="J54" s="15">
        <f t="shared" si="3"/>
        <v>0</v>
      </c>
      <c r="K54" s="2" t="str">
        <f t="shared" si="4"/>
        <v xml:space="preserve"> </v>
      </c>
      <c r="L54" s="2" t="str">
        <f t="shared" si="1"/>
        <v xml:space="preserve"> </v>
      </c>
      <c r="M54" s="2" t="str">
        <f t="shared" si="2"/>
        <v xml:space="preserve"> </v>
      </c>
    </row>
    <row r="55" spans="1:13" x14ac:dyDescent="0.25">
      <c r="A55" s="40" t="str">
        <f t="shared" si="0"/>
        <v xml:space="preserve"> </v>
      </c>
      <c r="D55" s="39"/>
      <c r="E55" s="39"/>
      <c r="J55" s="15">
        <f t="shared" si="3"/>
        <v>0</v>
      </c>
      <c r="K55" s="2" t="str">
        <f t="shared" si="4"/>
        <v xml:space="preserve"> </v>
      </c>
      <c r="L55" s="2" t="str">
        <f t="shared" si="1"/>
        <v xml:space="preserve"> </v>
      </c>
      <c r="M55" s="2" t="str">
        <f t="shared" si="2"/>
        <v xml:space="preserve"> </v>
      </c>
    </row>
    <row r="56" spans="1:13" x14ac:dyDescent="0.25">
      <c r="A56" s="40" t="str">
        <f t="shared" si="0"/>
        <v xml:space="preserve"> </v>
      </c>
      <c r="D56" s="39"/>
      <c r="E56" s="39"/>
      <c r="J56" s="15">
        <f t="shared" si="3"/>
        <v>0</v>
      </c>
      <c r="K56" s="2" t="str">
        <f t="shared" si="4"/>
        <v xml:space="preserve"> </v>
      </c>
      <c r="L56" s="2" t="str">
        <f t="shared" si="1"/>
        <v xml:space="preserve"> </v>
      </c>
      <c r="M56" s="2" t="str">
        <f t="shared" si="2"/>
        <v xml:space="preserve"> </v>
      </c>
    </row>
    <row r="57" spans="1:13" x14ac:dyDescent="0.25">
      <c r="A57" s="40" t="str">
        <f t="shared" si="0"/>
        <v xml:space="preserve"> </v>
      </c>
      <c r="D57" s="39"/>
      <c r="E57" s="39"/>
      <c r="J57" s="15">
        <f t="shared" si="3"/>
        <v>0</v>
      </c>
      <c r="K57" s="2" t="str">
        <f t="shared" si="4"/>
        <v xml:space="preserve"> </v>
      </c>
      <c r="L57" s="2" t="str">
        <f t="shared" si="1"/>
        <v xml:space="preserve"> </v>
      </c>
      <c r="M57" s="2" t="str">
        <f t="shared" si="2"/>
        <v xml:space="preserve"> </v>
      </c>
    </row>
    <row r="58" spans="1:13" x14ac:dyDescent="0.25">
      <c r="A58" s="40" t="str">
        <f t="shared" si="0"/>
        <v xml:space="preserve"> </v>
      </c>
      <c r="D58" s="39"/>
      <c r="E58" s="39"/>
      <c r="J58" s="15">
        <f t="shared" si="3"/>
        <v>0</v>
      </c>
      <c r="K58" s="2" t="str">
        <f t="shared" si="4"/>
        <v xml:space="preserve"> </v>
      </c>
      <c r="L58" s="2" t="str">
        <f t="shared" si="1"/>
        <v xml:space="preserve"> </v>
      </c>
      <c r="M58" s="2" t="str">
        <f t="shared" si="2"/>
        <v xml:space="preserve"> </v>
      </c>
    </row>
    <row r="59" spans="1:13" x14ac:dyDescent="0.25">
      <c r="A59" s="40" t="str">
        <f t="shared" si="0"/>
        <v xml:space="preserve"> </v>
      </c>
      <c r="D59" s="39"/>
      <c r="E59" s="39"/>
      <c r="J59" s="15">
        <f t="shared" si="3"/>
        <v>0</v>
      </c>
      <c r="K59" s="2" t="str">
        <f t="shared" si="4"/>
        <v xml:space="preserve"> </v>
      </c>
      <c r="L59" s="2" t="str">
        <f t="shared" si="1"/>
        <v xml:space="preserve"> </v>
      </c>
      <c r="M59" s="2" t="str">
        <f t="shared" si="2"/>
        <v xml:space="preserve"> </v>
      </c>
    </row>
    <row r="60" spans="1:13" x14ac:dyDescent="0.25">
      <c r="A60" s="40" t="str">
        <f t="shared" si="0"/>
        <v xml:space="preserve"> </v>
      </c>
      <c r="D60" s="39"/>
      <c r="E60" s="39"/>
      <c r="J60" s="15">
        <f t="shared" si="3"/>
        <v>0</v>
      </c>
      <c r="K60" s="2" t="str">
        <f t="shared" si="4"/>
        <v xml:space="preserve"> </v>
      </c>
      <c r="L60" s="2" t="str">
        <f t="shared" si="1"/>
        <v xml:space="preserve"> </v>
      </c>
      <c r="M60" s="2" t="str">
        <f t="shared" si="2"/>
        <v xml:space="preserve"> </v>
      </c>
    </row>
    <row r="61" spans="1:13" x14ac:dyDescent="0.25">
      <c r="A61" s="40" t="str">
        <f t="shared" si="0"/>
        <v xml:space="preserve"> </v>
      </c>
      <c r="D61" s="39"/>
      <c r="E61" s="39"/>
      <c r="J61" s="15">
        <f t="shared" si="3"/>
        <v>0</v>
      </c>
      <c r="K61" s="2" t="str">
        <f t="shared" si="4"/>
        <v xml:space="preserve"> </v>
      </c>
      <c r="L61" s="2" t="str">
        <f t="shared" si="1"/>
        <v xml:space="preserve"> </v>
      </c>
      <c r="M61" s="2" t="str">
        <f t="shared" si="2"/>
        <v xml:space="preserve"> </v>
      </c>
    </row>
    <row r="62" spans="1:13" x14ac:dyDescent="0.25">
      <c r="A62" s="40" t="str">
        <f t="shared" si="0"/>
        <v xml:space="preserve"> </v>
      </c>
      <c r="D62" s="39"/>
      <c r="E62" s="39"/>
      <c r="J62" s="15">
        <f t="shared" si="3"/>
        <v>0</v>
      </c>
      <c r="K62" s="2" t="str">
        <f t="shared" si="4"/>
        <v xml:space="preserve"> </v>
      </c>
      <c r="L62" s="2" t="str">
        <f t="shared" si="1"/>
        <v xml:space="preserve"> </v>
      </c>
      <c r="M62" s="2" t="str">
        <f t="shared" si="2"/>
        <v xml:space="preserve"> </v>
      </c>
    </row>
    <row r="63" spans="1:13" x14ac:dyDescent="0.25">
      <c r="A63" s="40" t="str">
        <f t="shared" si="0"/>
        <v xml:space="preserve"> </v>
      </c>
      <c r="D63" s="39"/>
      <c r="E63" s="39"/>
      <c r="J63" s="15">
        <f t="shared" si="3"/>
        <v>0</v>
      </c>
      <c r="K63" s="2" t="str">
        <f t="shared" si="4"/>
        <v xml:space="preserve"> </v>
      </c>
      <c r="L63" s="2" t="str">
        <f t="shared" si="1"/>
        <v xml:space="preserve"> </v>
      </c>
      <c r="M63" s="2" t="str">
        <f t="shared" si="2"/>
        <v xml:space="preserve"> </v>
      </c>
    </row>
    <row r="64" spans="1:13" x14ac:dyDescent="0.25">
      <c r="A64" s="40" t="str">
        <f t="shared" si="0"/>
        <v xml:space="preserve"> </v>
      </c>
      <c r="D64" s="39"/>
      <c r="E64" s="39"/>
      <c r="J64" s="15">
        <f t="shared" si="3"/>
        <v>0</v>
      </c>
      <c r="K64" s="2" t="str">
        <f t="shared" si="4"/>
        <v xml:space="preserve"> </v>
      </c>
      <c r="L64" s="2" t="str">
        <f t="shared" si="1"/>
        <v xml:space="preserve"> </v>
      </c>
      <c r="M64" s="2" t="str">
        <f t="shared" si="2"/>
        <v xml:space="preserve"> </v>
      </c>
    </row>
    <row r="65" spans="1:13" x14ac:dyDescent="0.25">
      <c r="A65" s="40" t="str">
        <f t="shared" si="0"/>
        <v xml:space="preserve"> </v>
      </c>
      <c r="D65" s="39"/>
      <c r="E65" s="39"/>
      <c r="J65" s="15">
        <f t="shared" si="3"/>
        <v>0</v>
      </c>
      <c r="K65" s="2" t="str">
        <f t="shared" si="4"/>
        <v xml:space="preserve"> </v>
      </c>
      <c r="L65" s="2" t="str">
        <f t="shared" si="1"/>
        <v xml:space="preserve"> </v>
      </c>
      <c r="M65" s="2" t="str">
        <f t="shared" si="2"/>
        <v xml:space="preserve"> </v>
      </c>
    </row>
    <row r="66" spans="1:13" x14ac:dyDescent="0.25">
      <c r="A66" s="40" t="str">
        <f t="shared" si="0"/>
        <v xml:space="preserve"> </v>
      </c>
      <c r="D66" s="39"/>
      <c r="E66" s="39"/>
      <c r="J66" s="15">
        <f t="shared" si="3"/>
        <v>0</v>
      </c>
      <c r="K66" s="2" t="str">
        <f t="shared" si="4"/>
        <v xml:space="preserve"> </v>
      </c>
      <c r="L66" s="2" t="str">
        <f t="shared" si="1"/>
        <v xml:space="preserve"> </v>
      </c>
      <c r="M66" s="2" t="str">
        <f t="shared" si="2"/>
        <v xml:space="preserve"> </v>
      </c>
    </row>
    <row r="67" spans="1:13" x14ac:dyDescent="0.25">
      <c r="A67" s="40" t="str">
        <f t="shared" si="0"/>
        <v xml:space="preserve"> </v>
      </c>
      <c r="D67" s="39"/>
      <c r="E67" s="39"/>
      <c r="J67" s="15">
        <f t="shared" si="3"/>
        <v>0</v>
      </c>
      <c r="K67" s="2" t="str">
        <f t="shared" si="4"/>
        <v xml:space="preserve"> </v>
      </c>
      <c r="L67" s="2" t="str">
        <f t="shared" si="1"/>
        <v xml:space="preserve"> </v>
      </c>
      <c r="M67" s="2" t="str">
        <f t="shared" si="2"/>
        <v xml:space="preserve"> </v>
      </c>
    </row>
    <row r="68" spans="1:13" x14ac:dyDescent="0.25">
      <c r="A68" s="40" t="str">
        <f t="shared" si="0"/>
        <v xml:space="preserve"> </v>
      </c>
      <c r="D68" s="39"/>
      <c r="E68" s="39"/>
      <c r="J68" s="15">
        <f t="shared" si="3"/>
        <v>0</v>
      </c>
      <c r="K68" s="2" t="str">
        <f t="shared" si="4"/>
        <v xml:space="preserve"> </v>
      </c>
      <c r="L68" s="2" t="str">
        <f t="shared" si="1"/>
        <v xml:space="preserve"> </v>
      </c>
      <c r="M68" s="2" t="str">
        <f t="shared" si="2"/>
        <v xml:space="preserve"> </v>
      </c>
    </row>
    <row r="69" spans="1:13" x14ac:dyDescent="0.25">
      <c r="A69" s="40" t="str">
        <f t="shared" si="0"/>
        <v xml:space="preserve"> </v>
      </c>
      <c r="D69" s="39"/>
      <c r="E69" s="39"/>
      <c r="J69" s="15">
        <f t="shared" si="3"/>
        <v>0</v>
      </c>
      <c r="K69" s="2" t="str">
        <f t="shared" si="4"/>
        <v xml:space="preserve"> </v>
      </c>
      <c r="L69" s="2" t="str">
        <f t="shared" si="1"/>
        <v xml:space="preserve"> </v>
      </c>
      <c r="M69" s="2" t="str">
        <f t="shared" si="2"/>
        <v xml:space="preserve"> </v>
      </c>
    </row>
    <row r="70" spans="1:13" x14ac:dyDescent="0.25">
      <c r="A70" s="40" t="str">
        <f t="shared" si="0"/>
        <v xml:space="preserve"> </v>
      </c>
      <c r="D70" s="39"/>
      <c r="E70" s="39"/>
      <c r="J70" s="15">
        <f t="shared" si="3"/>
        <v>0</v>
      </c>
      <c r="K70" s="2" t="str">
        <f t="shared" si="4"/>
        <v xml:space="preserve"> </v>
      </c>
      <c r="L70" s="2" t="str">
        <f t="shared" si="1"/>
        <v xml:space="preserve"> </v>
      </c>
      <c r="M70" s="2" t="str">
        <f t="shared" si="2"/>
        <v xml:space="preserve"> </v>
      </c>
    </row>
    <row r="71" spans="1:13" x14ac:dyDescent="0.25">
      <c r="A71" s="40" t="str">
        <f t="shared" si="0"/>
        <v xml:space="preserve"> </v>
      </c>
      <c r="D71" s="39"/>
      <c r="E71" s="39"/>
      <c r="J71" s="15">
        <f t="shared" si="3"/>
        <v>0</v>
      </c>
      <c r="K71" s="2" t="str">
        <f t="shared" si="4"/>
        <v xml:space="preserve"> </v>
      </c>
      <c r="L71" s="2" t="str">
        <f t="shared" si="1"/>
        <v xml:space="preserve"> </v>
      </c>
      <c r="M71" s="2" t="str">
        <f t="shared" si="2"/>
        <v xml:space="preserve"> </v>
      </c>
    </row>
    <row r="72" spans="1:13" x14ac:dyDescent="0.25">
      <c r="A72" s="40" t="str">
        <f t="shared" si="0"/>
        <v xml:space="preserve"> </v>
      </c>
      <c r="D72" s="39"/>
      <c r="E72" s="39"/>
      <c r="J72" s="15">
        <f t="shared" si="3"/>
        <v>0</v>
      </c>
      <c r="K72" s="2" t="str">
        <f t="shared" si="4"/>
        <v xml:space="preserve"> </v>
      </c>
      <c r="L72" s="2" t="str">
        <f t="shared" si="1"/>
        <v xml:space="preserve"> </v>
      </c>
      <c r="M72" s="2" t="str">
        <f t="shared" si="2"/>
        <v xml:space="preserve"> </v>
      </c>
    </row>
    <row r="73" spans="1:13" x14ac:dyDescent="0.25">
      <c r="A73" s="40" t="str">
        <f t="shared" si="0"/>
        <v xml:space="preserve"> </v>
      </c>
      <c r="D73" s="39"/>
      <c r="E73" s="39"/>
      <c r="J73" s="15">
        <f t="shared" si="3"/>
        <v>0</v>
      </c>
      <c r="K73" s="2" t="str">
        <f t="shared" si="4"/>
        <v xml:space="preserve"> </v>
      </c>
      <c r="L73" s="2" t="str">
        <f t="shared" si="1"/>
        <v xml:space="preserve"> </v>
      </c>
      <c r="M73" s="2" t="str">
        <f t="shared" si="2"/>
        <v xml:space="preserve"> </v>
      </c>
    </row>
    <row r="74" spans="1:13" x14ac:dyDescent="0.25">
      <c r="A74" s="40" t="str">
        <f t="shared" si="0"/>
        <v xml:space="preserve"> </v>
      </c>
      <c r="D74" s="39"/>
      <c r="E74" s="39"/>
      <c r="J74" s="15">
        <f t="shared" si="3"/>
        <v>0</v>
      </c>
      <c r="K74" s="2" t="str">
        <f t="shared" si="4"/>
        <v xml:space="preserve"> </v>
      </c>
      <c r="L74" s="2" t="str">
        <f t="shared" si="1"/>
        <v xml:space="preserve"> </v>
      </c>
      <c r="M74" s="2" t="str">
        <f t="shared" si="2"/>
        <v xml:space="preserve"> </v>
      </c>
    </row>
    <row r="75" spans="1:13" x14ac:dyDescent="0.25">
      <c r="A75" s="40" t="str">
        <f t="shared" si="0"/>
        <v xml:space="preserve"> </v>
      </c>
      <c r="D75" s="39"/>
      <c r="E75" s="39"/>
      <c r="J75" s="15">
        <f t="shared" si="3"/>
        <v>0</v>
      </c>
      <c r="K75" s="2" t="str">
        <f t="shared" si="4"/>
        <v xml:space="preserve"> </v>
      </c>
      <c r="L75" s="2" t="str">
        <f t="shared" si="1"/>
        <v xml:space="preserve"> </v>
      </c>
      <c r="M75" s="2" t="str">
        <f t="shared" si="2"/>
        <v xml:space="preserve"> </v>
      </c>
    </row>
    <row r="76" spans="1:13" x14ac:dyDescent="0.25">
      <c r="A76" s="40" t="str">
        <f t="shared" si="0"/>
        <v xml:space="preserve"> </v>
      </c>
      <c r="D76" s="39"/>
      <c r="E76" s="39"/>
      <c r="J76" s="15">
        <f t="shared" si="3"/>
        <v>0</v>
      </c>
      <c r="K76" s="2" t="str">
        <f t="shared" si="4"/>
        <v xml:space="preserve"> </v>
      </c>
      <c r="L76" s="2" t="str">
        <f t="shared" si="1"/>
        <v xml:space="preserve"> </v>
      </c>
      <c r="M76" s="2" t="str">
        <f t="shared" si="2"/>
        <v xml:space="preserve"> </v>
      </c>
    </row>
    <row r="77" spans="1:13" x14ac:dyDescent="0.25">
      <c r="A77" s="40" t="str">
        <f t="shared" si="0"/>
        <v xml:space="preserve"> </v>
      </c>
      <c r="D77" s="39"/>
      <c r="E77" s="39"/>
      <c r="J77" s="15">
        <f t="shared" si="3"/>
        <v>0</v>
      </c>
      <c r="K77" s="2" t="str">
        <f t="shared" si="4"/>
        <v xml:space="preserve"> </v>
      </c>
      <c r="L77" s="2" t="str">
        <f t="shared" si="1"/>
        <v xml:space="preserve"> </v>
      </c>
      <c r="M77" s="2" t="str">
        <f t="shared" si="2"/>
        <v xml:space="preserve"> </v>
      </c>
    </row>
    <row r="78" spans="1:13" x14ac:dyDescent="0.25">
      <c r="A78" s="40" t="str">
        <f t="shared" si="0"/>
        <v xml:space="preserve"> </v>
      </c>
      <c r="D78" s="39"/>
      <c r="E78" s="39"/>
      <c r="J78" s="15">
        <f t="shared" si="3"/>
        <v>0</v>
      </c>
      <c r="K78" s="2" t="str">
        <f t="shared" si="4"/>
        <v xml:space="preserve"> </v>
      </c>
      <c r="L78" s="2" t="str">
        <f t="shared" si="1"/>
        <v xml:space="preserve"> </v>
      </c>
      <c r="M78" s="2" t="str">
        <f t="shared" si="2"/>
        <v xml:space="preserve"> </v>
      </c>
    </row>
    <row r="79" spans="1:13" x14ac:dyDescent="0.25">
      <c r="A79" s="40" t="str">
        <f t="shared" ref="A79:A142" si="5">IF(COUNTIF(K79:M79,"ERROR")&gt;0,"ERROR"," ")</f>
        <v xml:space="preserve"> </v>
      </c>
      <c r="D79" s="39"/>
      <c r="E79" s="39"/>
      <c r="J79" s="15">
        <f t="shared" si="3"/>
        <v>0</v>
      </c>
      <c r="K79" s="2" t="str">
        <f t="shared" si="4"/>
        <v xml:space="preserve"> </v>
      </c>
      <c r="L79" s="2" t="str">
        <f t="shared" ref="L79:L142" si="6">IF(D79=0," ",IF(COUNTIF(ProfitLoss4,D79)&gt;0," ","ERROR"))</f>
        <v xml:space="preserve"> </v>
      </c>
      <c r="M79" s="2" t="str">
        <f t="shared" ref="M79:M142" si="7">IF(E79=0," ",IF(COUNTIF(BalanceSheet4,E79)&gt;0," ","ERROR"))</f>
        <v xml:space="preserve"> </v>
      </c>
    </row>
    <row r="80" spans="1:13" x14ac:dyDescent="0.25">
      <c r="A80" s="40" t="str">
        <f t="shared" si="5"/>
        <v xml:space="preserve"> </v>
      </c>
      <c r="D80" s="39"/>
      <c r="E80" s="39"/>
      <c r="J80" s="15">
        <f t="shared" ref="J80:J143" si="8">F80-G80+H80-I80</f>
        <v>0</v>
      </c>
      <c r="K80" s="2" t="str">
        <f t="shared" ref="K80:K143" si="9">IF(COUNTA(D80:E80)=2,"ERROR"," ")</f>
        <v xml:space="preserve"> </v>
      </c>
      <c r="L80" s="2" t="str">
        <f t="shared" si="6"/>
        <v xml:space="preserve"> </v>
      </c>
      <c r="M80" s="2" t="str">
        <f t="shared" si="7"/>
        <v xml:space="preserve"> </v>
      </c>
    </row>
    <row r="81" spans="1:13" x14ac:dyDescent="0.25">
      <c r="A81" s="40" t="str">
        <f t="shared" si="5"/>
        <v xml:space="preserve"> </v>
      </c>
      <c r="D81" s="39"/>
      <c r="E81" s="39"/>
      <c r="J81" s="15">
        <f t="shared" si="8"/>
        <v>0</v>
      </c>
      <c r="K81" s="2" t="str">
        <f t="shared" si="9"/>
        <v xml:space="preserve"> </v>
      </c>
      <c r="L81" s="2" t="str">
        <f t="shared" si="6"/>
        <v xml:space="preserve"> </v>
      </c>
      <c r="M81" s="2" t="str">
        <f t="shared" si="7"/>
        <v xml:space="preserve"> </v>
      </c>
    </row>
    <row r="82" spans="1:13" x14ac:dyDescent="0.25">
      <c r="A82" s="40" t="str">
        <f t="shared" si="5"/>
        <v xml:space="preserve"> </v>
      </c>
      <c r="D82" s="39"/>
      <c r="E82" s="39"/>
      <c r="J82" s="15">
        <f t="shared" si="8"/>
        <v>0</v>
      </c>
      <c r="K82" s="2" t="str">
        <f t="shared" si="9"/>
        <v xml:space="preserve"> </v>
      </c>
      <c r="L82" s="2" t="str">
        <f t="shared" si="6"/>
        <v xml:space="preserve"> </v>
      </c>
      <c r="M82" s="2" t="str">
        <f t="shared" si="7"/>
        <v xml:space="preserve"> </v>
      </c>
    </row>
    <row r="83" spans="1:13" x14ac:dyDescent="0.25">
      <c r="A83" s="40" t="str">
        <f t="shared" si="5"/>
        <v xml:space="preserve"> </v>
      </c>
      <c r="D83" s="39"/>
      <c r="E83" s="39"/>
      <c r="J83" s="15">
        <f t="shared" si="8"/>
        <v>0</v>
      </c>
      <c r="K83" s="2" t="str">
        <f t="shared" si="9"/>
        <v xml:space="preserve"> </v>
      </c>
      <c r="L83" s="2" t="str">
        <f t="shared" si="6"/>
        <v xml:space="preserve"> </v>
      </c>
      <c r="M83" s="2" t="str">
        <f t="shared" si="7"/>
        <v xml:space="preserve"> </v>
      </c>
    </row>
    <row r="84" spans="1:13" x14ac:dyDescent="0.25">
      <c r="A84" s="40" t="str">
        <f t="shared" si="5"/>
        <v xml:space="preserve"> </v>
      </c>
      <c r="D84" s="39"/>
      <c r="E84" s="39"/>
      <c r="J84" s="15">
        <f t="shared" si="8"/>
        <v>0</v>
      </c>
      <c r="K84" s="2" t="str">
        <f t="shared" si="9"/>
        <v xml:space="preserve"> </v>
      </c>
      <c r="L84" s="2" t="str">
        <f t="shared" si="6"/>
        <v xml:space="preserve"> </v>
      </c>
      <c r="M84" s="2" t="str">
        <f t="shared" si="7"/>
        <v xml:space="preserve"> </v>
      </c>
    </row>
    <row r="85" spans="1:13" x14ac:dyDescent="0.25">
      <c r="A85" s="40" t="str">
        <f t="shared" si="5"/>
        <v xml:space="preserve"> </v>
      </c>
      <c r="D85" s="39"/>
      <c r="E85" s="39"/>
      <c r="J85" s="15">
        <f t="shared" si="8"/>
        <v>0</v>
      </c>
      <c r="K85" s="2" t="str">
        <f t="shared" si="9"/>
        <v xml:space="preserve"> </v>
      </c>
      <c r="L85" s="2" t="str">
        <f t="shared" si="6"/>
        <v xml:space="preserve"> </v>
      </c>
      <c r="M85" s="2" t="str">
        <f t="shared" si="7"/>
        <v xml:space="preserve"> </v>
      </c>
    </row>
    <row r="86" spans="1:13" x14ac:dyDescent="0.25">
      <c r="A86" s="40" t="str">
        <f t="shared" si="5"/>
        <v xml:space="preserve"> </v>
      </c>
      <c r="D86" s="39"/>
      <c r="E86" s="39"/>
      <c r="J86" s="15">
        <f t="shared" si="8"/>
        <v>0</v>
      </c>
      <c r="K86" s="2" t="str">
        <f t="shared" si="9"/>
        <v xml:space="preserve"> </v>
      </c>
      <c r="L86" s="2" t="str">
        <f t="shared" si="6"/>
        <v xml:space="preserve"> </v>
      </c>
      <c r="M86" s="2" t="str">
        <f t="shared" si="7"/>
        <v xml:space="preserve"> </v>
      </c>
    </row>
    <row r="87" spans="1:13" x14ac:dyDescent="0.25">
      <c r="A87" s="40" t="str">
        <f t="shared" si="5"/>
        <v xml:space="preserve"> </v>
      </c>
      <c r="D87" s="39"/>
      <c r="E87" s="39"/>
      <c r="J87" s="15">
        <f t="shared" si="8"/>
        <v>0</v>
      </c>
      <c r="K87" s="2" t="str">
        <f t="shared" si="9"/>
        <v xml:space="preserve"> </v>
      </c>
      <c r="L87" s="2" t="str">
        <f t="shared" si="6"/>
        <v xml:space="preserve"> </v>
      </c>
      <c r="M87" s="2" t="str">
        <f t="shared" si="7"/>
        <v xml:space="preserve"> </v>
      </c>
    </row>
    <row r="88" spans="1:13" x14ac:dyDescent="0.25">
      <c r="A88" s="40" t="str">
        <f t="shared" si="5"/>
        <v xml:space="preserve"> </v>
      </c>
      <c r="D88" s="39"/>
      <c r="E88" s="39"/>
      <c r="J88" s="15">
        <f t="shared" si="8"/>
        <v>0</v>
      </c>
      <c r="K88" s="2" t="str">
        <f t="shared" si="9"/>
        <v xml:space="preserve"> </v>
      </c>
      <c r="L88" s="2" t="str">
        <f t="shared" si="6"/>
        <v xml:space="preserve"> </v>
      </c>
      <c r="M88" s="2" t="str">
        <f t="shared" si="7"/>
        <v xml:space="preserve"> </v>
      </c>
    </row>
    <row r="89" spans="1:13" x14ac:dyDescent="0.25">
      <c r="A89" s="40" t="str">
        <f t="shared" si="5"/>
        <v xml:space="preserve"> </v>
      </c>
      <c r="D89" s="39"/>
      <c r="E89" s="39"/>
      <c r="J89" s="15">
        <f t="shared" si="8"/>
        <v>0</v>
      </c>
      <c r="K89" s="2" t="str">
        <f t="shared" si="9"/>
        <v xml:space="preserve"> </v>
      </c>
      <c r="L89" s="2" t="str">
        <f t="shared" si="6"/>
        <v xml:space="preserve"> </v>
      </c>
      <c r="M89" s="2" t="str">
        <f t="shared" si="7"/>
        <v xml:space="preserve"> </v>
      </c>
    </row>
    <row r="90" spans="1:13" x14ac:dyDescent="0.25">
      <c r="A90" s="40" t="str">
        <f t="shared" si="5"/>
        <v xml:space="preserve"> </v>
      </c>
      <c r="D90" s="39"/>
      <c r="E90" s="39"/>
      <c r="J90" s="15">
        <f t="shared" si="8"/>
        <v>0</v>
      </c>
      <c r="K90" s="2" t="str">
        <f t="shared" si="9"/>
        <v xml:space="preserve"> </v>
      </c>
      <c r="L90" s="2" t="str">
        <f t="shared" si="6"/>
        <v xml:space="preserve"> </v>
      </c>
      <c r="M90" s="2" t="str">
        <f t="shared" si="7"/>
        <v xml:space="preserve"> </v>
      </c>
    </row>
    <row r="91" spans="1:13" x14ac:dyDescent="0.25">
      <c r="A91" s="40" t="str">
        <f t="shared" si="5"/>
        <v xml:space="preserve"> </v>
      </c>
      <c r="D91" s="39"/>
      <c r="E91" s="39"/>
      <c r="J91" s="15">
        <f t="shared" si="8"/>
        <v>0</v>
      </c>
      <c r="K91" s="2" t="str">
        <f t="shared" si="9"/>
        <v xml:space="preserve"> </v>
      </c>
      <c r="L91" s="2" t="str">
        <f t="shared" si="6"/>
        <v xml:space="preserve"> </v>
      </c>
      <c r="M91" s="2" t="str">
        <f t="shared" si="7"/>
        <v xml:space="preserve"> </v>
      </c>
    </row>
    <row r="92" spans="1:13" x14ac:dyDescent="0.25">
      <c r="A92" s="40" t="str">
        <f t="shared" si="5"/>
        <v xml:space="preserve"> </v>
      </c>
      <c r="D92" s="39"/>
      <c r="E92" s="39"/>
      <c r="J92" s="15">
        <f t="shared" si="8"/>
        <v>0</v>
      </c>
      <c r="K92" s="2" t="str">
        <f t="shared" si="9"/>
        <v xml:space="preserve"> </v>
      </c>
      <c r="L92" s="2" t="str">
        <f t="shared" si="6"/>
        <v xml:space="preserve"> </v>
      </c>
      <c r="M92" s="2" t="str">
        <f t="shared" si="7"/>
        <v xml:space="preserve"> </v>
      </c>
    </row>
    <row r="93" spans="1:13" x14ac:dyDescent="0.25">
      <c r="A93" s="40" t="str">
        <f t="shared" si="5"/>
        <v xml:space="preserve"> </v>
      </c>
      <c r="D93" s="39"/>
      <c r="E93" s="39"/>
      <c r="J93" s="15">
        <f t="shared" si="8"/>
        <v>0</v>
      </c>
      <c r="K93" s="2" t="str">
        <f t="shared" si="9"/>
        <v xml:space="preserve"> </v>
      </c>
      <c r="L93" s="2" t="str">
        <f t="shared" si="6"/>
        <v xml:space="preserve"> </v>
      </c>
      <c r="M93" s="2" t="str">
        <f t="shared" si="7"/>
        <v xml:space="preserve"> </v>
      </c>
    </row>
    <row r="94" spans="1:13" x14ac:dyDescent="0.25">
      <c r="A94" s="40" t="str">
        <f t="shared" si="5"/>
        <v xml:space="preserve"> </v>
      </c>
      <c r="D94" s="39"/>
      <c r="E94" s="39"/>
      <c r="J94" s="15">
        <f t="shared" si="8"/>
        <v>0</v>
      </c>
      <c r="K94" s="2" t="str">
        <f t="shared" si="9"/>
        <v xml:space="preserve"> </v>
      </c>
      <c r="L94" s="2" t="str">
        <f t="shared" si="6"/>
        <v xml:space="preserve"> </v>
      </c>
      <c r="M94" s="2" t="str">
        <f t="shared" si="7"/>
        <v xml:space="preserve"> </v>
      </c>
    </row>
    <row r="95" spans="1:13" x14ac:dyDescent="0.25">
      <c r="A95" s="40" t="str">
        <f t="shared" si="5"/>
        <v xml:space="preserve"> </v>
      </c>
      <c r="D95" s="39"/>
      <c r="E95" s="39"/>
      <c r="J95" s="15">
        <f t="shared" si="8"/>
        <v>0</v>
      </c>
      <c r="K95" s="2" t="str">
        <f t="shared" si="9"/>
        <v xml:space="preserve"> </v>
      </c>
      <c r="L95" s="2" t="str">
        <f t="shared" si="6"/>
        <v xml:space="preserve"> </v>
      </c>
      <c r="M95" s="2" t="str">
        <f t="shared" si="7"/>
        <v xml:space="preserve"> </v>
      </c>
    </row>
    <row r="96" spans="1:13" x14ac:dyDescent="0.25">
      <c r="A96" s="40" t="str">
        <f t="shared" si="5"/>
        <v xml:space="preserve"> </v>
      </c>
      <c r="D96" s="39"/>
      <c r="E96" s="39"/>
      <c r="J96" s="15">
        <f t="shared" si="8"/>
        <v>0</v>
      </c>
      <c r="K96" s="2" t="str">
        <f t="shared" si="9"/>
        <v xml:space="preserve"> </v>
      </c>
      <c r="L96" s="2" t="str">
        <f t="shared" si="6"/>
        <v xml:space="preserve"> </v>
      </c>
      <c r="M96" s="2" t="str">
        <f t="shared" si="7"/>
        <v xml:space="preserve"> </v>
      </c>
    </row>
    <row r="97" spans="1:13" x14ac:dyDescent="0.25">
      <c r="A97" s="40" t="str">
        <f t="shared" si="5"/>
        <v xml:space="preserve"> </v>
      </c>
      <c r="D97" s="39"/>
      <c r="E97" s="39"/>
      <c r="J97" s="15">
        <f t="shared" si="8"/>
        <v>0</v>
      </c>
      <c r="K97" s="2" t="str">
        <f t="shared" si="9"/>
        <v xml:space="preserve"> </v>
      </c>
      <c r="L97" s="2" t="str">
        <f t="shared" si="6"/>
        <v xml:space="preserve"> </v>
      </c>
      <c r="M97" s="2" t="str">
        <f t="shared" si="7"/>
        <v xml:space="preserve"> </v>
      </c>
    </row>
    <row r="98" spans="1:13" x14ac:dyDescent="0.25">
      <c r="A98" s="40" t="str">
        <f t="shared" si="5"/>
        <v xml:space="preserve"> </v>
      </c>
      <c r="D98" s="39"/>
      <c r="E98" s="39"/>
      <c r="J98" s="15">
        <f t="shared" si="8"/>
        <v>0</v>
      </c>
      <c r="K98" s="2" t="str">
        <f t="shared" si="9"/>
        <v xml:space="preserve"> </v>
      </c>
      <c r="L98" s="2" t="str">
        <f t="shared" si="6"/>
        <v xml:space="preserve"> </v>
      </c>
      <c r="M98" s="2" t="str">
        <f t="shared" si="7"/>
        <v xml:space="preserve"> </v>
      </c>
    </row>
    <row r="99" spans="1:13" x14ac:dyDescent="0.25">
      <c r="A99" s="40" t="str">
        <f t="shared" si="5"/>
        <v xml:space="preserve"> </v>
      </c>
      <c r="D99" s="39"/>
      <c r="E99" s="39"/>
      <c r="J99" s="15">
        <f t="shared" si="8"/>
        <v>0</v>
      </c>
      <c r="K99" s="2" t="str">
        <f t="shared" si="9"/>
        <v xml:space="preserve"> </v>
      </c>
      <c r="L99" s="2" t="str">
        <f t="shared" si="6"/>
        <v xml:space="preserve"> </v>
      </c>
      <c r="M99" s="2" t="str">
        <f t="shared" si="7"/>
        <v xml:space="preserve"> </v>
      </c>
    </row>
    <row r="100" spans="1:13" x14ac:dyDescent="0.25">
      <c r="A100" s="40" t="str">
        <f t="shared" si="5"/>
        <v xml:space="preserve"> </v>
      </c>
      <c r="D100" s="39"/>
      <c r="E100" s="39"/>
      <c r="J100" s="15">
        <f t="shared" si="8"/>
        <v>0</v>
      </c>
      <c r="K100" s="2" t="str">
        <f t="shared" si="9"/>
        <v xml:space="preserve"> </v>
      </c>
      <c r="L100" s="2" t="str">
        <f t="shared" si="6"/>
        <v xml:space="preserve"> </v>
      </c>
      <c r="M100" s="2" t="str">
        <f t="shared" si="7"/>
        <v xml:space="preserve"> </v>
      </c>
    </row>
    <row r="101" spans="1:13" x14ac:dyDescent="0.25">
      <c r="A101" s="40" t="str">
        <f t="shared" si="5"/>
        <v xml:space="preserve"> </v>
      </c>
      <c r="D101" s="39"/>
      <c r="E101" s="39"/>
      <c r="J101" s="15">
        <f t="shared" si="8"/>
        <v>0</v>
      </c>
      <c r="K101" s="2" t="str">
        <f t="shared" si="9"/>
        <v xml:space="preserve"> </v>
      </c>
      <c r="L101" s="2" t="str">
        <f t="shared" si="6"/>
        <v xml:space="preserve"> </v>
      </c>
      <c r="M101" s="2" t="str">
        <f t="shared" si="7"/>
        <v xml:space="preserve"> </v>
      </c>
    </row>
    <row r="102" spans="1:13" x14ac:dyDescent="0.25">
      <c r="A102" s="40" t="str">
        <f t="shared" si="5"/>
        <v xml:space="preserve"> </v>
      </c>
      <c r="D102" s="39"/>
      <c r="E102" s="39"/>
      <c r="J102" s="15">
        <f t="shared" si="8"/>
        <v>0</v>
      </c>
      <c r="K102" s="2" t="str">
        <f t="shared" si="9"/>
        <v xml:space="preserve"> </v>
      </c>
      <c r="L102" s="2" t="str">
        <f t="shared" si="6"/>
        <v xml:space="preserve"> </v>
      </c>
      <c r="M102" s="2" t="str">
        <f t="shared" si="7"/>
        <v xml:space="preserve"> </v>
      </c>
    </row>
    <row r="103" spans="1:13" x14ac:dyDescent="0.25">
      <c r="A103" s="40" t="str">
        <f t="shared" si="5"/>
        <v xml:space="preserve"> </v>
      </c>
      <c r="D103" s="39"/>
      <c r="E103" s="39"/>
      <c r="J103" s="15">
        <f t="shared" si="8"/>
        <v>0</v>
      </c>
      <c r="K103" s="2" t="str">
        <f t="shared" si="9"/>
        <v xml:space="preserve"> </v>
      </c>
      <c r="L103" s="2" t="str">
        <f t="shared" si="6"/>
        <v xml:space="preserve"> </v>
      </c>
      <c r="M103" s="2" t="str">
        <f t="shared" si="7"/>
        <v xml:space="preserve"> </v>
      </c>
    </row>
    <row r="104" spans="1:13" x14ac:dyDescent="0.25">
      <c r="A104" s="40" t="str">
        <f t="shared" si="5"/>
        <v xml:space="preserve"> </v>
      </c>
      <c r="D104" s="39"/>
      <c r="E104" s="39"/>
      <c r="J104" s="15">
        <f t="shared" si="8"/>
        <v>0</v>
      </c>
      <c r="K104" s="2" t="str">
        <f t="shared" si="9"/>
        <v xml:space="preserve"> </v>
      </c>
      <c r="L104" s="2" t="str">
        <f t="shared" si="6"/>
        <v xml:space="preserve"> </v>
      </c>
      <c r="M104" s="2" t="str">
        <f t="shared" si="7"/>
        <v xml:space="preserve"> </v>
      </c>
    </row>
    <row r="105" spans="1:13" x14ac:dyDescent="0.25">
      <c r="A105" s="40" t="str">
        <f t="shared" si="5"/>
        <v xml:space="preserve"> </v>
      </c>
      <c r="D105" s="39"/>
      <c r="E105" s="39"/>
      <c r="J105" s="15">
        <f t="shared" si="8"/>
        <v>0</v>
      </c>
      <c r="K105" s="2" t="str">
        <f t="shared" si="9"/>
        <v xml:space="preserve"> </v>
      </c>
      <c r="L105" s="2" t="str">
        <f t="shared" si="6"/>
        <v xml:space="preserve"> </v>
      </c>
      <c r="M105" s="2" t="str">
        <f t="shared" si="7"/>
        <v xml:space="preserve"> </v>
      </c>
    </row>
    <row r="106" spans="1:13" x14ac:dyDescent="0.25">
      <c r="A106" s="40" t="str">
        <f t="shared" si="5"/>
        <v xml:space="preserve"> </v>
      </c>
      <c r="D106" s="39"/>
      <c r="E106" s="39"/>
      <c r="J106" s="15">
        <f t="shared" si="8"/>
        <v>0</v>
      </c>
      <c r="K106" s="2" t="str">
        <f t="shared" si="9"/>
        <v xml:space="preserve"> </v>
      </c>
      <c r="L106" s="2" t="str">
        <f t="shared" si="6"/>
        <v xml:space="preserve"> </v>
      </c>
      <c r="M106" s="2" t="str">
        <f t="shared" si="7"/>
        <v xml:space="preserve"> </v>
      </c>
    </row>
    <row r="107" spans="1:13" x14ac:dyDescent="0.25">
      <c r="A107" s="40" t="str">
        <f t="shared" si="5"/>
        <v xml:space="preserve"> </v>
      </c>
      <c r="D107" s="39"/>
      <c r="E107" s="39"/>
      <c r="J107" s="15">
        <f t="shared" si="8"/>
        <v>0</v>
      </c>
      <c r="K107" s="2" t="str">
        <f t="shared" si="9"/>
        <v xml:space="preserve"> </v>
      </c>
      <c r="L107" s="2" t="str">
        <f t="shared" si="6"/>
        <v xml:space="preserve"> </v>
      </c>
      <c r="M107" s="2" t="str">
        <f t="shared" si="7"/>
        <v xml:space="preserve"> </v>
      </c>
    </row>
    <row r="108" spans="1:13" x14ac:dyDescent="0.25">
      <c r="A108" s="40" t="str">
        <f t="shared" si="5"/>
        <v xml:space="preserve"> </v>
      </c>
      <c r="D108" s="39"/>
      <c r="E108" s="39"/>
      <c r="J108" s="15">
        <f t="shared" si="8"/>
        <v>0</v>
      </c>
      <c r="K108" s="2" t="str">
        <f t="shared" si="9"/>
        <v xml:space="preserve"> </v>
      </c>
      <c r="L108" s="2" t="str">
        <f t="shared" si="6"/>
        <v xml:space="preserve"> </v>
      </c>
      <c r="M108" s="2" t="str">
        <f t="shared" si="7"/>
        <v xml:space="preserve"> </v>
      </c>
    </row>
    <row r="109" spans="1:13" x14ac:dyDescent="0.25">
      <c r="A109" s="40" t="str">
        <f t="shared" si="5"/>
        <v xml:space="preserve"> </v>
      </c>
      <c r="D109" s="39"/>
      <c r="E109" s="39"/>
      <c r="J109" s="15">
        <f t="shared" si="8"/>
        <v>0</v>
      </c>
      <c r="K109" s="2" t="str">
        <f t="shared" si="9"/>
        <v xml:space="preserve"> </v>
      </c>
      <c r="L109" s="2" t="str">
        <f t="shared" si="6"/>
        <v xml:space="preserve"> </v>
      </c>
      <c r="M109" s="2" t="str">
        <f t="shared" si="7"/>
        <v xml:space="preserve"> </v>
      </c>
    </row>
    <row r="110" spans="1:13" x14ac:dyDescent="0.25">
      <c r="A110" s="40" t="str">
        <f t="shared" si="5"/>
        <v xml:space="preserve"> </v>
      </c>
      <c r="B110" s="18"/>
      <c r="D110" s="39"/>
      <c r="E110" s="39"/>
      <c r="J110" s="15">
        <f t="shared" si="8"/>
        <v>0</v>
      </c>
      <c r="K110" s="2" t="str">
        <f t="shared" si="9"/>
        <v xml:space="preserve"> </v>
      </c>
      <c r="L110" s="2" t="str">
        <f t="shared" si="6"/>
        <v xml:space="preserve"> </v>
      </c>
      <c r="M110" s="2" t="str">
        <f t="shared" si="7"/>
        <v xml:space="preserve"> </v>
      </c>
    </row>
    <row r="111" spans="1:13" x14ac:dyDescent="0.25">
      <c r="A111" s="40" t="str">
        <f t="shared" si="5"/>
        <v xml:space="preserve"> </v>
      </c>
      <c r="D111" s="39"/>
      <c r="E111" s="39"/>
      <c r="J111" s="15">
        <f t="shared" si="8"/>
        <v>0</v>
      </c>
      <c r="K111" s="2" t="str">
        <f t="shared" si="9"/>
        <v xml:space="preserve"> </v>
      </c>
      <c r="L111" s="2" t="str">
        <f t="shared" si="6"/>
        <v xml:space="preserve"> </v>
      </c>
      <c r="M111" s="2" t="str">
        <f t="shared" si="7"/>
        <v xml:space="preserve"> </v>
      </c>
    </row>
    <row r="112" spans="1:13" x14ac:dyDescent="0.25">
      <c r="A112" s="40" t="str">
        <f t="shared" si="5"/>
        <v xml:space="preserve"> </v>
      </c>
      <c r="D112" s="39"/>
      <c r="E112" s="39"/>
      <c r="J112" s="15">
        <f t="shared" si="8"/>
        <v>0</v>
      </c>
      <c r="K112" s="2" t="str">
        <f t="shared" si="9"/>
        <v xml:space="preserve"> </v>
      </c>
      <c r="L112" s="2" t="str">
        <f t="shared" si="6"/>
        <v xml:space="preserve"> </v>
      </c>
      <c r="M112" s="2" t="str">
        <f t="shared" si="7"/>
        <v xml:space="preserve"> </v>
      </c>
    </row>
    <row r="113" spans="1:13" x14ac:dyDescent="0.25">
      <c r="A113" s="40" t="str">
        <f t="shared" si="5"/>
        <v xml:space="preserve"> </v>
      </c>
      <c r="D113" s="39"/>
      <c r="E113" s="39"/>
      <c r="J113" s="15">
        <f t="shared" si="8"/>
        <v>0</v>
      </c>
      <c r="K113" s="2" t="str">
        <f t="shared" si="9"/>
        <v xml:space="preserve"> </v>
      </c>
      <c r="L113" s="2" t="str">
        <f t="shared" si="6"/>
        <v xml:space="preserve"> </v>
      </c>
      <c r="M113" s="2" t="str">
        <f t="shared" si="7"/>
        <v xml:space="preserve"> </v>
      </c>
    </row>
    <row r="114" spans="1:13" x14ac:dyDescent="0.25">
      <c r="A114" s="40" t="str">
        <f t="shared" si="5"/>
        <v xml:space="preserve"> </v>
      </c>
      <c r="D114" s="39"/>
      <c r="E114" s="39"/>
      <c r="J114" s="15">
        <f t="shared" si="8"/>
        <v>0</v>
      </c>
      <c r="K114" s="2" t="str">
        <f t="shared" si="9"/>
        <v xml:space="preserve"> </v>
      </c>
      <c r="L114" s="2" t="str">
        <f t="shared" si="6"/>
        <v xml:space="preserve"> </v>
      </c>
      <c r="M114" s="2" t="str">
        <f t="shared" si="7"/>
        <v xml:space="preserve"> </v>
      </c>
    </row>
    <row r="115" spans="1:13" x14ac:dyDescent="0.25">
      <c r="A115" s="40" t="str">
        <f t="shared" si="5"/>
        <v xml:space="preserve"> </v>
      </c>
      <c r="D115" s="39"/>
      <c r="E115" s="39"/>
      <c r="J115" s="15">
        <f t="shared" si="8"/>
        <v>0</v>
      </c>
      <c r="K115" s="2" t="str">
        <f t="shared" si="9"/>
        <v xml:space="preserve"> </v>
      </c>
      <c r="L115" s="2" t="str">
        <f t="shared" si="6"/>
        <v xml:space="preserve"> </v>
      </c>
      <c r="M115" s="2" t="str">
        <f t="shared" si="7"/>
        <v xml:space="preserve"> </v>
      </c>
    </row>
    <row r="116" spans="1:13" x14ac:dyDescent="0.25">
      <c r="A116" s="40" t="str">
        <f t="shared" si="5"/>
        <v xml:space="preserve"> </v>
      </c>
      <c r="D116" s="39"/>
      <c r="E116" s="39"/>
      <c r="J116" s="15">
        <f t="shared" si="8"/>
        <v>0</v>
      </c>
      <c r="K116" s="2" t="str">
        <f t="shared" si="9"/>
        <v xml:space="preserve"> </v>
      </c>
      <c r="L116" s="2" t="str">
        <f t="shared" si="6"/>
        <v xml:space="preserve"> </v>
      </c>
      <c r="M116" s="2" t="str">
        <f t="shared" si="7"/>
        <v xml:space="preserve"> </v>
      </c>
    </row>
    <row r="117" spans="1:13" x14ac:dyDescent="0.25">
      <c r="A117" s="40" t="str">
        <f t="shared" si="5"/>
        <v xml:space="preserve"> </v>
      </c>
      <c r="D117" s="39"/>
      <c r="E117" s="39"/>
      <c r="J117" s="15">
        <f t="shared" si="8"/>
        <v>0</v>
      </c>
      <c r="K117" s="2" t="str">
        <f t="shared" si="9"/>
        <v xml:space="preserve"> </v>
      </c>
      <c r="L117" s="2" t="str">
        <f t="shared" si="6"/>
        <v xml:space="preserve"> </v>
      </c>
      <c r="M117" s="2" t="str">
        <f t="shared" si="7"/>
        <v xml:space="preserve"> </v>
      </c>
    </row>
    <row r="118" spans="1:13" x14ac:dyDescent="0.25">
      <c r="A118" s="40" t="str">
        <f t="shared" si="5"/>
        <v xml:space="preserve"> </v>
      </c>
      <c r="D118" s="39"/>
      <c r="E118" s="39"/>
      <c r="J118" s="15">
        <f t="shared" si="8"/>
        <v>0</v>
      </c>
      <c r="K118" s="2" t="str">
        <f t="shared" si="9"/>
        <v xml:space="preserve"> </v>
      </c>
      <c r="L118" s="2" t="str">
        <f t="shared" si="6"/>
        <v xml:space="preserve"> </v>
      </c>
      <c r="M118" s="2" t="str">
        <f t="shared" si="7"/>
        <v xml:space="preserve"> </v>
      </c>
    </row>
    <row r="119" spans="1:13" x14ac:dyDescent="0.25">
      <c r="A119" s="40" t="str">
        <f t="shared" si="5"/>
        <v xml:space="preserve"> </v>
      </c>
      <c r="D119" s="39"/>
      <c r="E119" s="39"/>
      <c r="J119" s="15">
        <f t="shared" si="8"/>
        <v>0</v>
      </c>
      <c r="K119" s="2" t="str">
        <f t="shared" si="9"/>
        <v xml:space="preserve"> </v>
      </c>
      <c r="L119" s="2" t="str">
        <f t="shared" si="6"/>
        <v xml:space="preserve"> </v>
      </c>
      <c r="M119" s="2" t="str">
        <f t="shared" si="7"/>
        <v xml:space="preserve"> </v>
      </c>
    </row>
    <row r="120" spans="1:13" x14ac:dyDescent="0.25">
      <c r="A120" s="40" t="str">
        <f t="shared" si="5"/>
        <v xml:space="preserve"> </v>
      </c>
      <c r="D120" s="39"/>
      <c r="E120" s="39"/>
      <c r="J120" s="15">
        <f t="shared" si="8"/>
        <v>0</v>
      </c>
      <c r="K120" s="2" t="str">
        <f t="shared" si="9"/>
        <v xml:space="preserve"> </v>
      </c>
      <c r="L120" s="2" t="str">
        <f t="shared" si="6"/>
        <v xml:space="preserve"> </v>
      </c>
      <c r="M120" s="2" t="str">
        <f t="shared" si="7"/>
        <v xml:space="preserve"> </v>
      </c>
    </row>
    <row r="121" spans="1:13" x14ac:dyDescent="0.25">
      <c r="A121" s="40" t="str">
        <f t="shared" si="5"/>
        <v xml:space="preserve"> </v>
      </c>
      <c r="D121" s="39"/>
      <c r="E121" s="39"/>
      <c r="J121" s="15">
        <f t="shared" si="8"/>
        <v>0</v>
      </c>
      <c r="K121" s="2" t="str">
        <f t="shared" si="9"/>
        <v xml:space="preserve"> </v>
      </c>
      <c r="L121" s="2" t="str">
        <f t="shared" si="6"/>
        <v xml:space="preserve"> </v>
      </c>
      <c r="M121" s="2" t="str">
        <f t="shared" si="7"/>
        <v xml:space="preserve"> </v>
      </c>
    </row>
    <row r="122" spans="1:13" x14ac:dyDescent="0.25">
      <c r="A122" s="40" t="str">
        <f t="shared" si="5"/>
        <v xml:space="preserve"> </v>
      </c>
      <c r="D122" s="39"/>
      <c r="E122" s="39"/>
      <c r="J122" s="15">
        <f t="shared" si="8"/>
        <v>0</v>
      </c>
      <c r="K122" s="2" t="str">
        <f t="shared" si="9"/>
        <v xml:space="preserve"> </v>
      </c>
      <c r="L122" s="2" t="str">
        <f t="shared" si="6"/>
        <v xml:space="preserve"> </v>
      </c>
      <c r="M122" s="2" t="str">
        <f t="shared" si="7"/>
        <v xml:space="preserve"> </v>
      </c>
    </row>
    <row r="123" spans="1:13" x14ac:dyDescent="0.25">
      <c r="A123" s="40" t="str">
        <f t="shared" si="5"/>
        <v xml:space="preserve"> </v>
      </c>
      <c r="D123" s="39"/>
      <c r="E123" s="39"/>
      <c r="J123" s="15">
        <f t="shared" si="8"/>
        <v>0</v>
      </c>
      <c r="K123" s="2" t="str">
        <f t="shared" si="9"/>
        <v xml:space="preserve"> </v>
      </c>
      <c r="L123" s="2" t="str">
        <f t="shared" si="6"/>
        <v xml:space="preserve"> </v>
      </c>
      <c r="M123" s="2" t="str">
        <f t="shared" si="7"/>
        <v xml:space="preserve"> </v>
      </c>
    </row>
    <row r="124" spans="1:13" x14ac:dyDescent="0.25">
      <c r="A124" s="40" t="str">
        <f t="shared" si="5"/>
        <v xml:space="preserve"> </v>
      </c>
      <c r="C124" s="46"/>
      <c r="D124" s="39"/>
      <c r="E124" s="39"/>
      <c r="J124" s="15">
        <f t="shared" si="8"/>
        <v>0</v>
      </c>
      <c r="K124" s="2" t="str">
        <f t="shared" si="9"/>
        <v xml:space="preserve"> </v>
      </c>
      <c r="L124" s="2" t="str">
        <f t="shared" si="6"/>
        <v xml:space="preserve"> </v>
      </c>
      <c r="M124" s="2" t="str">
        <f t="shared" si="7"/>
        <v xml:space="preserve"> </v>
      </c>
    </row>
    <row r="125" spans="1:13" x14ac:dyDescent="0.25">
      <c r="A125" s="40" t="str">
        <f t="shared" si="5"/>
        <v xml:space="preserve"> </v>
      </c>
      <c r="D125" s="39"/>
      <c r="E125" s="39"/>
      <c r="J125" s="15">
        <f t="shared" si="8"/>
        <v>0</v>
      </c>
      <c r="K125" s="2" t="str">
        <f t="shared" si="9"/>
        <v xml:space="preserve"> </v>
      </c>
      <c r="L125" s="2" t="str">
        <f t="shared" si="6"/>
        <v xml:space="preserve"> </v>
      </c>
      <c r="M125" s="2" t="str">
        <f t="shared" si="7"/>
        <v xml:space="preserve"> </v>
      </c>
    </row>
    <row r="126" spans="1:13" x14ac:dyDescent="0.25">
      <c r="A126" s="40" t="str">
        <f t="shared" si="5"/>
        <v xml:space="preserve"> </v>
      </c>
      <c r="D126" s="39"/>
      <c r="E126" s="39"/>
      <c r="J126" s="15">
        <f t="shared" si="8"/>
        <v>0</v>
      </c>
      <c r="K126" s="2" t="str">
        <f t="shared" si="9"/>
        <v xml:space="preserve"> </v>
      </c>
      <c r="L126" s="2" t="str">
        <f t="shared" si="6"/>
        <v xml:space="preserve"> </v>
      </c>
      <c r="M126" s="2" t="str">
        <f t="shared" si="7"/>
        <v xml:space="preserve"> </v>
      </c>
    </row>
    <row r="127" spans="1:13" x14ac:dyDescent="0.25">
      <c r="A127" s="40" t="str">
        <f t="shared" si="5"/>
        <v xml:space="preserve"> </v>
      </c>
      <c r="D127" s="39"/>
      <c r="E127" s="39"/>
      <c r="J127" s="15">
        <f t="shared" si="8"/>
        <v>0</v>
      </c>
      <c r="K127" s="2" t="str">
        <f t="shared" si="9"/>
        <v xml:space="preserve"> </v>
      </c>
      <c r="L127" s="2" t="str">
        <f t="shared" si="6"/>
        <v xml:space="preserve"> </v>
      </c>
      <c r="M127" s="2" t="str">
        <f t="shared" si="7"/>
        <v xml:space="preserve"> </v>
      </c>
    </row>
    <row r="128" spans="1:13" x14ac:dyDescent="0.25">
      <c r="A128" s="40" t="str">
        <f t="shared" si="5"/>
        <v xml:space="preserve"> </v>
      </c>
      <c r="D128" s="39"/>
      <c r="E128" s="39"/>
      <c r="J128" s="15">
        <f t="shared" si="8"/>
        <v>0</v>
      </c>
      <c r="K128" s="2" t="str">
        <f t="shared" si="9"/>
        <v xml:space="preserve"> </v>
      </c>
      <c r="L128" s="2" t="str">
        <f t="shared" si="6"/>
        <v xml:space="preserve"> </v>
      </c>
      <c r="M128" s="2" t="str">
        <f t="shared" si="7"/>
        <v xml:space="preserve"> </v>
      </c>
    </row>
    <row r="129" spans="1:13" x14ac:dyDescent="0.25">
      <c r="A129" s="40" t="str">
        <f t="shared" si="5"/>
        <v xml:space="preserve"> </v>
      </c>
      <c r="D129" s="39"/>
      <c r="E129" s="39"/>
      <c r="J129" s="15">
        <f t="shared" si="8"/>
        <v>0</v>
      </c>
      <c r="K129" s="2" t="str">
        <f t="shared" si="9"/>
        <v xml:space="preserve"> </v>
      </c>
      <c r="L129" s="2" t="str">
        <f t="shared" si="6"/>
        <v xml:space="preserve"> </v>
      </c>
      <c r="M129" s="2" t="str">
        <f t="shared" si="7"/>
        <v xml:space="preserve"> </v>
      </c>
    </row>
    <row r="130" spans="1:13" x14ac:dyDescent="0.25">
      <c r="A130" s="40" t="str">
        <f t="shared" si="5"/>
        <v xml:space="preserve"> </v>
      </c>
      <c r="D130" s="39"/>
      <c r="E130" s="39"/>
      <c r="J130" s="15">
        <f t="shared" si="8"/>
        <v>0</v>
      </c>
      <c r="K130" s="2" t="str">
        <f t="shared" si="9"/>
        <v xml:space="preserve"> </v>
      </c>
      <c r="L130" s="2" t="str">
        <f t="shared" si="6"/>
        <v xml:space="preserve"> </v>
      </c>
      <c r="M130" s="2" t="str">
        <f t="shared" si="7"/>
        <v xml:space="preserve"> </v>
      </c>
    </row>
    <row r="131" spans="1:13" x14ac:dyDescent="0.25">
      <c r="A131" s="40" t="str">
        <f t="shared" si="5"/>
        <v xml:space="preserve"> </v>
      </c>
      <c r="D131" s="39"/>
      <c r="E131" s="39"/>
      <c r="J131" s="15">
        <f t="shared" si="8"/>
        <v>0</v>
      </c>
      <c r="K131" s="2" t="str">
        <f t="shared" si="9"/>
        <v xml:space="preserve"> </v>
      </c>
      <c r="L131" s="2" t="str">
        <f t="shared" si="6"/>
        <v xml:space="preserve"> </v>
      </c>
      <c r="M131" s="2" t="str">
        <f t="shared" si="7"/>
        <v xml:space="preserve"> </v>
      </c>
    </row>
    <row r="132" spans="1:13" x14ac:dyDescent="0.25">
      <c r="A132" s="40" t="str">
        <f t="shared" si="5"/>
        <v xml:space="preserve"> </v>
      </c>
      <c r="D132" s="39"/>
      <c r="E132" s="39"/>
      <c r="J132" s="15">
        <f t="shared" si="8"/>
        <v>0</v>
      </c>
      <c r="K132" s="2" t="str">
        <f t="shared" si="9"/>
        <v xml:space="preserve"> </v>
      </c>
      <c r="L132" s="2" t="str">
        <f t="shared" si="6"/>
        <v xml:space="preserve"> </v>
      </c>
      <c r="M132" s="2" t="str">
        <f t="shared" si="7"/>
        <v xml:space="preserve"> </v>
      </c>
    </row>
    <row r="133" spans="1:13" x14ac:dyDescent="0.25">
      <c r="A133" s="40" t="str">
        <f t="shared" si="5"/>
        <v xml:space="preserve"> </v>
      </c>
      <c r="D133" s="39"/>
      <c r="E133" s="39"/>
      <c r="J133" s="15">
        <f t="shared" si="8"/>
        <v>0</v>
      </c>
      <c r="K133" s="2" t="str">
        <f t="shared" si="9"/>
        <v xml:space="preserve"> </v>
      </c>
      <c r="L133" s="2" t="str">
        <f t="shared" si="6"/>
        <v xml:space="preserve"> </v>
      </c>
      <c r="M133" s="2" t="str">
        <f t="shared" si="7"/>
        <v xml:space="preserve"> </v>
      </c>
    </row>
    <row r="134" spans="1:13" x14ac:dyDescent="0.25">
      <c r="A134" s="40" t="str">
        <f t="shared" si="5"/>
        <v xml:space="preserve"> </v>
      </c>
      <c r="D134" s="39"/>
      <c r="E134" s="39"/>
      <c r="J134" s="15">
        <f t="shared" si="8"/>
        <v>0</v>
      </c>
      <c r="K134" s="2" t="str">
        <f t="shared" si="9"/>
        <v xml:space="preserve"> </v>
      </c>
      <c r="L134" s="2" t="str">
        <f t="shared" si="6"/>
        <v xml:space="preserve"> </v>
      </c>
      <c r="M134" s="2" t="str">
        <f t="shared" si="7"/>
        <v xml:space="preserve"> </v>
      </c>
    </row>
    <row r="135" spans="1:13" x14ac:dyDescent="0.25">
      <c r="A135" s="40" t="str">
        <f t="shared" si="5"/>
        <v xml:space="preserve"> </v>
      </c>
      <c r="D135" s="39"/>
      <c r="E135" s="39"/>
      <c r="J135" s="15">
        <f t="shared" si="8"/>
        <v>0</v>
      </c>
      <c r="K135" s="2" t="str">
        <f t="shared" si="9"/>
        <v xml:space="preserve"> </v>
      </c>
      <c r="L135" s="2" t="str">
        <f t="shared" si="6"/>
        <v xml:space="preserve"> </v>
      </c>
      <c r="M135" s="2" t="str">
        <f t="shared" si="7"/>
        <v xml:space="preserve"> </v>
      </c>
    </row>
    <row r="136" spans="1:13" x14ac:dyDescent="0.25">
      <c r="A136" s="40" t="str">
        <f t="shared" si="5"/>
        <v xml:space="preserve"> </v>
      </c>
      <c r="D136" s="39"/>
      <c r="E136" s="39"/>
      <c r="J136" s="15">
        <f t="shared" si="8"/>
        <v>0</v>
      </c>
      <c r="K136" s="2" t="str">
        <f t="shared" si="9"/>
        <v xml:space="preserve"> </v>
      </c>
      <c r="L136" s="2" t="str">
        <f t="shared" si="6"/>
        <v xml:space="preserve"> </v>
      </c>
      <c r="M136" s="2" t="str">
        <f t="shared" si="7"/>
        <v xml:space="preserve"> </v>
      </c>
    </row>
    <row r="137" spans="1:13" x14ac:dyDescent="0.25">
      <c r="A137" s="40" t="str">
        <f t="shared" si="5"/>
        <v xml:space="preserve"> </v>
      </c>
      <c r="D137" s="39"/>
      <c r="E137" s="39"/>
      <c r="J137" s="15">
        <f t="shared" si="8"/>
        <v>0</v>
      </c>
      <c r="K137" s="2" t="str">
        <f t="shared" si="9"/>
        <v xml:space="preserve"> </v>
      </c>
      <c r="L137" s="2" t="str">
        <f t="shared" si="6"/>
        <v xml:space="preserve"> </v>
      </c>
      <c r="M137" s="2" t="str">
        <f t="shared" si="7"/>
        <v xml:space="preserve"> </v>
      </c>
    </row>
    <row r="138" spans="1:13" x14ac:dyDescent="0.25">
      <c r="A138" s="40" t="str">
        <f t="shared" si="5"/>
        <v xml:space="preserve"> </v>
      </c>
      <c r="D138" s="39"/>
      <c r="E138" s="39"/>
      <c r="J138" s="15">
        <f t="shared" si="8"/>
        <v>0</v>
      </c>
      <c r="K138" s="2" t="str">
        <f t="shared" si="9"/>
        <v xml:space="preserve"> </v>
      </c>
      <c r="L138" s="2" t="str">
        <f t="shared" si="6"/>
        <v xml:space="preserve"> </v>
      </c>
      <c r="M138" s="2" t="str">
        <f t="shared" si="7"/>
        <v xml:space="preserve"> </v>
      </c>
    </row>
    <row r="139" spans="1:13" x14ac:dyDescent="0.25">
      <c r="A139" s="40" t="str">
        <f t="shared" si="5"/>
        <v xml:space="preserve"> </v>
      </c>
      <c r="D139" s="39"/>
      <c r="E139" s="39"/>
      <c r="J139" s="15">
        <f t="shared" si="8"/>
        <v>0</v>
      </c>
      <c r="K139" s="2" t="str">
        <f t="shared" si="9"/>
        <v xml:space="preserve"> </v>
      </c>
      <c r="L139" s="2" t="str">
        <f t="shared" si="6"/>
        <v xml:space="preserve"> </v>
      </c>
      <c r="M139" s="2" t="str">
        <f t="shared" si="7"/>
        <v xml:space="preserve"> </v>
      </c>
    </row>
    <row r="140" spans="1:13" x14ac:dyDescent="0.25">
      <c r="A140" s="40" t="str">
        <f t="shared" si="5"/>
        <v xml:space="preserve"> </v>
      </c>
      <c r="D140" s="39"/>
      <c r="E140" s="39"/>
      <c r="J140" s="15">
        <f t="shared" si="8"/>
        <v>0</v>
      </c>
      <c r="K140" s="2" t="str">
        <f t="shared" si="9"/>
        <v xml:space="preserve"> </v>
      </c>
      <c r="L140" s="2" t="str">
        <f t="shared" si="6"/>
        <v xml:space="preserve"> </v>
      </c>
      <c r="M140" s="2" t="str">
        <f t="shared" si="7"/>
        <v xml:space="preserve"> </v>
      </c>
    </row>
    <row r="141" spans="1:13" x14ac:dyDescent="0.25">
      <c r="A141" s="40" t="str">
        <f t="shared" si="5"/>
        <v xml:space="preserve"> </v>
      </c>
      <c r="D141" s="39"/>
      <c r="E141" s="39"/>
      <c r="J141" s="15">
        <f t="shared" si="8"/>
        <v>0</v>
      </c>
      <c r="K141" s="2" t="str">
        <f t="shared" si="9"/>
        <v xml:space="preserve"> </v>
      </c>
      <c r="L141" s="2" t="str">
        <f t="shared" si="6"/>
        <v xml:space="preserve"> </v>
      </c>
      <c r="M141" s="2" t="str">
        <f t="shared" si="7"/>
        <v xml:space="preserve"> </v>
      </c>
    </row>
    <row r="142" spans="1:13" x14ac:dyDescent="0.25">
      <c r="A142" s="40" t="str">
        <f t="shared" si="5"/>
        <v xml:space="preserve"> </v>
      </c>
      <c r="D142" s="39"/>
      <c r="E142" s="39"/>
      <c r="J142" s="15">
        <f t="shared" si="8"/>
        <v>0</v>
      </c>
      <c r="K142" s="2" t="str">
        <f t="shared" si="9"/>
        <v xml:space="preserve"> </v>
      </c>
      <c r="L142" s="2" t="str">
        <f t="shared" si="6"/>
        <v xml:space="preserve"> </v>
      </c>
      <c r="M142" s="2" t="str">
        <f t="shared" si="7"/>
        <v xml:space="preserve"> </v>
      </c>
    </row>
    <row r="143" spans="1:13" x14ac:dyDescent="0.25">
      <c r="A143" s="40" t="str">
        <f t="shared" ref="A143:A206" si="10">IF(COUNTIF(K143:M143,"ERROR")&gt;0,"ERROR"," ")</f>
        <v xml:space="preserve"> </v>
      </c>
      <c r="D143" s="39"/>
      <c r="E143" s="39"/>
      <c r="J143" s="15">
        <f t="shared" si="8"/>
        <v>0</v>
      </c>
      <c r="K143" s="2" t="str">
        <f t="shared" si="9"/>
        <v xml:space="preserve"> </v>
      </c>
      <c r="L143" s="2" t="str">
        <f t="shared" ref="L143:L206" si="11">IF(D143=0," ",IF(COUNTIF(ProfitLoss4,D143)&gt;0," ","ERROR"))</f>
        <v xml:space="preserve"> </v>
      </c>
      <c r="M143" s="2" t="str">
        <f t="shared" ref="M143:M206" si="12">IF(E143=0," ",IF(COUNTIF(BalanceSheet4,E143)&gt;0," ","ERROR"))</f>
        <v xml:space="preserve"> </v>
      </c>
    </row>
    <row r="144" spans="1:13" x14ac:dyDescent="0.25">
      <c r="A144" s="40" t="str">
        <f t="shared" si="10"/>
        <v xml:space="preserve"> </v>
      </c>
      <c r="D144" s="39"/>
      <c r="E144" s="39"/>
      <c r="J144" s="15">
        <f t="shared" ref="J144:J207" si="13">F144-G144+H144-I144</f>
        <v>0</v>
      </c>
      <c r="K144" s="2" t="str">
        <f t="shared" ref="K144:K207" si="14">IF(COUNTA(D144:E144)=2,"ERROR"," ")</f>
        <v xml:space="preserve"> </v>
      </c>
      <c r="L144" s="2" t="str">
        <f t="shared" si="11"/>
        <v xml:space="preserve"> </v>
      </c>
      <c r="M144" s="2" t="str">
        <f t="shared" si="12"/>
        <v xml:space="preserve"> </v>
      </c>
    </row>
    <row r="145" spans="1:13" x14ac:dyDescent="0.25">
      <c r="A145" s="40" t="str">
        <f t="shared" si="10"/>
        <v xml:space="preserve"> </v>
      </c>
      <c r="D145" s="39"/>
      <c r="E145" s="39"/>
      <c r="J145" s="15">
        <f t="shared" si="13"/>
        <v>0</v>
      </c>
      <c r="K145" s="2" t="str">
        <f t="shared" si="14"/>
        <v xml:space="preserve"> </v>
      </c>
      <c r="L145" s="2" t="str">
        <f t="shared" si="11"/>
        <v xml:space="preserve"> </v>
      </c>
      <c r="M145" s="2" t="str">
        <f t="shared" si="12"/>
        <v xml:space="preserve"> </v>
      </c>
    </row>
    <row r="146" spans="1:13" x14ac:dyDescent="0.25">
      <c r="A146" s="40" t="str">
        <f t="shared" si="10"/>
        <v xml:space="preserve"> </v>
      </c>
      <c r="D146" s="39"/>
      <c r="E146" s="39"/>
      <c r="J146" s="15">
        <f t="shared" si="13"/>
        <v>0</v>
      </c>
      <c r="K146" s="2" t="str">
        <f t="shared" si="14"/>
        <v xml:space="preserve"> </v>
      </c>
      <c r="L146" s="2" t="str">
        <f t="shared" si="11"/>
        <v xml:space="preserve"> </v>
      </c>
      <c r="M146" s="2" t="str">
        <f t="shared" si="12"/>
        <v xml:space="preserve"> </v>
      </c>
    </row>
    <row r="147" spans="1:13" x14ac:dyDescent="0.25">
      <c r="A147" s="40" t="str">
        <f t="shared" si="10"/>
        <v xml:space="preserve"> </v>
      </c>
      <c r="D147" s="39"/>
      <c r="E147" s="39"/>
      <c r="J147" s="15">
        <f t="shared" si="13"/>
        <v>0</v>
      </c>
      <c r="K147" s="2" t="str">
        <f t="shared" si="14"/>
        <v xml:space="preserve"> </v>
      </c>
      <c r="L147" s="2" t="str">
        <f t="shared" si="11"/>
        <v xml:space="preserve"> </v>
      </c>
      <c r="M147" s="2" t="str">
        <f t="shared" si="12"/>
        <v xml:space="preserve"> </v>
      </c>
    </row>
    <row r="148" spans="1:13" x14ac:dyDescent="0.25">
      <c r="A148" s="40" t="str">
        <f t="shared" si="10"/>
        <v xml:space="preserve"> </v>
      </c>
      <c r="D148" s="39"/>
      <c r="E148" s="39"/>
      <c r="J148" s="15">
        <f t="shared" si="13"/>
        <v>0</v>
      </c>
      <c r="K148" s="2" t="str">
        <f t="shared" si="14"/>
        <v xml:space="preserve"> </v>
      </c>
      <c r="L148" s="2" t="str">
        <f t="shared" si="11"/>
        <v xml:space="preserve"> </v>
      </c>
      <c r="M148" s="2" t="str">
        <f t="shared" si="12"/>
        <v xml:space="preserve"> </v>
      </c>
    </row>
    <row r="149" spans="1:13" x14ac:dyDescent="0.25">
      <c r="A149" s="40" t="str">
        <f t="shared" si="10"/>
        <v xml:space="preserve"> </v>
      </c>
      <c r="D149" s="39"/>
      <c r="E149" s="39"/>
      <c r="J149" s="15">
        <f t="shared" si="13"/>
        <v>0</v>
      </c>
      <c r="K149" s="2" t="str">
        <f t="shared" si="14"/>
        <v xml:space="preserve"> </v>
      </c>
      <c r="L149" s="2" t="str">
        <f t="shared" si="11"/>
        <v xml:space="preserve"> </v>
      </c>
      <c r="M149" s="2" t="str">
        <f t="shared" si="12"/>
        <v xml:space="preserve"> </v>
      </c>
    </row>
    <row r="150" spans="1:13" x14ac:dyDescent="0.25">
      <c r="A150" s="40" t="str">
        <f t="shared" si="10"/>
        <v xml:space="preserve"> </v>
      </c>
      <c r="D150" s="39"/>
      <c r="E150" s="39"/>
      <c r="J150" s="15">
        <f t="shared" si="13"/>
        <v>0</v>
      </c>
      <c r="K150" s="2" t="str">
        <f t="shared" si="14"/>
        <v xml:space="preserve"> </v>
      </c>
      <c r="L150" s="2" t="str">
        <f t="shared" si="11"/>
        <v xml:space="preserve"> </v>
      </c>
      <c r="M150" s="2" t="str">
        <f t="shared" si="12"/>
        <v xml:space="preserve"> </v>
      </c>
    </row>
    <row r="151" spans="1:13" x14ac:dyDescent="0.25">
      <c r="A151" s="40" t="str">
        <f t="shared" si="10"/>
        <v xml:space="preserve"> </v>
      </c>
      <c r="D151" s="39"/>
      <c r="E151" s="39"/>
      <c r="J151" s="15">
        <f t="shared" si="13"/>
        <v>0</v>
      </c>
      <c r="K151" s="2" t="str">
        <f t="shared" si="14"/>
        <v xml:space="preserve"> </v>
      </c>
      <c r="L151" s="2" t="str">
        <f t="shared" si="11"/>
        <v xml:space="preserve"> </v>
      </c>
      <c r="M151" s="2" t="str">
        <f t="shared" si="12"/>
        <v xml:space="preserve"> </v>
      </c>
    </row>
    <row r="152" spans="1:13" x14ac:dyDescent="0.25">
      <c r="A152" s="40" t="str">
        <f t="shared" si="10"/>
        <v xml:space="preserve"> </v>
      </c>
      <c r="D152" s="39"/>
      <c r="E152" s="39"/>
      <c r="J152" s="15">
        <f t="shared" si="13"/>
        <v>0</v>
      </c>
      <c r="K152" s="2" t="str">
        <f t="shared" si="14"/>
        <v xml:space="preserve"> </v>
      </c>
      <c r="L152" s="2" t="str">
        <f t="shared" si="11"/>
        <v xml:space="preserve"> </v>
      </c>
      <c r="M152" s="2" t="str">
        <f t="shared" si="12"/>
        <v xml:space="preserve"> </v>
      </c>
    </row>
    <row r="153" spans="1:13" x14ac:dyDescent="0.25">
      <c r="A153" s="40" t="str">
        <f t="shared" si="10"/>
        <v xml:space="preserve"> </v>
      </c>
      <c r="D153" s="39"/>
      <c r="E153" s="39"/>
      <c r="J153" s="15">
        <f t="shared" si="13"/>
        <v>0</v>
      </c>
      <c r="K153" s="2" t="str">
        <f t="shared" si="14"/>
        <v xml:space="preserve"> </v>
      </c>
      <c r="L153" s="2" t="str">
        <f t="shared" si="11"/>
        <v xml:space="preserve"> </v>
      </c>
      <c r="M153" s="2" t="str">
        <f t="shared" si="12"/>
        <v xml:space="preserve"> </v>
      </c>
    </row>
    <row r="154" spans="1:13" x14ac:dyDescent="0.25">
      <c r="A154" s="40" t="str">
        <f t="shared" si="10"/>
        <v xml:space="preserve"> </v>
      </c>
      <c r="D154" s="39"/>
      <c r="E154" s="39"/>
      <c r="J154" s="15">
        <f t="shared" si="13"/>
        <v>0</v>
      </c>
      <c r="K154" s="2" t="str">
        <f t="shared" si="14"/>
        <v xml:space="preserve"> </v>
      </c>
      <c r="L154" s="2" t="str">
        <f t="shared" si="11"/>
        <v xml:space="preserve"> </v>
      </c>
      <c r="M154" s="2" t="str">
        <f t="shared" si="12"/>
        <v xml:space="preserve"> </v>
      </c>
    </row>
    <row r="155" spans="1:13" x14ac:dyDescent="0.25">
      <c r="A155" s="40" t="str">
        <f t="shared" si="10"/>
        <v xml:space="preserve"> </v>
      </c>
      <c r="D155" s="39"/>
      <c r="E155" s="39"/>
      <c r="J155" s="15">
        <f t="shared" si="13"/>
        <v>0</v>
      </c>
      <c r="K155" s="2" t="str">
        <f t="shared" si="14"/>
        <v xml:space="preserve"> </v>
      </c>
      <c r="L155" s="2" t="str">
        <f t="shared" si="11"/>
        <v xml:space="preserve"> </v>
      </c>
      <c r="M155" s="2" t="str">
        <f t="shared" si="12"/>
        <v xml:space="preserve"> </v>
      </c>
    </row>
    <row r="156" spans="1:13" x14ac:dyDescent="0.25">
      <c r="A156" s="40" t="str">
        <f t="shared" si="10"/>
        <v xml:space="preserve"> </v>
      </c>
      <c r="D156" s="39"/>
      <c r="E156" s="39"/>
      <c r="J156" s="15">
        <f t="shared" si="13"/>
        <v>0</v>
      </c>
      <c r="K156" s="2" t="str">
        <f t="shared" si="14"/>
        <v xml:space="preserve"> </v>
      </c>
      <c r="L156" s="2" t="str">
        <f t="shared" si="11"/>
        <v xml:space="preserve"> </v>
      </c>
      <c r="M156" s="2" t="str">
        <f t="shared" si="12"/>
        <v xml:space="preserve"> </v>
      </c>
    </row>
    <row r="157" spans="1:13" x14ac:dyDescent="0.25">
      <c r="A157" s="40" t="str">
        <f t="shared" si="10"/>
        <v xml:space="preserve"> </v>
      </c>
      <c r="D157" s="39"/>
      <c r="E157" s="39"/>
      <c r="J157" s="15">
        <f t="shared" si="13"/>
        <v>0</v>
      </c>
      <c r="K157" s="2" t="str">
        <f t="shared" si="14"/>
        <v xml:space="preserve"> </v>
      </c>
      <c r="L157" s="2" t="str">
        <f t="shared" si="11"/>
        <v xml:space="preserve"> </v>
      </c>
      <c r="M157" s="2" t="str">
        <f t="shared" si="12"/>
        <v xml:space="preserve"> </v>
      </c>
    </row>
    <row r="158" spans="1:13" x14ac:dyDescent="0.25">
      <c r="A158" s="40" t="str">
        <f t="shared" si="10"/>
        <v xml:space="preserve"> </v>
      </c>
      <c r="D158" s="39"/>
      <c r="E158" s="39"/>
      <c r="J158" s="15">
        <f t="shared" si="13"/>
        <v>0</v>
      </c>
      <c r="K158" s="2" t="str">
        <f t="shared" si="14"/>
        <v xml:space="preserve"> </v>
      </c>
      <c r="L158" s="2" t="str">
        <f t="shared" si="11"/>
        <v xml:space="preserve"> </v>
      </c>
      <c r="M158" s="2" t="str">
        <f t="shared" si="12"/>
        <v xml:space="preserve"> </v>
      </c>
    </row>
    <row r="159" spans="1:13" x14ac:dyDescent="0.25">
      <c r="A159" s="40" t="str">
        <f t="shared" si="10"/>
        <v xml:space="preserve"> </v>
      </c>
      <c r="D159" s="39"/>
      <c r="E159" s="39"/>
      <c r="J159" s="15">
        <f t="shared" si="13"/>
        <v>0</v>
      </c>
      <c r="K159" s="2" t="str">
        <f t="shared" si="14"/>
        <v xml:space="preserve"> </v>
      </c>
      <c r="L159" s="2" t="str">
        <f t="shared" si="11"/>
        <v xml:space="preserve"> </v>
      </c>
      <c r="M159" s="2" t="str">
        <f t="shared" si="12"/>
        <v xml:space="preserve"> </v>
      </c>
    </row>
    <row r="160" spans="1:13" x14ac:dyDescent="0.25">
      <c r="A160" s="40" t="str">
        <f t="shared" si="10"/>
        <v xml:space="preserve"> </v>
      </c>
      <c r="D160" s="39"/>
      <c r="E160" s="39"/>
      <c r="J160" s="15">
        <f t="shared" si="13"/>
        <v>0</v>
      </c>
      <c r="K160" s="2" t="str">
        <f t="shared" si="14"/>
        <v xml:space="preserve"> </v>
      </c>
      <c r="L160" s="2" t="str">
        <f t="shared" si="11"/>
        <v xml:space="preserve"> </v>
      </c>
      <c r="M160" s="2" t="str">
        <f t="shared" si="12"/>
        <v xml:space="preserve"> </v>
      </c>
    </row>
    <row r="161" spans="1:13" x14ac:dyDescent="0.25">
      <c r="A161" s="40" t="str">
        <f t="shared" si="10"/>
        <v xml:space="preserve"> </v>
      </c>
      <c r="D161" s="39"/>
      <c r="E161" s="39"/>
      <c r="J161" s="15">
        <f t="shared" si="13"/>
        <v>0</v>
      </c>
      <c r="K161" s="2" t="str">
        <f t="shared" si="14"/>
        <v xml:space="preserve"> </v>
      </c>
      <c r="L161" s="2" t="str">
        <f t="shared" si="11"/>
        <v xml:space="preserve"> </v>
      </c>
      <c r="M161" s="2" t="str">
        <f t="shared" si="12"/>
        <v xml:space="preserve"> </v>
      </c>
    </row>
    <row r="162" spans="1:13" x14ac:dyDescent="0.25">
      <c r="A162" s="40" t="str">
        <f t="shared" si="10"/>
        <v xml:space="preserve"> </v>
      </c>
      <c r="D162" s="39"/>
      <c r="E162" s="39"/>
      <c r="J162" s="15">
        <f t="shared" si="13"/>
        <v>0</v>
      </c>
      <c r="K162" s="2" t="str">
        <f t="shared" si="14"/>
        <v xml:space="preserve"> </v>
      </c>
      <c r="L162" s="2" t="str">
        <f t="shared" si="11"/>
        <v xml:space="preserve"> </v>
      </c>
      <c r="M162" s="2" t="str">
        <f t="shared" si="12"/>
        <v xml:space="preserve"> </v>
      </c>
    </row>
    <row r="163" spans="1:13" x14ac:dyDescent="0.25">
      <c r="A163" s="40" t="str">
        <f t="shared" si="10"/>
        <v xml:space="preserve"> </v>
      </c>
      <c r="D163" s="39"/>
      <c r="E163" s="39"/>
      <c r="J163" s="15">
        <f t="shared" si="13"/>
        <v>0</v>
      </c>
      <c r="K163" s="2" t="str">
        <f t="shared" si="14"/>
        <v xml:space="preserve"> </v>
      </c>
      <c r="L163" s="2" t="str">
        <f t="shared" si="11"/>
        <v xml:space="preserve"> </v>
      </c>
      <c r="M163" s="2" t="str">
        <f t="shared" si="12"/>
        <v xml:space="preserve"> </v>
      </c>
    </row>
    <row r="164" spans="1:13" x14ac:dyDescent="0.25">
      <c r="A164" s="40" t="str">
        <f t="shared" si="10"/>
        <v xml:space="preserve"> </v>
      </c>
      <c r="D164" s="39"/>
      <c r="E164" s="39"/>
      <c r="J164" s="15">
        <f t="shared" si="13"/>
        <v>0</v>
      </c>
      <c r="K164" s="2" t="str">
        <f t="shared" si="14"/>
        <v xml:space="preserve"> </v>
      </c>
      <c r="L164" s="2" t="str">
        <f t="shared" si="11"/>
        <v xml:space="preserve"> </v>
      </c>
      <c r="M164" s="2" t="str">
        <f t="shared" si="12"/>
        <v xml:space="preserve"> </v>
      </c>
    </row>
    <row r="165" spans="1:13" x14ac:dyDescent="0.25">
      <c r="A165" s="40" t="str">
        <f t="shared" si="10"/>
        <v xml:space="preserve"> </v>
      </c>
      <c r="D165" s="39"/>
      <c r="E165" s="39"/>
      <c r="J165" s="15">
        <f t="shared" si="13"/>
        <v>0</v>
      </c>
      <c r="K165" s="2" t="str">
        <f t="shared" si="14"/>
        <v xml:space="preserve"> </v>
      </c>
      <c r="L165" s="2" t="str">
        <f t="shared" si="11"/>
        <v xml:space="preserve"> </v>
      </c>
      <c r="M165" s="2" t="str">
        <f t="shared" si="12"/>
        <v xml:space="preserve"> </v>
      </c>
    </row>
    <row r="166" spans="1:13" x14ac:dyDescent="0.25">
      <c r="A166" s="40" t="str">
        <f t="shared" si="10"/>
        <v xml:space="preserve"> </v>
      </c>
      <c r="D166" s="39"/>
      <c r="E166" s="39"/>
      <c r="J166" s="15">
        <f t="shared" si="13"/>
        <v>0</v>
      </c>
      <c r="K166" s="2" t="str">
        <f t="shared" si="14"/>
        <v xml:space="preserve"> </v>
      </c>
      <c r="L166" s="2" t="str">
        <f t="shared" si="11"/>
        <v xml:space="preserve"> </v>
      </c>
      <c r="M166" s="2" t="str">
        <f t="shared" si="12"/>
        <v xml:space="preserve"> </v>
      </c>
    </row>
    <row r="167" spans="1:13" x14ac:dyDescent="0.25">
      <c r="A167" s="40" t="str">
        <f t="shared" si="10"/>
        <v xml:space="preserve"> </v>
      </c>
      <c r="D167" s="39"/>
      <c r="E167" s="39"/>
      <c r="J167" s="15">
        <f t="shared" si="13"/>
        <v>0</v>
      </c>
      <c r="K167" s="2" t="str">
        <f t="shared" si="14"/>
        <v xml:space="preserve"> </v>
      </c>
      <c r="L167" s="2" t="str">
        <f t="shared" si="11"/>
        <v xml:space="preserve"> </v>
      </c>
      <c r="M167" s="2" t="str">
        <f t="shared" si="12"/>
        <v xml:space="preserve"> </v>
      </c>
    </row>
    <row r="168" spans="1:13" x14ac:dyDescent="0.25">
      <c r="A168" s="40" t="str">
        <f t="shared" si="10"/>
        <v xml:space="preserve"> </v>
      </c>
      <c r="D168" s="39"/>
      <c r="E168" s="39"/>
      <c r="J168" s="15">
        <f t="shared" si="13"/>
        <v>0</v>
      </c>
      <c r="K168" s="2" t="str">
        <f t="shared" si="14"/>
        <v xml:space="preserve"> </v>
      </c>
      <c r="L168" s="2" t="str">
        <f t="shared" si="11"/>
        <v xml:space="preserve"> </v>
      </c>
      <c r="M168" s="2" t="str">
        <f t="shared" si="12"/>
        <v xml:space="preserve"> </v>
      </c>
    </row>
    <row r="169" spans="1:13" x14ac:dyDescent="0.25">
      <c r="A169" s="40" t="str">
        <f t="shared" si="10"/>
        <v xml:space="preserve"> </v>
      </c>
      <c r="D169" s="39"/>
      <c r="E169" s="39"/>
      <c r="J169" s="15">
        <f t="shared" si="13"/>
        <v>0</v>
      </c>
      <c r="K169" s="2" t="str">
        <f t="shared" si="14"/>
        <v xml:space="preserve"> </v>
      </c>
      <c r="L169" s="2" t="str">
        <f t="shared" si="11"/>
        <v xml:space="preserve"> </v>
      </c>
      <c r="M169" s="2" t="str">
        <f t="shared" si="12"/>
        <v xml:space="preserve"> </v>
      </c>
    </row>
    <row r="170" spans="1:13" x14ac:dyDescent="0.25">
      <c r="A170" s="40" t="str">
        <f t="shared" si="10"/>
        <v xml:space="preserve"> </v>
      </c>
      <c r="D170" s="39"/>
      <c r="E170" s="39"/>
      <c r="J170" s="15">
        <f t="shared" si="13"/>
        <v>0</v>
      </c>
      <c r="K170" s="2" t="str">
        <f t="shared" si="14"/>
        <v xml:space="preserve"> </v>
      </c>
      <c r="L170" s="2" t="str">
        <f t="shared" si="11"/>
        <v xml:space="preserve"> </v>
      </c>
      <c r="M170" s="2" t="str">
        <f t="shared" si="12"/>
        <v xml:space="preserve"> </v>
      </c>
    </row>
    <row r="171" spans="1:13" x14ac:dyDescent="0.25">
      <c r="A171" s="40" t="str">
        <f t="shared" si="10"/>
        <v xml:space="preserve"> </v>
      </c>
      <c r="D171" s="39"/>
      <c r="E171" s="39"/>
      <c r="J171" s="15">
        <f t="shared" si="13"/>
        <v>0</v>
      </c>
      <c r="K171" s="2" t="str">
        <f t="shared" si="14"/>
        <v xml:space="preserve"> </v>
      </c>
      <c r="L171" s="2" t="str">
        <f t="shared" si="11"/>
        <v xml:space="preserve"> </v>
      </c>
      <c r="M171" s="2" t="str">
        <f t="shared" si="12"/>
        <v xml:space="preserve"> </v>
      </c>
    </row>
    <row r="172" spans="1:13" x14ac:dyDescent="0.25">
      <c r="A172" s="40" t="str">
        <f t="shared" si="10"/>
        <v xml:space="preserve"> </v>
      </c>
      <c r="D172" s="39"/>
      <c r="E172" s="39"/>
      <c r="J172" s="15">
        <f t="shared" si="13"/>
        <v>0</v>
      </c>
      <c r="K172" s="2" t="str">
        <f t="shared" si="14"/>
        <v xml:space="preserve"> </v>
      </c>
      <c r="L172" s="2" t="str">
        <f t="shared" si="11"/>
        <v xml:space="preserve"> </v>
      </c>
      <c r="M172" s="2" t="str">
        <f t="shared" si="12"/>
        <v xml:space="preserve"> </v>
      </c>
    </row>
    <row r="173" spans="1:13" x14ac:dyDescent="0.25">
      <c r="A173" s="40" t="str">
        <f t="shared" si="10"/>
        <v xml:space="preserve"> </v>
      </c>
      <c r="D173" s="39"/>
      <c r="E173" s="39"/>
      <c r="J173" s="15">
        <f t="shared" si="13"/>
        <v>0</v>
      </c>
      <c r="K173" s="2" t="str">
        <f t="shared" si="14"/>
        <v xml:space="preserve"> </v>
      </c>
      <c r="L173" s="2" t="str">
        <f t="shared" si="11"/>
        <v xml:space="preserve"> </v>
      </c>
      <c r="M173" s="2" t="str">
        <f t="shared" si="12"/>
        <v xml:space="preserve"> </v>
      </c>
    </row>
    <row r="174" spans="1:13" x14ac:dyDescent="0.25">
      <c r="A174" s="40" t="str">
        <f t="shared" si="10"/>
        <v xml:space="preserve"> </v>
      </c>
      <c r="D174" s="39"/>
      <c r="E174" s="39"/>
      <c r="J174" s="15">
        <f t="shared" si="13"/>
        <v>0</v>
      </c>
      <c r="K174" s="2" t="str">
        <f t="shared" si="14"/>
        <v xml:space="preserve"> </v>
      </c>
      <c r="L174" s="2" t="str">
        <f t="shared" si="11"/>
        <v xml:space="preserve"> </v>
      </c>
      <c r="M174" s="2" t="str">
        <f t="shared" si="12"/>
        <v xml:space="preserve"> </v>
      </c>
    </row>
    <row r="175" spans="1:13" x14ac:dyDescent="0.25">
      <c r="A175" s="40" t="str">
        <f t="shared" si="10"/>
        <v xml:space="preserve"> </v>
      </c>
      <c r="D175" s="39"/>
      <c r="E175" s="39"/>
      <c r="J175" s="15">
        <f t="shared" si="13"/>
        <v>0</v>
      </c>
      <c r="K175" s="2" t="str">
        <f t="shared" si="14"/>
        <v xml:space="preserve"> </v>
      </c>
      <c r="L175" s="2" t="str">
        <f t="shared" si="11"/>
        <v xml:space="preserve"> </v>
      </c>
      <c r="M175" s="2" t="str">
        <f t="shared" si="12"/>
        <v xml:space="preserve"> </v>
      </c>
    </row>
    <row r="176" spans="1:13" x14ac:dyDescent="0.25">
      <c r="A176" s="40" t="str">
        <f t="shared" si="10"/>
        <v xml:space="preserve"> </v>
      </c>
      <c r="D176" s="39"/>
      <c r="E176" s="39"/>
      <c r="J176" s="15">
        <f t="shared" si="13"/>
        <v>0</v>
      </c>
      <c r="K176" s="2" t="str">
        <f t="shared" si="14"/>
        <v xml:space="preserve"> </v>
      </c>
      <c r="L176" s="2" t="str">
        <f t="shared" si="11"/>
        <v xml:space="preserve"> </v>
      </c>
      <c r="M176" s="2" t="str">
        <f t="shared" si="12"/>
        <v xml:space="preserve"> </v>
      </c>
    </row>
    <row r="177" spans="1:13" x14ac:dyDescent="0.25">
      <c r="A177" s="40" t="str">
        <f t="shared" si="10"/>
        <v xml:space="preserve"> </v>
      </c>
      <c r="D177" s="39"/>
      <c r="E177" s="39"/>
      <c r="J177" s="15">
        <f t="shared" si="13"/>
        <v>0</v>
      </c>
      <c r="K177" s="2" t="str">
        <f t="shared" si="14"/>
        <v xml:space="preserve"> </v>
      </c>
      <c r="L177" s="2" t="str">
        <f t="shared" si="11"/>
        <v xml:space="preserve"> </v>
      </c>
      <c r="M177" s="2" t="str">
        <f t="shared" si="12"/>
        <v xml:space="preserve"> </v>
      </c>
    </row>
    <row r="178" spans="1:13" x14ac:dyDescent="0.25">
      <c r="A178" s="40" t="str">
        <f t="shared" si="10"/>
        <v xml:space="preserve"> </v>
      </c>
      <c r="D178" s="39"/>
      <c r="E178" s="39"/>
      <c r="J178" s="15">
        <f t="shared" si="13"/>
        <v>0</v>
      </c>
      <c r="K178" s="2" t="str">
        <f t="shared" si="14"/>
        <v xml:space="preserve"> </v>
      </c>
      <c r="L178" s="2" t="str">
        <f t="shared" si="11"/>
        <v xml:space="preserve"> </v>
      </c>
      <c r="M178" s="2" t="str">
        <f t="shared" si="12"/>
        <v xml:space="preserve"> </v>
      </c>
    </row>
    <row r="179" spans="1:13" x14ac:dyDescent="0.25">
      <c r="A179" s="40" t="str">
        <f t="shared" si="10"/>
        <v xml:space="preserve"> </v>
      </c>
      <c r="D179" s="39"/>
      <c r="E179" s="39"/>
      <c r="J179" s="15">
        <f t="shared" si="13"/>
        <v>0</v>
      </c>
      <c r="K179" s="2" t="str">
        <f t="shared" si="14"/>
        <v xml:space="preserve"> </v>
      </c>
      <c r="L179" s="2" t="str">
        <f t="shared" si="11"/>
        <v xml:space="preserve"> </v>
      </c>
      <c r="M179" s="2" t="str">
        <f t="shared" si="12"/>
        <v xml:space="preserve"> </v>
      </c>
    </row>
    <row r="180" spans="1:13" x14ac:dyDescent="0.25">
      <c r="A180" s="40" t="str">
        <f t="shared" si="10"/>
        <v xml:space="preserve"> </v>
      </c>
      <c r="D180" s="39"/>
      <c r="E180" s="39"/>
      <c r="J180" s="15">
        <f t="shared" si="13"/>
        <v>0</v>
      </c>
      <c r="K180" s="2" t="str">
        <f t="shared" si="14"/>
        <v xml:space="preserve"> </v>
      </c>
      <c r="L180" s="2" t="str">
        <f t="shared" si="11"/>
        <v xml:space="preserve"> </v>
      </c>
      <c r="M180" s="2" t="str">
        <f t="shared" si="12"/>
        <v xml:space="preserve"> </v>
      </c>
    </row>
    <row r="181" spans="1:13" x14ac:dyDescent="0.25">
      <c r="A181" s="40" t="str">
        <f t="shared" si="10"/>
        <v xml:space="preserve"> </v>
      </c>
      <c r="D181" s="39"/>
      <c r="E181" s="39"/>
      <c r="J181" s="15">
        <f t="shared" si="13"/>
        <v>0</v>
      </c>
      <c r="K181" s="2" t="str">
        <f t="shared" si="14"/>
        <v xml:space="preserve"> </v>
      </c>
      <c r="L181" s="2" t="str">
        <f t="shared" si="11"/>
        <v xml:space="preserve"> </v>
      </c>
      <c r="M181" s="2" t="str">
        <f t="shared" si="12"/>
        <v xml:space="preserve"> </v>
      </c>
    </row>
    <row r="182" spans="1:13" x14ac:dyDescent="0.25">
      <c r="A182" s="40" t="str">
        <f t="shared" si="10"/>
        <v xml:space="preserve"> </v>
      </c>
      <c r="D182" s="39"/>
      <c r="E182" s="39"/>
      <c r="J182" s="15">
        <f t="shared" si="13"/>
        <v>0</v>
      </c>
      <c r="K182" s="2" t="str">
        <f t="shared" si="14"/>
        <v xml:space="preserve"> </v>
      </c>
      <c r="L182" s="2" t="str">
        <f t="shared" si="11"/>
        <v xml:space="preserve"> </v>
      </c>
      <c r="M182" s="2" t="str">
        <f t="shared" si="12"/>
        <v xml:space="preserve"> </v>
      </c>
    </row>
    <row r="183" spans="1:13" x14ac:dyDescent="0.25">
      <c r="A183" s="40" t="str">
        <f t="shared" si="10"/>
        <v xml:space="preserve"> </v>
      </c>
      <c r="D183" s="39"/>
      <c r="E183" s="39"/>
      <c r="J183" s="15">
        <f t="shared" si="13"/>
        <v>0</v>
      </c>
      <c r="K183" s="2" t="str">
        <f t="shared" si="14"/>
        <v xml:space="preserve"> </v>
      </c>
      <c r="L183" s="2" t="str">
        <f t="shared" si="11"/>
        <v xml:space="preserve"> </v>
      </c>
      <c r="M183" s="2" t="str">
        <f t="shared" si="12"/>
        <v xml:space="preserve"> </v>
      </c>
    </row>
    <row r="184" spans="1:13" x14ac:dyDescent="0.25">
      <c r="A184" s="40" t="str">
        <f t="shared" si="10"/>
        <v xml:space="preserve"> </v>
      </c>
      <c r="D184" s="39"/>
      <c r="E184" s="39"/>
      <c r="J184" s="15">
        <f t="shared" si="13"/>
        <v>0</v>
      </c>
      <c r="K184" s="2" t="str">
        <f t="shared" si="14"/>
        <v xml:space="preserve"> </v>
      </c>
      <c r="L184" s="2" t="str">
        <f t="shared" si="11"/>
        <v xml:space="preserve"> </v>
      </c>
      <c r="M184" s="2" t="str">
        <f t="shared" si="12"/>
        <v xml:space="preserve"> </v>
      </c>
    </row>
    <row r="185" spans="1:13" x14ac:dyDescent="0.25">
      <c r="A185" s="40" t="str">
        <f t="shared" si="10"/>
        <v xml:space="preserve"> </v>
      </c>
      <c r="D185" s="39"/>
      <c r="E185" s="39"/>
      <c r="J185" s="15">
        <f t="shared" si="13"/>
        <v>0</v>
      </c>
      <c r="K185" s="2" t="str">
        <f t="shared" si="14"/>
        <v xml:space="preserve"> </v>
      </c>
      <c r="L185" s="2" t="str">
        <f t="shared" si="11"/>
        <v xml:space="preserve"> </v>
      </c>
      <c r="M185" s="2" t="str">
        <f t="shared" si="12"/>
        <v xml:space="preserve"> </v>
      </c>
    </row>
    <row r="186" spans="1:13" x14ac:dyDescent="0.25">
      <c r="A186" s="40" t="str">
        <f t="shared" si="10"/>
        <v xml:space="preserve"> </v>
      </c>
      <c r="D186" s="39"/>
      <c r="E186" s="39"/>
      <c r="J186" s="15">
        <f t="shared" si="13"/>
        <v>0</v>
      </c>
      <c r="K186" s="2" t="str">
        <f t="shared" si="14"/>
        <v xml:space="preserve"> </v>
      </c>
      <c r="L186" s="2" t="str">
        <f t="shared" si="11"/>
        <v xml:space="preserve"> </v>
      </c>
      <c r="M186" s="2" t="str">
        <f t="shared" si="12"/>
        <v xml:space="preserve"> </v>
      </c>
    </row>
    <row r="187" spans="1:13" x14ac:dyDescent="0.25">
      <c r="A187" s="40" t="str">
        <f t="shared" si="10"/>
        <v xml:space="preserve"> </v>
      </c>
      <c r="D187" s="39"/>
      <c r="E187" s="39"/>
      <c r="J187" s="15">
        <f t="shared" si="13"/>
        <v>0</v>
      </c>
      <c r="K187" s="2" t="str">
        <f t="shared" si="14"/>
        <v xml:space="preserve"> </v>
      </c>
      <c r="L187" s="2" t="str">
        <f t="shared" si="11"/>
        <v xml:space="preserve"> </v>
      </c>
      <c r="M187" s="2" t="str">
        <f t="shared" si="12"/>
        <v xml:space="preserve"> </v>
      </c>
    </row>
    <row r="188" spans="1:13" x14ac:dyDescent="0.25">
      <c r="A188" s="40" t="str">
        <f t="shared" si="10"/>
        <v xml:space="preserve"> </v>
      </c>
      <c r="D188" s="39"/>
      <c r="E188" s="39"/>
      <c r="J188" s="15">
        <f t="shared" si="13"/>
        <v>0</v>
      </c>
      <c r="K188" s="2" t="str">
        <f t="shared" si="14"/>
        <v xml:space="preserve"> </v>
      </c>
      <c r="L188" s="2" t="str">
        <f t="shared" si="11"/>
        <v xml:space="preserve"> </v>
      </c>
      <c r="M188" s="2" t="str">
        <f t="shared" si="12"/>
        <v xml:space="preserve"> </v>
      </c>
    </row>
    <row r="189" spans="1:13" x14ac:dyDescent="0.25">
      <c r="A189" s="40" t="str">
        <f t="shared" si="10"/>
        <v xml:space="preserve"> </v>
      </c>
      <c r="D189" s="39"/>
      <c r="E189" s="39"/>
      <c r="J189" s="15">
        <f t="shared" si="13"/>
        <v>0</v>
      </c>
      <c r="K189" s="2" t="str">
        <f t="shared" si="14"/>
        <v xml:space="preserve"> </v>
      </c>
      <c r="L189" s="2" t="str">
        <f t="shared" si="11"/>
        <v xml:space="preserve"> </v>
      </c>
      <c r="M189" s="2" t="str">
        <f t="shared" si="12"/>
        <v xml:space="preserve"> </v>
      </c>
    </row>
    <row r="190" spans="1:13" x14ac:dyDescent="0.25">
      <c r="A190" s="40" t="str">
        <f t="shared" si="10"/>
        <v xml:space="preserve"> </v>
      </c>
      <c r="D190" s="39"/>
      <c r="E190" s="39"/>
      <c r="J190" s="15">
        <f t="shared" si="13"/>
        <v>0</v>
      </c>
      <c r="K190" s="2" t="str">
        <f t="shared" si="14"/>
        <v xml:space="preserve"> </v>
      </c>
      <c r="L190" s="2" t="str">
        <f t="shared" si="11"/>
        <v xml:space="preserve"> </v>
      </c>
      <c r="M190" s="2" t="str">
        <f t="shared" si="12"/>
        <v xml:space="preserve"> </v>
      </c>
    </row>
    <row r="191" spans="1:13" x14ac:dyDescent="0.25">
      <c r="A191" s="40" t="str">
        <f t="shared" si="10"/>
        <v xml:space="preserve"> </v>
      </c>
      <c r="D191" s="39"/>
      <c r="E191" s="39"/>
      <c r="J191" s="15">
        <f t="shared" si="13"/>
        <v>0</v>
      </c>
      <c r="K191" s="2" t="str">
        <f t="shared" si="14"/>
        <v xml:space="preserve"> </v>
      </c>
      <c r="L191" s="2" t="str">
        <f t="shared" si="11"/>
        <v xml:space="preserve"> </v>
      </c>
      <c r="M191" s="2" t="str">
        <f t="shared" si="12"/>
        <v xml:space="preserve"> </v>
      </c>
    </row>
    <row r="192" spans="1:13" x14ac:dyDescent="0.25">
      <c r="A192" s="40" t="str">
        <f t="shared" si="10"/>
        <v xml:space="preserve"> </v>
      </c>
      <c r="D192" s="39"/>
      <c r="E192" s="39"/>
      <c r="J192" s="15">
        <f t="shared" si="13"/>
        <v>0</v>
      </c>
      <c r="K192" s="2" t="str">
        <f t="shared" si="14"/>
        <v xml:space="preserve"> </v>
      </c>
      <c r="L192" s="2" t="str">
        <f t="shared" si="11"/>
        <v xml:space="preserve"> </v>
      </c>
      <c r="M192" s="2" t="str">
        <f t="shared" si="12"/>
        <v xml:space="preserve"> </v>
      </c>
    </row>
    <row r="193" spans="1:13" x14ac:dyDescent="0.25">
      <c r="A193" s="40" t="str">
        <f t="shared" si="10"/>
        <v xml:space="preserve"> </v>
      </c>
      <c r="D193" s="39"/>
      <c r="E193" s="39"/>
      <c r="J193" s="15">
        <f t="shared" si="13"/>
        <v>0</v>
      </c>
      <c r="K193" s="2" t="str">
        <f t="shared" si="14"/>
        <v xml:space="preserve"> </v>
      </c>
      <c r="L193" s="2" t="str">
        <f t="shared" si="11"/>
        <v xml:space="preserve"> </v>
      </c>
      <c r="M193" s="2" t="str">
        <f t="shared" si="12"/>
        <v xml:space="preserve"> </v>
      </c>
    </row>
    <row r="194" spans="1:13" x14ac:dyDescent="0.25">
      <c r="A194" s="40" t="str">
        <f t="shared" si="10"/>
        <v xml:space="preserve"> </v>
      </c>
      <c r="D194" s="39"/>
      <c r="E194" s="39"/>
      <c r="J194" s="15">
        <f t="shared" si="13"/>
        <v>0</v>
      </c>
      <c r="K194" s="2" t="str">
        <f t="shared" si="14"/>
        <v xml:space="preserve"> </v>
      </c>
      <c r="L194" s="2" t="str">
        <f t="shared" si="11"/>
        <v xml:space="preserve"> </v>
      </c>
      <c r="M194" s="2" t="str">
        <f t="shared" si="12"/>
        <v xml:space="preserve"> </v>
      </c>
    </row>
    <row r="195" spans="1:13" x14ac:dyDescent="0.25">
      <c r="A195" s="40" t="str">
        <f t="shared" si="10"/>
        <v xml:space="preserve"> </v>
      </c>
      <c r="D195" s="39"/>
      <c r="E195" s="39"/>
      <c r="J195" s="15">
        <f t="shared" si="13"/>
        <v>0</v>
      </c>
      <c r="K195" s="2" t="str">
        <f t="shared" si="14"/>
        <v xml:space="preserve"> </v>
      </c>
      <c r="L195" s="2" t="str">
        <f t="shared" si="11"/>
        <v xml:space="preserve"> </v>
      </c>
      <c r="M195" s="2" t="str">
        <f t="shared" si="12"/>
        <v xml:space="preserve"> </v>
      </c>
    </row>
    <row r="196" spans="1:13" x14ac:dyDescent="0.25">
      <c r="A196" s="40" t="str">
        <f t="shared" si="10"/>
        <v xml:space="preserve"> </v>
      </c>
      <c r="D196" s="39"/>
      <c r="E196" s="39"/>
      <c r="J196" s="15">
        <f t="shared" si="13"/>
        <v>0</v>
      </c>
      <c r="K196" s="2" t="str">
        <f t="shared" si="14"/>
        <v xml:space="preserve"> </v>
      </c>
      <c r="L196" s="2" t="str">
        <f t="shared" si="11"/>
        <v xml:space="preserve"> </v>
      </c>
      <c r="M196" s="2" t="str">
        <f t="shared" si="12"/>
        <v xml:space="preserve"> </v>
      </c>
    </row>
    <row r="197" spans="1:13" x14ac:dyDescent="0.25">
      <c r="A197" s="40" t="str">
        <f t="shared" si="10"/>
        <v xml:space="preserve"> </v>
      </c>
      <c r="D197" s="39"/>
      <c r="E197" s="39"/>
      <c r="J197" s="15">
        <f t="shared" si="13"/>
        <v>0</v>
      </c>
      <c r="K197" s="2" t="str">
        <f t="shared" si="14"/>
        <v xml:space="preserve"> </v>
      </c>
      <c r="L197" s="2" t="str">
        <f t="shared" si="11"/>
        <v xml:space="preserve"> </v>
      </c>
      <c r="M197" s="2" t="str">
        <f t="shared" si="12"/>
        <v xml:space="preserve"> </v>
      </c>
    </row>
    <row r="198" spans="1:13" x14ac:dyDescent="0.25">
      <c r="A198" s="40" t="str">
        <f t="shared" si="10"/>
        <v xml:space="preserve"> </v>
      </c>
      <c r="D198" s="39"/>
      <c r="E198" s="39"/>
      <c r="J198" s="15">
        <f t="shared" si="13"/>
        <v>0</v>
      </c>
      <c r="K198" s="2" t="str">
        <f t="shared" si="14"/>
        <v xml:space="preserve"> </v>
      </c>
      <c r="L198" s="2" t="str">
        <f t="shared" si="11"/>
        <v xml:space="preserve"> </v>
      </c>
      <c r="M198" s="2" t="str">
        <f t="shared" si="12"/>
        <v xml:space="preserve"> </v>
      </c>
    </row>
    <row r="199" spans="1:13" x14ac:dyDescent="0.25">
      <c r="A199" s="40" t="str">
        <f t="shared" si="10"/>
        <v xml:space="preserve"> </v>
      </c>
      <c r="D199" s="39"/>
      <c r="E199" s="39"/>
      <c r="J199" s="15">
        <f t="shared" si="13"/>
        <v>0</v>
      </c>
      <c r="K199" s="2" t="str">
        <f t="shared" si="14"/>
        <v xml:space="preserve"> </v>
      </c>
      <c r="L199" s="2" t="str">
        <f t="shared" si="11"/>
        <v xml:space="preserve"> </v>
      </c>
      <c r="M199" s="2" t="str">
        <f t="shared" si="12"/>
        <v xml:space="preserve"> </v>
      </c>
    </row>
    <row r="200" spans="1:13" x14ac:dyDescent="0.25">
      <c r="A200" s="40" t="str">
        <f t="shared" si="10"/>
        <v xml:space="preserve"> </v>
      </c>
      <c r="D200" s="39"/>
      <c r="E200" s="39"/>
      <c r="J200" s="15">
        <f t="shared" si="13"/>
        <v>0</v>
      </c>
      <c r="K200" s="2" t="str">
        <f t="shared" si="14"/>
        <v xml:space="preserve"> </v>
      </c>
      <c r="L200" s="2" t="str">
        <f t="shared" si="11"/>
        <v xml:space="preserve"> </v>
      </c>
      <c r="M200" s="2" t="str">
        <f t="shared" si="12"/>
        <v xml:space="preserve"> </v>
      </c>
    </row>
    <row r="201" spans="1:13" x14ac:dyDescent="0.25">
      <c r="A201" s="40" t="str">
        <f t="shared" si="10"/>
        <v xml:space="preserve"> </v>
      </c>
      <c r="D201" s="39"/>
      <c r="E201" s="39"/>
      <c r="J201" s="15">
        <f t="shared" si="13"/>
        <v>0</v>
      </c>
      <c r="K201" s="2" t="str">
        <f t="shared" si="14"/>
        <v xml:space="preserve"> </v>
      </c>
      <c r="L201" s="2" t="str">
        <f t="shared" si="11"/>
        <v xml:space="preserve"> </v>
      </c>
      <c r="M201" s="2" t="str">
        <f t="shared" si="12"/>
        <v xml:space="preserve"> </v>
      </c>
    </row>
    <row r="202" spans="1:13" x14ac:dyDescent="0.25">
      <c r="A202" s="40" t="str">
        <f t="shared" si="10"/>
        <v xml:space="preserve"> </v>
      </c>
      <c r="D202" s="39"/>
      <c r="E202" s="39"/>
      <c r="J202" s="15">
        <f t="shared" si="13"/>
        <v>0</v>
      </c>
      <c r="K202" s="2" t="str">
        <f t="shared" si="14"/>
        <v xml:space="preserve"> </v>
      </c>
      <c r="L202" s="2" t="str">
        <f t="shared" si="11"/>
        <v xml:space="preserve"> </v>
      </c>
      <c r="M202" s="2" t="str">
        <f t="shared" si="12"/>
        <v xml:space="preserve"> </v>
      </c>
    </row>
    <row r="203" spans="1:13" x14ac:dyDescent="0.25">
      <c r="A203" s="40" t="str">
        <f t="shared" si="10"/>
        <v xml:space="preserve"> </v>
      </c>
      <c r="D203" s="39"/>
      <c r="E203" s="39"/>
      <c r="J203" s="15">
        <f t="shared" si="13"/>
        <v>0</v>
      </c>
      <c r="K203" s="2" t="str">
        <f t="shared" si="14"/>
        <v xml:space="preserve"> </v>
      </c>
      <c r="L203" s="2" t="str">
        <f t="shared" si="11"/>
        <v xml:space="preserve"> </v>
      </c>
      <c r="M203" s="2" t="str">
        <f t="shared" si="12"/>
        <v xml:space="preserve"> </v>
      </c>
    </row>
    <row r="204" spans="1:13" x14ac:dyDescent="0.25">
      <c r="A204" s="40" t="str">
        <f t="shared" si="10"/>
        <v xml:space="preserve"> </v>
      </c>
      <c r="D204" s="39"/>
      <c r="E204" s="39"/>
      <c r="J204" s="15">
        <f t="shared" si="13"/>
        <v>0</v>
      </c>
      <c r="K204" s="2" t="str">
        <f t="shared" si="14"/>
        <v xml:space="preserve"> </v>
      </c>
      <c r="L204" s="2" t="str">
        <f t="shared" si="11"/>
        <v xml:space="preserve"> </v>
      </c>
      <c r="M204" s="2" t="str">
        <f t="shared" si="12"/>
        <v xml:space="preserve"> </v>
      </c>
    </row>
    <row r="205" spans="1:13" x14ac:dyDescent="0.25">
      <c r="A205" s="40" t="str">
        <f t="shared" si="10"/>
        <v xml:space="preserve"> </v>
      </c>
      <c r="D205" s="39"/>
      <c r="E205" s="39"/>
      <c r="J205" s="15">
        <f t="shared" si="13"/>
        <v>0</v>
      </c>
      <c r="K205" s="2" t="str">
        <f t="shared" si="14"/>
        <v xml:space="preserve"> </v>
      </c>
      <c r="L205" s="2" t="str">
        <f t="shared" si="11"/>
        <v xml:space="preserve"> </v>
      </c>
      <c r="M205" s="2" t="str">
        <f t="shared" si="12"/>
        <v xml:space="preserve"> </v>
      </c>
    </row>
    <row r="206" spans="1:13" x14ac:dyDescent="0.25">
      <c r="A206" s="40" t="str">
        <f t="shared" si="10"/>
        <v xml:space="preserve"> </v>
      </c>
      <c r="D206" s="39"/>
      <c r="E206" s="39"/>
      <c r="J206" s="15">
        <f t="shared" si="13"/>
        <v>0</v>
      </c>
      <c r="K206" s="2" t="str">
        <f t="shared" si="14"/>
        <v xml:space="preserve"> </v>
      </c>
      <c r="L206" s="2" t="str">
        <f t="shared" si="11"/>
        <v xml:space="preserve"> </v>
      </c>
      <c r="M206" s="2" t="str">
        <f t="shared" si="12"/>
        <v xml:space="preserve"> </v>
      </c>
    </row>
    <row r="207" spans="1:13" x14ac:dyDescent="0.25">
      <c r="A207" s="40" t="str">
        <f t="shared" ref="A207:A270" si="15">IF(COUNTIF(K207:M207,"ERROR")&gt;0,"ERROR"," ")</f>
        <v xml:space="preserve"> </v>
      </c>
      <c r="D207" s="39"/>
      <c r="E207" s="39"/>
      <c r="J207" s="15">
        <f t="shared" si="13"/>
        <v>0</v>
      </c>
      <c r="K207" s="2" t="str">
        <f t="shared" si="14"/>
        <v xml:space="preserve"> </v>
      </c>
      <c r="L207" s="2" t="str">
        <f t="shared" ref="L207:L270" si="16">IF(D207=0," ",IF(COUNTIF(ProfitLoss4,D207)&gt;0," ","ERROR"))</f>
        <v xml:space="preserve"> </v>
      </c>
      <c r="M207" s="2" t="str">
        <f t="shared" ref="M207:M270" si="17">IF(E207=0," ",IF(COUNTIF(BalanceSheet4,E207)&gt;0," ","ERROR"))</f>
        <v xml:space="preserve"> </v>
      </c>
    </row>
    <row r="208" spans="1:13" x14ac:dyDescent="0.25">
      <c r="A208" s="40" t="str">
        <f t="shared" si="15"/>
        <v xml:space="preserve"> </v>
      </c>
      <c r="D208" s="39"/>
      <c r="E208" s="39"/>
      <c r="J208" s="15">
        <f t="shared" ref="J208:J271" si="18">F208-G208+H208-I208</f>
        <v>0</v>
      </c>
      <c r="K208" s="2" t="str">
        <f t="shared" ref="K208:K271" si="19">IF(COUNTA(D208:E208)=2,"ERROR"," ")</f>
        <v xml:space="preserve"> </v>
      </c>
      <c r="L208" s="2" t="str">
        <f t="shared" si="16"/>
        <v xml:space="preserve"> </v>
      </c>
      <c r="M208" s="2" t="str">
        <f t="shared" si="17"/>
        <v xml:space="preserve"> </v>
      </c>
    </row>
    <row r="209" spans="1:13" x14ac:dyDescent="0.25">
      <c r="A209" s="40" t="str">
        <f t="shared" si="15"/>
        <v xml:space="preserve"> </v>
      </c>
      <c r="D209" s="39"/>
      <c r="E209" s="39"/>
      <c r="J209" s="15">
        <f t="shared" si="18"/>
        <v>0</v>
      </c>
      <c r="K209" s="2" t="str">
        <f t="shared" si="19"/>
        <v xml:space="preserve"> </v>
      </c>
      <c r="L209" s="2" t="str">
        <f t="shared" si="16"/>
        <v xml:space="preserve"> </v>
      </c>
      <c r="M209" s="2" t="str">
        <f t="shared" si="17"/>
        <v xml:space="preserve"> </v>
      </c>
    </row>
    <row r="210" spans="1:13" x14ac:dyDescent="0.25">
      <c r="A210" s="40" t="str">
        <f t="shared" si="15"/>
        <v xml:space="preserve"> </v>
      </c>
      <c r="D210" s="39"/>
      <c r="E210" s="39"/>
      <c r="J210" s="15">
        <f t="shared" si="18"/>
        <v>0</v>
      </c>
      <c r="K210" s="2" t="str">
        <f t="shared" si="19"/>
        <v xml:space="preserve"> </v>
      </c>
      <c r="L210" s="2" t="str">
        <f t="shared" si="16"/>
        <v xml:space="preserve"> </v>
      </c>
      <c r="M210" s="2" t="str">
        <f t="shared" si="17"/>
        <v xml:space="preserve"> </v>
      </c>
    </row>
    <row r="211" spans="1:13" x14ac:dyDescent="0.25">
      <c r="A211" s="40" t="str">
        <f t="shared" si="15"/>
        <v xml:space="preserve"> </v>
      </c>
      <c r="D211" s="39"/>
      <c r="E211" s="39"/>
      <c r="J211" s="15">
        <f t="shared" si="18"/>
        <v>0</v>
      </c>
      <c r="K211" s="2" t="str">
        <f t="shared" si="19"/>
        <v xml:space="preserve"> </v>
      </c>
      <c r="L211" s="2" t="str">
        <f t="shared" si="16"/>
        <v xml:space="preserve"> </v>
      </c>
      <c r="M211" s="2" t="str">
        <f t="shared" si="17"/>
        <v xml:space="preserve"> </v>
      </c>
    </row>
    <row r="212" spans="1:13" x14ac:dyDescent="0.25">
      <c r="A212" s="40" t="str">
        <f t="shared" si="15"/>
        <v xml:space="preserve"> </v>
      </c>
      <c r="D212" s="39"/>
      <c r="E212" s="39"/>
      <c r="J212" s="15">
        <f t="shared" si="18"/>
        <v>0</v>
      </c>
      <c r="K212" s="2" t="str">
        <f t="shared" si="19"/>
        <v xml:space="preserve"> </v>
      </c>
      <c r="L212" s="2" t="str">
        <f t="shared" si="16"/>
        <v xml:space="preserve"> </v>
      </c>
      <c r="M212" s="2" t="str">
        <f t="shared" si="17"/>
        <v xml:space="preserve"> </v>
      </c>
    </row>
    <row r="213" spans="1:13" x14ac:dyDescent="0.25">
      <c r="A213" s="40" t="str">
        <f t="shared" si="15"/>
        <v xml:space="preserve"> </v>
      </c>
      <c r="D213" s="39"/>
      <c r="E213" s="39"/>
      <c r="J213" s="15">
        <f t="shared" si="18"/>
        <v>0</v>
      </c>
      <c r="K213" s="2" t="str">
        <f t="shared" si="19"/>
        <v xml:space="preserve"> </v>
      </c>
      <c r="L213" s="2" t="str">
        <f t="shared" si="16"/>
        <v xml:space="preserve"> </v>
      </c>
      <c r="M213" s="2" t="str">
        <f t="shared" si="17"/>
        <v xml:space="preserve"> </v>
      </c>
    </row>
    <row r="214" spans="1:13" x14ac:dyDescent="0.25">
      <c r="A214" s="40" t="str">
        <f t="shared" si="15"/>
        <v xml:space="preserve"> </v>
      </c>
      <c r="D214" s="39"/>
      <c r="E214" s="39"/>
      <c r="J214" s="15">
        <f t="shared" si="18"/>
        <v>0</v>
      </c>
      <c r="K214" s="2" t="str">
        <f t="shared" si="19"/>
        <v xml:space="preserve"> </v>
      </c>
      <c r="L214" s="2" t="str">
        <f t="shared" si="16"/>
        <v xml:space="preserve"> </v>
      </c>
      <c r="M214" s="2" t="str">
        <f t="shared" si="17"/>
        <v xml:space="preserve"> </v>
      </c>
    </row>
    <row r="215" spans="1:13" x14ac:dyDescent="0.25">
      <c r="A215" s="40" t="str">
        <f t="shared" si="15"/>
        <v xml:space="preserve"> </v>
      </c>
      <c r="D215" s="39"/>
      <c r="E215" s="39"/>
      <c r="J215" s="15">
        <f t="shared" si="18"/>
        <v>0</v>
      </c>
      <c r="K215" s="2" t="str">
        <f t="shared" si="19"/>
        <v xml:space="preserve"> </v>
      </c>
      <c r="L215" s="2" t="str">
        <f t="shared" si="16"/>
        <v xml:space="preserve"> </v>
      </c>
      <c r="M215" s="2" t="str">
        <f t="shared" si="17"/>
        <v xml:space="preserve"> </v>
      </c>
    </row>
    <row r="216" spans="1:13" x14ac:dyDescent="0.25">
      <c r="A216" s="40" t="str">
        <f t="shared" si="15"/>
        <v xml:space="preserve"> </v>
      </c>
      <c r="D216" s="39"/>
      <c r="E216" s="39"/>
      <c r="J216" s="15">
        <f t="shared" si="18"/>
        <v>0</v>
      </c>
      <c r="K216" s="2" t="str">
        <f t="shared" si="19"/>
        <v xml:space="preserve"> </v>
      </c>
      <c r="L216" s="2" t="str">
        <f t="shared" si="16"/>
        <v xml:space="preserve"> </v>
      </c>
      <c r="M216" s="2" t="str">
        <f t="shared" si="17"/>
        <v xml:space="preserve"> </v>
      </c>
    </row>
    <row r="217" spans="1:13" x14ac:dyDescent="0.25">
      <c r="A217" s="40" t="str">
        <f t="shared" si="15"/>
        <v xml:space="preserve"> </v>
      </c>
      <c r="D217" s="39"/>
      <c r="E217" s="39"/>
      <c r="J217" s="15">
        <f t="shared" si="18"/>
        <v>0</v>
      </c>
      <c r="K217" s="2" t="str">
        <f t="shared" si="19"/>
        <v xml:space="preserve"> </v>
      </c>
      <c r="L217" s="2" t="str">
        <f t="shared" si="16"/>
        <v xml:space="preserve"> </v>
      </c>
      <c r="M217" s="2" t="str">
        <f t="shared" si="17"/>
        <v xml:space="preserve"> </v>
      </c>
    </row>
    <row r="218" spans="1:13" x14ac:dyDescent="0.25">
      <c r="A218" s="40" t="str">
        <f t="shared" si="15"/>
        <v xml:space="preserve"> </v>
      </c>
      <c r="D218" s="39"/>
      <c r="E218" s="39"/>
      <c r="J218" s="15">
        <f t="shared" si="18"/>
        <v>0</v>
      </c>
      <c r="K218" s="2" t="str">
        <f t="shared" si="19"/>
        <v xml:space="preserve"> </v>
      </c>
      <c r="L218" s="2" t="str">
        <f t="shared" si="16"/>
        <v xml:space="preserve"> </v>
      </c>
      <c r="M218" s="2" t="str">
        <f t="shared" si="17"/>
        <v xml:space="preserve"> </v>
      </c>
    </row>
    <row r="219" spans="1:13" x14ac:dyDescent="0.25">
      <c r="A219" s="40" t="str">
        <f t="shared" si="15"/>
        <v xml:space="preserve"> </v>
      </c>
      <c r="D219" s="39"/>
      <c r="E219" s="39"/>
      <c r="J219" s="15">
        <f t="shared" si="18"/>
        <v>0</v>
      </c>
      <c r="K219" s="2" t="str">
        <f t="shared" si="19"/>
        <v xml:space="preserve"> </v>
      </c>
      <c r="L219" s="2" t="str">
        <f t="shared" si="16"/>
        <v xml:space="preserve"> </v>
      </c>
      <c r="M219" s="2" t="str">
        <f t="shared" si="17"/>
        <v xml:space="preserve"> </v>
      </c>
    </row>
    <row r="220" spans="1:13" x14ac:dyDescent="0.25">
      <c r="A220" s="40" t="str">
        <f t="shared" si="15"/>
        <v xml:space="preserve"> </v>
      </c>
      <c r="D220" s="39"/>
      <c r="E220" s="39"/>
      <c r="J220" s="15">
        <f t="shared" si="18"/>
        <v>0</v>
      </c>
      <c r="K220" s="2" t="str">
        <f t="shared" si="19"/>
        <v xml:space="preserve"> </v>
      </c>
      <c r="L220" s="2" t="str">
        <f t="shared" si="16"/>
        <v xml:space="preserve"> </v>
      </c>
      <c r="M220" s="2" t="str">
        <f t="shared" si="17"/>
        <v xml:space="preserve"> </v>
      </c>
    </row>
    <row r="221" spans="1:13" x14ac:dyDescent="0.25">
      <c r="A221" s="40" t="str">
        <f t="shared" si="15"/>
        <v xml:space="preserve"> </v>
      </c>
      <c r="D221" s="39"/>
      <c r="E221" s="39"/>
      <c r="J221" s="15">
        <f t="shared" si="18"/>
        <v>0</v>
      </c>
      <c r="K221" s="2" t="str">
        <f t="shared" si="19"/>
        <v xml:space="preserve"> </v>
      </c>
      <c r="L221" s="2" t="str">
        <f t="shared" si="16"/>
        <v xml:space="preserve"> </v>
      </c>
      <c r="M221" s="2" t="str">
        <f t="shared" si="17"/>
        <v xml:space="preserve"> </v>
      </c>
    </row>
    <row r="222" spans="1:13" x14ac:dyDescent="0.25">
      <c r="A222" s="40" t="str">
        <f t="shared" si="15"/>
        <v xml:space="preserve"> </v>
      </c>
      <c r="D222" s="39"/>
      <c r="E222" s="39"/>
      <c r="J222" s="15">
        <f t="shared" si="18"/>
        <v>0</v>
      </c>
      <c r="K222" s="2" t="str">
        <f t="shared" si="19"/>
        <v xml:space="preserve"> </v>
      </c>
      <c r="L222" s="2" t="str">
        <f t="shared" si="16"/>
        <v xml:space="preserve"> </v>
      </c>
      <c r="M222" s="2" t="str">
        <f t="shared" si="17"/>
        <v xml:space="preserve"> </v>
      </c>
    </row>
    <row r="223" spans="1:13" x14ac:dyDescent="0.25">
      <c r="A223" s="40" t="str">
        <f t="shared" si="15"/>
        <v xml:space="preserve"> </v>
      </c>
      <c r="D223" s="39"/>
      <c r="E223" s="39"/>
      <c r="J223" s="15">
        <f t="shared" si="18"/>
        <v>0</v>
      </c>
      <c r="K223" s="2" t="str">
        <f t="shared" si="19"/>
        <v xml:space="preserve"> </v>
      </c>
      <c r="L223" s="2" t="str">
        <f t="shared" si="16"/>
        <v xml:space="preserve"> </v>
      </c>
      <c r="M223" s="2" t="str">
        <f t="shared" si="17"/>
        <v xml:space="preserve"> </v>
      </c>
    </row>
    <row r="224" spans="1:13" x14ac:dyDescent="0.25">
      <c r="A224" s="40" t="str">
        <f t="shared" si="15"/>
        <v xml:space="preserve"> </v>
      </c>
      <c r="D224" s="39"/>
      <c r="E224" s="39"/>
      <c r="J224" s="15">
        <f t="shared" si="18"/>
        <v>0</v>
      </c>
      <c r="K224" s="2" t="str">
        <f t="shared" si="19"/>
        <v xml:space="preserve"> </v>
      </c>
      <c r="L224" s="2" t="str">
        <f t="shared" si="16"/>
        <v xml:space="preserve"> </v>
      </c>
      <c r="M224" s="2" t="str">
        <f t="shared" si="17"/>
        <v xml:space="preserve"> </v>
      </c>
    </row>
    <row r="225" spans="1:13" x14ac:dyDescent="0.25">
      <c r="A225" s="40" t="str">
        <f t="shared" si="15"/>
        <v xml:space="preserve"> </v>
      </c>
      <c r="D225" s="39"/>
      <c r="E225" s="39"/>
      <c r="J225" s="15">
        <f t="shared" si="18"/>
        <v>0</v>
      </c>
      <c r="K225" s="2" t="str">
        <f t="shared" si="19"/>
        <v xml:space="preserve"> </v>
      </c>
      <c r="L225" s="2" t="str">
        <f t="shared" si="16"/>
        <v xml:space="preserve"> </v>
      </c>
      <c r="M225" s="2" t="str">
        <f t="shared" si="17"/>
        <v xml:space="preserve"> </v>
      </c>
    </row>
    <row r="226" spans="1:13" x14ac:dyDescent="0.25">
      <c r="A226" s="40" t="str">
        <f t="shared" si="15"/>
        <v xml:space="preserve"> </v>
      </c>
      <c r="D226" s="39"/>
      <c r="E226" s="39"/>
      <c r="J226" s="15">
        <f t="shared" si="18"/>
        <v>0</v>
      </c>
      <c r="K226" s="2" t="str">
        <f t="shared" si="19"/>
        <v xml:space="preserve"> </v>
      </c>
      <c r="L226" s="2" t="str">
        <f t="shared" si="16"/>
        <v xml:space="preserve"> </v>
      </c>
      <c r="M226" s="2" t="str">
        <f t="shared" si="17"/>
        <v xml:space="preserve"> </v>
      </c>
    </row>
    <row r="227" spans="1:13" x14ac:dyDescent="0.25">
      <c r="A227" s="40" t="str">
        <f t="shared" si="15"/>
        <v xml:space="preserve"> </v>
      </c>
      <c r="D227" s="39"/>
      <c r="E227" s="39"/>
      <c r="J227" s="15">
        <f t="shared" si="18"/>
        <v>0</v>
      </c>
      <c r="K227" s="2" t="str">
        <f t="shared" si="19"/>
        <v xml:space="preserve"> </v>
      </c>
      <c r="L227" s="2" t="str">
        <f t="shared" si="16"/>
        <v xml:space="preserve"> </v>
      </c>
      <c r="M227" s="2" t="str">
        <f t="shared" si="17"/>
        <v xml:space="preserve"> </v>
      </c>
    </row>
    <row r="228" spans="1:13" x14ac:dyDescent="0.25">
      <c r="A228" s="40" t="str">
        <f t="shared" si="15"/>
        <v xml:space="preserve"> </v>
      </c>
      <c r="D228" s="39"/>
      <c r="E228" s="39"/>
      <c r="J228" s="15">
        <f t="shared" si="18"/>
        <v>0</v>
      </c>
      <c r="K228" s="2" t="str">
        <f t="shared" si="19"/>
        <v xml:space="preserve"> </v>
      </c>
      <c r="L228" s="2" t="str">
        <f t="shared" si="16"/>
        <v xml:space="preserve"> </v>
      </c>
      <c r="M228" s="2" t="str">
        <f t="shared" si="17"/>
        <v xml:space="preserve"> </v>
      </c>
    </row>
    <row r="229" spans="1:13" x14ac:dyDescent="0.25">
      <c r="A229" s="40" t="str">
        <f t="shared" si="15"/>
        <v xml:space="preserve"> </v>
      </c>
      <c r="D229" s="39"/>
      <c r="E229" s="39"/>
      <c r="J229" s="15">
        <f t="shared" si="18"/>
        <v>0</v>
      </c>
      <c r="K229" s="2" t="str">
        <f t="shared" si="19"/>
        <v xml:space="preserve"> </v>
      </c>
      <c r="L229" s="2" t="str">
        <f t="shared" si="16"/>
        <v xml:space="preserve"> </v>
      </c>
      <c r="M229" s="2" t="str">
        <f t="shared" si="17"/>
        <v xml:space="preserve"> </v>
      </c>
    </row>
    <row r="230" spans="1:13" x14ac:dyDescent="0.25">
      <c r="A230" s="40" t="str">
        <f t="shared" si="15"/>
        <v xml:space="preserve"> </v>
      </c>
      <c r="D230" s="39"/>
      <c r="E230" s="39"/>
      <c r="J230" s="15">
        <f t="shared" si="18"/>
        <v>0</v>
      </c>
      <c r="K230" s="2" t="str">
        <f t="shared" si="19"/>
        <v xml:space="preserve"> </v>
      </c>
      <c r="L230" s="2" t="str">
        <f t="shared" si="16"/>
        <v xml:space="preserve"> </v>
      </c>
      <c r="M230" s="2" t="str">
        <f t="shared" si="17"/>
        <v xml:space="preserve"> </v>
      </c>
    </row>
    <row r="231" spans="1:13" x14ac:dyDescent="0.25">
      <c r="A231" s="40" t="str">
        <f t="shared" si="15"/>
        <v xml:space="preserve"> </v>
      </c>
      <c r="D231" s="39"/>
      <c r="E231" s="39"/>
      <c r="J231" s="15">
        <f t="shared" si="18"/>
        <v>0</v>
      </c>
      <c r="K231" s="2" t="str">
        <f t="shared" si="19"/>
        <v xml:space="preserve"> </v>
      </c>
      <c r="L231" s="2" t="str">
        <f t="shared" si="16"/>
        <v xml:space="preserve"> </v>
      </c>
      <c r="M231" s="2" t="str">
        <f t="shared" si="17"/>
        <v xml:space="preserve"> </v>
      </c>
    </row>
    <row r="232" spans="1:13" x14ac:dyDescent="0.25">
      <c r="A232" s="40" t="str">
        <f t="shared" si="15"/>
        <v xml:space="preserve"> </v>
      </c>
      <c r="D232" s="39"/>
      <c r="E232" s="39"/>
      <c r="J232" s="15">
        <f t="shared" si="18"/>
        <v>0</v>
      </c>
      <c r="K232" s="2" t="str">
        <f t="shared" si="19"/>
        <v xml:space="preserve"> </v>
      </c>
      <c r="L232" s="2" t="str">
        <f t="shared" si="16"/>
        <v xml:space="preserve"> </v>
      </c>
      <c r="M232" s="2" t="str">
        <f t="shared" si="17"/>
        <v xml:space="preserve"> </v>
      </c>
    </row>
    <row r="233" spans="1:13" x14ac:dyDescent="0.25">
      <c r="A233" s="40" t="str">
        <f t="shared" si="15"/>
        <v xml:space="preserve"> </v>
      </c>
      <c r="D233" s="39"/>
      <c r="E233" s="39"/>
      <c r="J233" s="15">
        <f t="shared" si="18"/>
        <v>0</v>
      </c>
      <c r="K233" s="2" t="str">
        <f t="shared" si="19"/>
        <v xml:space="preserve"> </v>
      </c>
      <c r="L233" s="2" t="str">
        <f t="shared" si="16"/>
        <v xml:space="preserve"> </v>
      </c>
      <c r="M233" s="2" t="str">
        <f t="shared" si="17"/>
        <v xml:space="preserve"> </v>
      </c>
    </row>
    <row r="234" spans="1:13" x14ac:dyDescent="0.25">
      <c r="A234" s="40" t="str">
        <f t="shared" si="15"/>
        <v xml:space="preserve"> </v>
      </c>
      <c r="D234" s="39"/>
      <c r="E234" s="39"/>
      <c r="J234" s="15">
        <f t="shared" si="18"/>
        <v>0</v>
      </c>
      <c r="K234" s="2" t="str">
        <f t="shared" si="19"/>
        <v xml:space="preserve"> </v>
      </c>
      <c r="L234" s="2" t="str">
        <f t="shared" si="16"/>
        <v xml:space="preserve"> </v>
      </c>
      <c r="M234" s="2" t="str">
        <f t="shared" si="17"/>
        <v xml:space="preserve"> </v>
      </c>
    </row>
    <row r="235" spans="1:13" x14ac:dyDescent="0.25">
      <c r="A235" s="40" t="str">
        <f t="shared" si="15"/>
        <v xml:space="preserve"> </v>
      </c>
      <c r="D235" s="39"/>
      <c r="E235" s="39"/>
      <c r="J235" s="15">
        <f t="shared" si="18"/>
        <v>0</v>
      </c>
      <c r="K235" s="2" t="str">
        <f t="shared" si="19"/>
        <v xml:space="preserve"> </v>
      </c>
      <c r="L235" s="2" t="str">
        <f t="shared" si="16"/>
        <v xml:space="preserve"> </v>
      </c>
      <c r="M235" s="2" t="str">
        <f t="shared" si="17"/>
        <v xml:space="preserve"> </v>
      </c>
    </row>
    <row r="236" spans="1:13" x14ac:dyDescent="0.25">
      <c r="A236" s="40" t="str">
        <f t="shared" si="15"/>
        <v xml:space="preserve"> </v>
      </c>
      <c r="D236" s="39"/>
      <c r="E236" s="39"/>
      <c r="J236" s="15">
        <f t="shared" si="18"/>
        <v>0</v>
      </c>
      <c r="K236" s="2" t="str">
        <f t="shared" si="19"/>
        <v xml:space="preserve"> </v>
      </c>
      <c r="L236" s="2" t="str">
        <f t="shared" si="16"/>
        <v xml:space="preserve"> </v>
      </c>
      <c r="M236" s="2" t="str">
        <f t="shared" si="17"/>
        <v xml:space="preserve"> </v>
      </c>
    </row>
    <row r="237" spans="1:13" x14ac:dyDescent="0.25">
      <c r="A237" s="40" t="str">
        <f t="shared" si="15"/>
        <v xml:space="preserve"> </v>
      </c>
      <c r="D237" s="39"/>
      <c r="E237" s="39"/>
      <c r="J237" s="15">
        <f t="shared" si="18"/>
        <v>0</v>
      </c>
      <c r="K237" s="2" t="str">
        <f t="shared" si="19"/>
        <v xml:space="preserve"> </v>
      </c>
      <c r="L237" s="2" t="str">
        <f t="shared" si="16"/>
        <v xml:space="preserve"> </v>
      </c>
      <c r="M237" s="2" t="str">
        <f t="shared" si="17"/>
        <v xml:space="preserve"> </v>
      </c>
    </row>
    <row r="238" spans="1:13" x14ac:dyDescent="0.25">
      <c r="A238" s="40" t="str">
        <f t="shared" si="15"/>
        <v xml:space="preserve"> </v>
      </c>
      <c r="D238" s="39"/>
      <c r="E238" s="39"/>
      <c r="J238" s="15">
        <f t="shared" si="18"/>
        <v>0</v>
      </c>
      <c r="K238" s="2" t="str">
        <f t="shared" si="19"/>
        <v xml:space="preserve"> </v>
      </c>
      <c r="L238" s="2" t="str">
        <f t="shared" si="16"/>
        <v xml:space="preserve"> </v>
      </c>
      <c r="M238" s="2" t="str">
        <f t="shared" si="17"/>
        <v xml:space="preserve"> </v>
      </c>
    </row>
    <row r="239" spans="1:13" x14ac:dyDescent="0.25">
      <c r="A239" s="40" t="str">
        <f t="shared" si="15"/>
        <v xml:space="preserve"> </v>
      </c>
      <c r="D239" s="39"/>
      <c r="E239" s="39"/>
      <c r="J239" s="15">
        <f t="shared" si="18"/>
        <v>0</v>
      </c>
      <c r="K239" s="2" t="str">
        <f t="shared" si="19"/>
        <v xml:space="preserve"> </v>
      </c>
      <c r="L239" s="2" t="str">
        <f t="shared" si="16"/>
        <v xml:space="preserve"> </v>
      </c>
      <c r="M239" s="2" t="str">
        <f t="shared" si="17"/>
        <v xml:space="preserve"> </v>
      </c>
    </row>
    <row r="240" spans="1:13" x14ac:dyDescent="0.25">
      <c r="A240" s="40" t="str">
        <f t="shared" si="15"/>
        <v xml:space="preserve"> </v>
      </c>
      <c r="D240" s="39"/>
      <c r="E240" s="39"/>
      <c r="J240" s="15">
        <f t="shared" si="18"/>
        <v>0</v>
      </c>
      <c r="K240" s="2" t="str">
        <f t="shared" si="19"/>
        <v xml:space="preserve"> </v>
      </c>
      <c r="L240" s="2" t="str">
        <f t="shared" si="16"/>
        <v xml:space="preserve"> </v>
      </c>
      <c r="M240" s="2" t="str">
        <f t="shared" si="17"/>
        <v xml:space="preserve"> </v>
      </c>
    </row>
    <row r="241" spans="1:13" x14ac:dyDescent="0.25">
      <c r="A241" s="40" t="str">
        <f t="shared" si="15"/>
        <v xml:space="preserve"> </v>
      </c>
      <c r="D241" s="39"/>
      <c r="E241" s="39"/>
      <c r="J241" s="15">
        <f t="shared" si="18"/>
        <v>0</v>
      </c>
      <c r="K241" s="2" t="str">
        <f t="shared" si="19"/>
        <v xml:space="preserve"> </v>
      </c>
      <c r="L241" s="2" t="str">
        <f t="shared" si="16"/>
        <v xml:space="preserve"> </v>
      </c>
      <c r="M241" s="2" t="str">
        <f t="shared" si="17"/>
        <v xml:space="preserve"> </v>
      </c>
    </row>
    <row r="242" spans="1:13" x14ac:dyDescent="0.25">
      <c r="A242" s="40" t="str">
        <f t="shared" si="15"/>
        <v xml:space="preserve"> </v>
      </c>
      <c r="D242" s="39"/>
      <c r="E242" s="39"/>
      <c r="J242" s="15">
        <f t="shared" si="18"/>
        <v>0</v>
      </c>
      <c r="K242" s="2" t="str">
        <f t="shared" si="19"/>
        <v xml:space="preserve"> </v>
      </c>
      <c r="L242" s="2" t="str">
        <f t="shared" si="16"/>
        <v xml:space="preserve"> </v>
      </c>
      <c r="M242" s="2" t="str">
        <f t="shared" si="17"/>
        <v xml:space="preserve"> </v>
      </c>
    </row>
    <row r="243" spans="1:13" x14ac:dyDescent="0.25">
      <c r="A243" s="40" t="str">
        <f t="shared" si="15"/>
        <v xml:space="preserve"> </v>
      </c>
      <c r="D243" s="39"/>
      <c r="E243" s="39"/>
      <c r="J243" s="15">
        <f t="shared" si="18"/>
        <v>0</v>
      </c>
      <c r="K243" s="2" t="str">
        <f t="shared" si="19"/>
        <v xml:space="preserve"> </v>
      </c>
      <c r="L243" s="2" t="str">
        <f t="shared" si="16"/>
        <v xml:space="preserve"> </v>
      </c>
      <c r="M243" s="2" t="str">
        <f t="shared" si="17"/>
        <v xml:space="preserve"> </v>
      </c>
    </row>
    <row r="244" spans="1:13" x14ac:dyDescent="0.25">
      <c r="A244" s="40" t="str">
        <f t="shared" si="15"/>
        <v xml:space="preserve"> </v>
      </c>
      <c r="D244" s="39"/>
      <c r="E244" s="39"/>
      <c r="J244" s="15">
        <f t="shared" si="18"/>
        <v>0</v>
      </c>
      <c r="K244" s="2" t="str">
        <f t="shared" si="19"/>
        <v xml:space="preserve"> </v>
      </c>
      <c r="L244" s="2" t="str">
        <f t="shared" si="16"/>
        <v xml:space="preserve"> </v>
      </c>
      <c r="M244" s="2" t="str">
        <f t="shared" si="17"/>
        <v xml:space="preserve"> </v>
      </c>
    </row>
    <row r="245" spans="1:13" x14ac:dyDescent="0.25">
      <c r="A245" s="40" t="str">
        <f t="shared" si="15"/>
        <v xml:space="preserve"> </v>
      </c>
      <c r="D245" s="39"/>
      <c r="E245" s="39"/>
      <c r="J245" s="15">
        <f t="shared" si="18"/>
        <v>0</v>
      </c>
      <c r="K245" s="2" t="str">
        <f t="shared" si="19"/>
        <v xml:space="preserve"> </v>
      </c>
      <c r="L245" s="2" t="str">
        <f t="shared" si="16"/>
        <v xml:space="preserve"> </v>
      </c>
      <c r="M245" s="2" t="str">
        <f t="shared" si="17"/>
        <v xml:space="preserve"> </v>
      </c>
    </row>
    <row r="246" spans="1:13" x14ac:dyDescent="0.25">
      <c r="A246" s="40" t="str">
        <f t="shared" si="15"/>
        <v xml:space="preserve"> </v>
      </c>
      <c r="D246" s="39"/>
      <c r="E246" s="39"/>
      <c r="J246" s="15">
        <f t="shared" si="18"/>
        <v>0</v>
      </c>
      <c r="K246" s="2" t="str">
        <f t="shared" si="19"/>
        <v xml:space="preserve"> </v>
      </c>
      <c r="L246" s="2" t="str">
        <f t="shared" si="16"/>
        <v xml:space="preserve"> </v>
      </c>
      <c r="M246" s="2" t="str">
        <f t="shared" si="17"/>
        <v xml:space="preserve"> </v>
      </c>
    </row>
    <row r="247" spans="1:13" x14ac:dyDescent="0.25">
      <c r="A247" s="40" t="str">
        <f t="shared" si="15"/>
        <v xml:space="preserve"> </v>
      </c>
      <c r="D247" s="39"/>
      <c r="E247" s="39"/>
      <c r="J247" s="15">
        <f t="shared" si="18"/>
        <v>0</v>
      </c>
      <c r="K247" s="2" t="str">
        <f t="shared" si="19"/>
        <v xml:space="preserve"> </v>
      </c>
      <c r="L247" s="2" t="str">
        <f t="shared" si="16"/>
        <v xml:space="preserve"> </v>
      </c>
      <c r="M247" s="2" t="str">
        <f t="shared" si="17"/>
        <v xml:space="preserve"> </v>
      </c>
    </row>
    <row r="248" spans="1:13" x14ac:dyDescent="0.25">
      <c r="A248" s="40" t="str">
        <f t="shared" si="15"/>
        <v xml:space="preserve"> </v>
      </c>
      <c r="D248" s="39"/>
      <c r="E248" s="39"/>
      <c r="J248" s="15">
        <f t="shared" si="18"/>
        <v>0</v>
      </c>
      <c r="K248" s="2" t="str">
        <f t="shared" si="19"/>
        <v xml:space="preserve"> </v>
      </c>
      <c r="L248" s="2" t="str">
        <f t="shared" si="16"/>
        <v xml:space="preserve"> </v>
      </c>
      <c r="M248" s="2" t="str">
        <f t="shared" si="17"/>
        <v xml:space="preserve"> </v>
      </c>
    </row>
    <row r="249" spans="1:13" x14ac:dyDescent="0.25">
      <c r="A249" s="40" t="str">
        <f t="shared" si="15"/>
        <v xml:space="preserve"> </v>
      </c>
      <c r="D249" s="39"/>
      <c r="E249" s="39"/>
      <c r="J249" s="15">
        <f t="shared" si="18"/>
        <v>0</v>
      </c>
      <c r="K249" s="2" t="str">
        <f t="shared" si="19"/>
        <v xml:space="preserve"> </v>
      </c>
      <c r="L249" s="2" t="str">
        <f t="shared" si="16"/>
        <v xml:space="preserve"> </v>
      </c>
      <c r="M249" s="2" t="str">
        <f t="shared" si="17"/>
        <v xml:space="preserve"> </v>
      </c>
    </row>
    <row r="250" spans="1:13" x14ac:dyDescent="0.25">
      <c r="A250" s="40" t="str">
        <f t="shared" si="15"/>
        <v xml:space="preserve"> </v>
      </c>
      <c r="D250" s="39"/>
      <c r="E250" s="39"/>
      <c r="J250" s="15">
        <f t="shared" si="18"/>
        <v>0</v>
      </c>
      <c r="K250" s="2" t="str">
        <f t="shared" si="19"/>
        <v xml:space="preserve"> </v>
      </c>
      <c r="L250" s="2" t="str">
        <f t="shared" si="16"/>
        <v xml:space="preserve"> </v>
      </c>
      <c r="M250" s="2" t="str">
        <f t="shared" si="17"/>
        <v xml:space="preserve"> </v>
      </c>
    </row>
    <row r="251" spans="1:13" x14ac:dyDescent="0.25">
      <c r="A251" s="40" t="str">
        <f t="shared" si="15"/>
        <v xml:space="preserve"> </v>
      </c>
      <c r="D251" s="39"/>
      <c r="E251" s="39"/>
      <c r="J251" s="15">
        <f t="shared" si="18"/>
        <v>0</v>
      </c>
      <c r="K251" s="2" t="str">
        <f t="shared" si="19"/>
        <v xml:space="preserve"> </v>
      </c>
      <c r="L251" s="2" t="str">
        <f t="shared" si="16"/>
        <v xml:space="preserve"> </v>
      </c>
      <c r="M251" s="2" t="str">
        <f t="shared" si="17"/>
        <v xml:space="preserve"> </v>
      </c>
    </row>
    <row r="252" spans="1:13" x14ac:dyDescent="0.25">
      <c r="A252" s="40" t="str">
        <f t="shared" si="15"/>
        <v xml:space="preserve"> </v>
      </c>
      <c r="D252" s="39"/>
      <c r="E252" s="39"/>
      <c r="J252" s="15">
        <f t="shared" si="18"/>
        <v>0</v>
      </c>
      <c r="K252" s="2" t="str">
        <f t="shared" si="19"/>
        <v xml:space="preserve"> </v>
      </c>
      <c r="L252" s="2" t="str">
        <f t="shared" si="16"/>
        <v xml:space="preserve"> </v>
      </c>
      <c r="M252" s="2" t="str">
        <f t="shared" si="17"/>
        <v xml:space="preserve"> </v>
      </c>
    </row>
    <row r="253" spans="1:13" x14ac:dyDescent="0.25">
      <c r="A253" s="40" t="str">
        <f t="shared" si="15"/>
        <v xml:space="preserve"> </v>
      </c>
      <c r="D253" s="39"/>
      <c r="E253" s="39"/>
      <c r="J253" s="15">
        <f t="shared" si="18"/>
        <v>0</v>
      </c>
      <c r="K253" s="2" t="str">
        <f t="shared" si="19"/>
        <v xml:space="preserve"> </v>
      </c>
      <c r="L253" s="2" t="str">
        <f t="shared" si="16"/>
        <v xml:space="preserve"> </v>
      </c>
      <c r="M253" s="2" t="str">
        <f t="shared" si="17"/>
        <v xml:space="preserve"> </v>
      </c>
    </row>
    <row r="254" spans="1:13" x14ac:dyDescent="0.25">
      <c r="A254" s="40" t="str">
        <f t="shared" si="15"/>
        <v xml:space="preserve"> </v>
      </c>
      <c r="D254" s="39"/>
      <c r="E254" s="39"/>
      <c r="J254" s="15">
        <f t="shared" si="18"/>
        <v>0</v>
      </c>
      <c r="K254" s="2" t="str">
        <f t="shared" si="19"/>
        <v xml:space="preserve"> </v>
      </c>
      <c r="L254" s="2" t="str">
        <f t="shared" si="16"/>
        <v xml:space="preserve"> </v>
      </c>
      <c r="M254" s="2" t="str">
        <f t="shared" si="17"/>
        <v xml:space="preserve"> </v>
      </c>
    </row>
    <row r="255" spans="1:13" x14ac:dyDescent="0.25">
      <c r="A255" s="40" t="str">
        <f t="shared" si="15"/>
        <v xml:space="preserve"> </v>
      </c>
      <c r="D255" s="39"/>
      <c r="E255" s="39"/>
      <c r="J255" s="15">
        <f t="shared" si="18"/>
        <v>0</v>
      </c>
      <c r="K255" s="2" t="str">
        <f t="shared" si="19"/>
        <v xml:space="preserve"> </v>
      </c>
      <c r="L255" s="2" t="str">
        <f t="shared" si="16"/>
        <v xml:space="preserve"> </v>
      </c>
      <c r="M255" s="2" t="str">
        <f t="shared" si="17"/>
        <v xml:space="preserve"> </v>
      </c>
    </row>
    <row r="256" spans="1:13" x14ac:dyDescent="0.25">
      <c r="A256" s="40" t="str">
        <f t="shared" si="15"/>
        <v xml:space="preserve"> </v>
      </c>
      <c r="D256" s="39"/>
      <c r="E256" s="39"/>
      <c r="J256" s="15">
        <f t="shared" si="18"/>
        <v>0</v>
      </c>
      <c r="K256" s="2" t="str">
        <f t="shared" si="19"/>
        <v xml:space="preserve"> </v>
      </c>
      <c r="L256" s="2" t="str">
        <f t="shared" si="16"/>
        <v xml:space="preserve"> </v>
      </c>
      <c r="M256" s="2" t="str">
        <f t="shared" si="17"/>
        <v xml:space="preserve"> </v>
      </c>
    </row>
    <row r="257" spans="1:13" x14ac:dyDescent="0.25">
      <c r="A257" s="40" t="str">
        <f t="shared" si="15"/>
        <v xml:space="preserve"> </v>
      </c>
      <c r="D257" s="39"/>
      <c r="E257" s="39"/>
      <c r="J257" s="15">
        <f t="shared" si="18"/>
        <v>0</v>
      </c>
      <c r="K257" s="2" t="str">
        <f t="shared" si="19"/>
        <v xml:space="preserve"> </v>
      </c>
      <c r="L257" s="2" t="str">
        <f t="shared" si="16"/>
        <v xml:space="preserve"> </v>
      </c>
      <c r="M257" s="2" t="str">
        <f t="shared" si="17"/>
        <v xml:space="preserve"> </v>
      </c>
    </row>
    <row r="258" spans="1:13" x14ac:dyDescent="0.25">
      <c r="A258" s="40" t="str">
        <f t="shared" si="15"/>
        <v xml:space="preserve"> </v>
      </c>
      <c r="D258" s="39"/>
      <c r="E258" s="39"/>
      <c r="J258" s="15">
        <f t="shared" si="18"/>
        <v>0</v>
      </c>
      <c r="K258" s="2" t="str">
        <f t="shared" si="19"/>
        <v xml:space="preserve"> </v>
      </c>
      <c r="L258" s="2" t="str">
        <f t="shared" si="16"/>
        <v xml:space="preserve"> </v>
      </c>
      <c r="M258" s="2" t="str">
        <f t="shared" si="17"/>
        <v xml:space="preserve"> </v>
      </c>
    </row>
    <row r="259" spans="1:13" x14ac:dyDescent="0.25">
      <c r="A259" s="40" t="str">
        <f t="shared" si="15"/>
        <v xml:space="preserve"> </v>
      </c>
      <c r="D259" s="39"/>
      <c r="E259" s="39"/>
      <c r="J259" s="15">
        <f t="shared" si="18"/>
        <v>0</v>
      </c>
      <c r="K259" s="2" t="str">
        <f t="shared" si="19"/>
        <v xml:space="preserve"> </v>
      </c>
      <c r="L259" s="2" t="str">
        <f t="shared" si="16"/>
        <v xml:space="preserve"> </v>
      </c>
      <c r="M259" s="2" t="str">
        <f t="shared" si="17"/>
        <v xml:space="preserve"> </v>
      </c>
    </row>
    <row r="260" spans="1:13" x14ac:dyDescent="0.25">
      <c r="A260" s="40" t="str">
        <f t="shared" si="15"/>
        <v xml:space="preserve"> </v>
      </c>
      <c r="D260" s="39"/>
      <c r="E260" s="39"/>
      <c r="J260" s="15">
        <f t="shared" si="18"/>
        <v>0</v>
      </c>
      <c r="K260" s="2" t="str">
        <f t="shared" si="19"/>
        <v xml:space="preserve"> </v>
      </c>
      <c r="L260" s="2" t="str">
        <f t="shared" si="16"/>
        <v xml:space="preserve"> </v>
      </c>
      <c r="M260" s="2" t="str">
        <f t="shared" si="17"/>
        <v xml:space="preserve"> </v>
      </c>
    </row>
    <row r="261" spans="1:13" x14ac:dyDescent="0.25">
      <c r="A261" s="40" t="str">
        <f t="shared" si="15"/>
        <v xml:space="preserve"> </v>
      </c>
      <c r="D261" s="39"/>
      <c r="E261" s="39"/>
      <c r="J261" s="15">
        <f t="shared" si="18"/>
        <v>0</v>
      </c>
      <c r="K261" s="2" t="str">
        <f t="shared" si="19"/>
        <v xml:space="preserve"> </v>
      </c>
      <c r="L261" s="2" t="str">
        <f t="shared" si="16"/>
        <v xml:space="preserve"> </v>
      </c>
      <c r="M261" s="2" t="str">
        <f t="shared" si="17"/>
        <v xml:space="preserve"> </v>
      </c>
    </row>
    <row r="262" spans="1:13" x14ac:dyDescent="0.25">
      <c r="A262" s="40" t="str">
        <f t="shared" si="15"/>
        <v xml:space="preserve"> </v>
      </c>
      <c r="D262" s="39"/>
      <c r="E262" s="39"/>
      <c r="J262" s="15">
        <f t="shared" si="18"/>
        <v>0</v>
      </c>
      <c r="K262" s="2" t="str">
        <f t="shared" si="19"/>
        <v xml:space="preserve"> </v>
      </c>
      <c r="L262" s="2" t="str">
        <f t="shared" si="16"/>
        <v xml:space="preserve"> </v>
      </c>
      <c r="M262" s="2" t="str">
        <f t="shared" si="17"/>
        <v xml:space="preserve"> </v>
      </c>
    </row>
    <row r="263" spans="1:13" x14ac:dyDescent="0.25">
      <c r="A263" s="40" t="str">
        <f t="shared" si="15"/>
        <v xml:space="preserve"> </v>
      </c>
      <c r="D263" s="39"/>
      <c r="E263" s="39"/>
      <c r="J263" s="15">
        <f t="shared" si="18"/>
        <v>0</v>
      </c>
      <c r="K263" s="2" t="str">
        <f t="shared" si="19"/>
        <v xml:space="preserve"> </v>
      </c>
      <c r="L263" s="2" t="str">
        <f t="shared" si="16"/>
        <v xml:space="preserve"> </v>
      </c>
      <c r="M263" s="2" t="str">
        <f t="shared" si="17"/>
        <v xml:space="preserve"> </v>
      </c>
    </row>
    <row r="264" spans="1:13" x14ac:dyDescent="0.25">
      <c r="A264" s="40" t="str">
        <f t="shared" si="15"/>
        <v xml:space="preserve"> </v>
      </c>
      <c r="D264" s="39"/>
      <c r="E264" s="39"/>
      <c r="J264" s="15">
        <f t="shared" si="18"/>
        <v>0</v>
      </c>
      <c r="K264" s="2" t="str">
        <f t="shared" si="19"/>
        <v xml:space="preserve"> </v>
      </c>
      <c r="L264" s="2" t="str">
        <f t="shared" si="16"/>
        <v xml:space="preserve"> </v>
      </c>
      <c r="M264" s="2" t="str">
        <f t="shared" si="17"/>
        <v xml:space="preserve"> </v>
      </c>
    </row>
    <row r="265" spans="1:13" x14ac:dyDescent="0.25">
      <c r="A265" s="40" t="str">
        <f t="shared" si="15"/>
        <v xml:space="preserve"> </v>
      </c>
      <c r="D265" s="39"/>
      <c r="E265" s="39"/>
      <c r="J265" s="15">
        <f t="shared" si="18"/>
        <v>0</v>
      </c>
      <c r="K265" s="2" t="str">
        <f t="shared" si="19"/>
        <v xml:space="preserve"> </v>
      </c>
      <c r="L265" s="2" t="str">
        <f t="shared" si="16"/>
        <v xml:space="preserve"> </v>
      </c>
      <c r="M265" s="2" t="str">
        <f t="shared" si="17"/>
        <v xml:space="preserve"> </v>
      </c>
    </row>
    <row r="266" spans="1:13" x14ac:dyDescent="0.25">
      <c r="A266" s="40" t="str">
        <f t="shared" si="15"/>
        <v xml:space="preserve"> </v>
      </c>
      <c r="D266" s="39"/>
      <c r="E266" s="39"/>
      <c r="J266" s="15">
        <f t="shared" si="18"/>
        <v>0</v>
      </c>
      <c r="K266" s="2" t="str">
        <f t="shared" si="19"/>
        <v xml:space="preserve"> </v>
      </c>
      <c r="L266" s="2" t="str">
        <f t="shared" si="16"/>
        <v xml:space="preserve"> </v>
      </c>
      <c r="M266" s="2" t="str">
        <f t="shared" si="17"/>
        <v xml:space="preserve"> </v>
      </c>
    </row>
    <row r="267" spans="1:13" x14ac:dyDescent="0.25">
      <c r="A267" s="40" t="str">
        <f t="shared" si="15"/>
        <v xml:space="preserve"> </v>
      </c>
      <c r="D267" s="39"/>
      <c r="E267" s="39"/>
      <c r="J267" s="15">
        <f t="shared" si="18"/>
        <v>0</v>
      </c>
      <c r="K267" s="2" t="str">
        <f t="shared" si="19"/>
        <v xml:space="preserve"> </v>
      </c>
      <c r="L267" s="2" t="str">
        <f t="shared" si="16"/>
        <v xml:space="preserve"> </v>
      </c>
      <c r="M267" s="2" t="str">
        <f t="shared" si="17"/>
        <v xml:space="preserve"> </v>
      </c>
    </row>
    <row r="268" spans="1:13" x14ac:dyDescent="0.25">
      <c r="A268" s="40" t="str">
        <f t="shared" si="15"/>
        <v xml:space="preserve"> </v>
      </c>
      <c r="D268" s="39"/>
      <c r="E268" s="39"/>
      <c r="J268" s="15">
        <f t="shared" si="18"/>
        <v>0</v>
      </c>
      <c r="K268" s="2" t="str">
        <f t="shared" si="19"/>
        <v xml:space="preserve"> </v>
      </c>
      <c r="L268" s="2" t="str">
        <f t="shared" si="16"/>
        <v xml:space="preserve"> </v>
      </c>
      <c r="M268" s="2" t="str">
        <f t="shared" si="17"/>
        <v xml:space="preserve"> </v>
      </c>
    </row>
    <row r="269" spans="1:13" x14ac:dyDescent="0.25">
      <c r="A269" s="40" t="str">
        <f t="shared" si="15"/>
        <v xml:space="preserve"> </v>
      </c>
      <c r="D269" s="39"/>
      <c r="E269" s="39"/>
      <c r="J269" s="15">
        <f t="shared" si="18"/>
        <v>0</v>
      </c>
      <c r="K269" s="2" t="str">
        <f t="shared" si="19"/>
        <v xml:space="preserve"> </v>
      </c>
      <c r="L269" s="2" t="str">
        <f t="shared" si="16"/>
        <v xml:space="preserve"> </v>
      </c>
      <c r="M269" s="2" t="str">
        <f t="shared" si="17"/>
        <v xml:space="preserve"> </v>
      </c>
    </row>
    <row r="270" spans="1:13" x14ac:dyDescent="0.25">
      <c r="A270" s="40" t="str">
        <f t="shared" si="15"/>
        <v xml:space="preserve"> </v>
      </c>
      <c r="D270" s="39"/>
      <c r="E270" s="39"/>
      <c r="J270" s="15">
        <f t="shared" si="18"/>
        <v>0</v>
      </c>
      <c r="K270" s="2" t="str">
        <f t="shared" si="19"/>
        <v xml:space="preserve"> </v>
      </c>
      <c r="L270" s="2" t="str">
        <f t="shared" si="16"/>
        <v xml:space="preserve"> </v>
      </c>
      <c r="M270" s="2" t="str">
        <f t="shared" si="17"/>
        <v xml:space="preserve"> </v>
      </c>
    </row>
    <row r="271" spans="1:13" x14ac:dyDescent="0.25">
      <c r="A271" s="40" t="str">
        <f t="shared" ref="A271:A334" si="20">IF(COUNTIF(K271:M271,"ERROR")&gt;0,"ERROR"," ")</f>
        <v xml:space="preserve"> </v>
      </c>
      <c r="D271" s="39"/>
      <c r="E271" s="39"/>
      <c r="J271" s="15">
        <f t="shared" si="18"/>
        <v>0</v>
      </c>
      <c r="K271" s="2" t="str">
        <f t="shared" si="19"/>
        <v xml:space="preserve"> </v>
      </c>
      <c r="L271" s="2" t="str">
        <f t="shared" ref="L271:L334" si="21">IF(D271=0," ",IF(COUNTIF(ProfitLoss4,D271)&gt;0," ","ERROR"))</f>
        <v xml:space="preserve"> </v>
      </c>
      <c r="M271" s="2" t="str">
        <f t="shared" ref="M271:M334" si="22">IF(E271=0," ",IF(COUNTIF(BalanceSheet4,E271)&gt;0," ","ERROR"))</f>
        <v xml:space="preserve"> </v>
      </c>
    </row>
    <row r="272" spans="1:13" x14ac:dyDescent="0.25">
      <c r="A272" s="40" t="str">
        <f t="shared" si="20"/>
        <v xml:space="preserve"> </v>
      </c>
      <c r="D272" s="39"/>
      <c r="E272" s="39"/>
      <c r="J272" s="15">
        <f t="shared" ref="J272:J335" si="23">F272-G272+H272-I272</f>
        <v>0</v>
      </c>
      <c r="K272" s="2" t="str">
        <f t="shared" ref="K272:K335" si="24">IF(COUNTA(D272:E272)=2,"ERROR"," ")</f>
        <v xml:space="preserve"> </v>
      </c>
      <c r="L272" s="2" t="str">
        <f t="shared" si="21"/>
        <v xml:space="preserve"> </v>
      </c>
      <c r="M272" s="2" t="str">
        <f t="shared" si="22"/>
        <v xml:space="preserve"> </v>
      </c>
    </row>
    <row r="273" spans="1:13" x14ac:dyDescent="0.25">
      <c r="A273" s="40" t="str">
        <f t="shared" si="20"/>
        <v xml:space="preserve"> </v>
      </c>
      <c r="D273" s="39"/>
      <c r="E273" s="39"/>
      <c r="J273" s="15">
        <f t="shared" si="23"/>
        <v>0</v>
      </c>
      <c r="K273" s="2" t="str">
        <f t="shared" si="24"/>
        <v xml:space="preserve"> </v>
      </c>
      <c r="L273" s="2" t="str">
        <f t="shared" si="21"/>
        <v xml:space="preserve"> </v>
      </c>
      <c r="M273" s="2" t="str">
        <f t="shared" si="22"/>
        <v xml:space="preserve"> </v>
      </c>
    </row>
    <row r="274" spans="1:13" x14ac:dyDescent="0.25">
      <c r="A274" s="40" t="str">
        <f t="shared" si="20"/>
        <v xml:space="preserve"> </v>
      </c>
      <c r="D274" s="39"/>
      <c r="E274" s="39"/>
      <c r="J274" s="15">
        <f t="shared" si="23"/>
        <v>0</v>
      </c>
      <c r="K274" s="2" t="str">
        <f t="shared" si="24"/>
        <v xml:space="preserve"> </v>
      </c>
      <c r="L274" s="2" t="str">
        <f t="shared" si="21"/>
        <v xml:space="preserve"> </v>
      </c>
      <c r="M274" s="2" t="str">
        <f t="shared" si="22"/>
        <v xml:space="preserve"> </v>
      </c>
    </row>
    <row r="275" spans="1:13" x14ac:dyDescent="0.25">
      <c r="A275" s="40" t="str">
        <f t="shared" si="20"/>
        <v xml:space="preserve"> </v>
      </c>
      <c r="D275" s="39"/>
      <c r="E275" s="39"/>
      <c r="J275" s="15">
        <f t="shared" si="23"/>
        <v>0</v>
      </c>
      <c r="K275" s="2" t="str">
        <f t="shared" si="24"/>
        <v xml:space="preserve"> </v>
      </c>
      <c r="L275" s="2" t="str">
        <f t="shared" si="21"/>
        <v xml:space="preserve"> </v>
      </c>
      <c r="M275" s="2" t="str">
        <f t="shared" si="22"/>
        <v xml:space="preserve"> </v>
      </c>
    </row>
    <row r="276" spans="1:13" x14ac:dyDescent="0.25">
      <c r="A276" s="40" t="str">
        <f t="shared" si="20"/>
        <v xml:space="preserve"> </v>
      </c>
      <c r="D276" s="39"/>
      <c r="E276" s="39"/>
      <c r="J276" s="15">
        <f t="shared" si="23"/>
        <v>0</v>
      </c>
      <c r="K276" s="2" t="str">
        <f t="shared" si="24"/>
        <v xml:space="preserve"> </v>
      </c>
      <c r="L276" s="2" t="str">
        <f t="shared" si="21"/>
        <v xml:space="preserve"> </v>
      </c>
      <c r="M276" s="2" t="str">
        <f t="shared" si="22"/>
        <v xml:space="preserve"> </v>
      </c>
    </row>
    <row r="277" spans="1:13" x14ac:dyDescent="0.25">
      <c r="A277" s="40" t="str">
        <f t="shared" si="20"/>
        <v xml:space="preserve"> </v>
      </c>
      <c r="D277" s="39"/>
      <c r="E277" s="39"/>
      <c r="J277" s="15">
        <f t="shared" si="23"/>
        <v>0</v>
      </c>
      <c r="K277" s="2" t="str">
        <f t="shared" si="24"/>
        <v xml:space="preserve"> </v>
      </c>
      <c r="L277" s="2" t="str">
        <f t="shared" si="21"/>
        <v xml:space="preserve"> </v>
      </c>
      <c r="M277" s="2" t="str">
        <f t="shared" si="22"/>
        <v xml:space="preserve"> </v>
      </c>
    </row>
    <row r="278" spans="1:13" x14ac:dyDescent="0.25">
      <c r="A278" s="40" t="str">
        <f t="shared" si="20"/>
        <v xml:space="preserve"> </v>
      </c>
      <c r="D278" s="39"/>
      <c r="E278" s="39"/>
      <c r="J278" s="15">
        <f t="shared" si="23"/>
        <v>0</v>
      </c>
      <c r="K278" s="2" t="str">
        <f t="shared" si="24"/>
        <v xml:space="preserve"> </v>
      </c>
      <c r="L278" s="2" t="str">
        <f t="shared" si="21"/>
        <v xml:space="preserve"> </v>
      </c>
      <c r="M278" s="2" t="str">
        <f t="shared" si="22"/>
        <v xml:space="preserve"> </v>
      </c>
    </row>
    <row r="279" spans="1:13" x14ac:dyDescent="0.25">
      <c r="A279" s="40" t="str">
        <f t="shared" si="20"/>
        <v xml:space="preserve"> </v>
      </c>
      <c r="D279" s="39"/>
      <c r="E279" s="39"/>
      <c r="J279" s="15">
        <f t="shared" si="23"/>
        <v>0</v>
      </c>
      <c r="K279" s="2" t="str">
        <f t="shared" si="24"/>
        <v xml:space="preserve"> </v>
      </c>
      <c r="L279" s="2" t="str">
        <f t="shared" si="21"/>
        <v xml:space="preserve"> </v>
      </c>
      <c r="M279" s="2" t="str">
        <f t="shared" si="22"/>
        <v xml:space="preserve"> </v>
      </c>
    </row>
    <row r="280" spans="1:13" x14ac:dyDescent="0.25">
      <c r="A280" s="40" t="str">
        <f t="shared" si="20"/>
        <v xml:space="preserve"> </v>
      </c>
      <c r="D280" s="39"/>
      <c r="E280" s="39"/>
      <c r="J280" s="15">
        <f t="shared" si="23"/>
        <v>0</v>
      </c>
      <c r="K280" s="2" t="str">
        <f t="shared" si="24"/>
        <v xml:space="preserve"> </v>
      </c>
      <c r="L280" s="2" t="str">
        <f t="shared" si="21"/>
        <v xml:space="preserve"> </v>
      </c>
      <c r="M280" s="2" t="str">
        <f t="shared" si="22"/>
        <v xml:space="preserve"> </v>
      </c>
    </row>
    <row r="281" spans="1:13" x14ac:dyDescent="0.25">
      <c r="A281" s="40" t="str">
        <f t="shared" si="20"/>
        <v xml:space="preserve"> </v>
      </c>
      <c r="D281" s="39"/>
      <c r="E281" s="39"/>
      <c r="J281" s="15">
        <f t="shared" si="23"/>
        <v>0</v>
      </c>
      <c r="K281" s="2" t="str">
        <f t="shared" si="24"/>
        <v xml:space="preserve"> </v>
      </c>
      <c r="L281" s="2" t="str">
        <f t="shared" si="21"/>
        <v xml:space="preserve"> </v>
      </c>
      <c r="M281" s="2" t="str">
        <f t="shared" si="22"/>
        <v xml:space="preserve"> </v>
      </c>
    </row>
    <row r="282" spans="1:13" x14ac:dyDescent="0.25">
      <c r="A282" s="40" t="str">
        <f t="shared" si="20"/>
        <v xml:space="preserve"> </v>
      </c>
      <c r="D282" s="39"/>
      <c r="E282" s="39"/>
      <c r="J282" s="15">
        <f t="shared" si="23"/>
        <v>0</v>
      </c>
      <c r="K282" s="2" t="str">
        <f t="shared" si="24"/>
        <v xml:space="preserve"> </v>
      </c>
      <c r="L282" s="2" t="str">
        <f t="shared" si="21"/>
        <v xml:space="preserve"> </v>
      </c>
      <c r="M282" s="2" t="str">
        <f t="shared" si="22"/>
        <v xml:space="preserve"> </v>
      </c>
    </row>
    <row r="283" spans="1:13" x14ac:dyDescent="0.25">
      <c r="A283" s="40" t="str">
        <f t="shared" si="20"/>
        <v xml:space="preserve"> </v>
      </c>
      <c r="D283" s="39"/>
      <c r="E283" s="39"/>
      <c r="J283" s="15">
        <f t="shared" si="23"/>
        <v>0</v>
      </c>
      <c r="K283" s="2" t="str">
        <f t="shared" si="24"/>
        <v xml:space="preserve"> </v>
      </c>
      <c r="L283" s="2" t="str">
        <f t="shared" si="21"/>
        <v xml:space="preserve"> </v>
      </c>
      <c r="M283" s="2" t="str">
        <f t="shared" si="22"/>
        <v xml:space="preserve"> </v>
      </c>
    </row>
    <row r="284" spans="1:13" x14ac:dyDescent="0.25">
      <c r="A284" s="40" t="str">
        <f t="shared" si="20"/>
        <v xml:space="preserve"> </v>
      </c>
      <c r="D284" s="39"/>
      <c r="E284" s="39"/>
      <c r="J284" s="15">
        <f t="shared" si="23"/>
        <v>0</v>
      </c>
      <c r="K284" s="2" t="str">
        <f t="shared" si="24"/>
        <v xml:space="preserve"> </v>
      </c>
      <c r="L284" s="2" t="str">
        <f t="shared" si="21"/>
        <v xml:space="preserve"> </v>
      </c>
      <c r="M284" s="2" t="str">
        <f t="shared" si="22"/>
        <v xml:space="preserve"> </v>
      </c>
    </row>
    <row r="285" spans="1:13" x14ac:dyDescent="0.25">
      <c r="A285" s="40" t="str">
        <f t="shared" si="20"/>
        <v xml:space="preserve"> </v>
      </c>
      <c r="D285" s="39"/>
      <c r="E285" s="39"/>
      <c r="J285" s="15">
        <f t="shared" si="23"/>
        <v>0</v>
      </c>
      <c r="K285" s="2" t="str">
        <f t="shared" si="24"/>
        <v xml:space="preserve"> </v>
      </c>
      <c r="L285" s="2" t="str">
        <f t="shared" si="21"/>
        <v xml:space="preserve"> </v>
      </c>
      <c r="M285" s="2" t="str">
        <f t="shared" si="22"/>
        <v xml:space="preserve"> </v>
      </c>
    </row>
    <row r="286" spans="1:13" x14ac:dyDescent="0.25">
      <c r="A286" s="40" t="str">
        <f t="shared" si="20"/>
        <v xml:space="preserve"> </v>
      </c>
      <c r="D286" s="39"/>
      <c r="E286" s="39"/>
      <c r="J286" s="15">
        <f t="shared" si="23"/>
        <v>0</v>
      </c>
      <c r="K286" s="2" t="str">
        <f t="shared" si="24"/>
        <v xml:space="preserve"> </v>
      </c>
      <c r="L286" s="2" t="str">
        <f t="shared" si="21"/>
        <v xml:space="preserve"> </v>
      </c>
      <c r="M286" s="2" t="str">
        <f t="shared" si="22"/>
        <v xml:space="preserve"> </v>
      </c>
    </row>
    <row r="287" spans="1:13" x14ac:dyDescent="0.25">
      <c r="A287" s="40" t="str">
        <f t="shared" si="20"/>
        <v xml:space="preserve"> </v>
      </c>
      <c r="D287" s="39"/>
      <c r="E287" s="39"/>
      <c r="J287" s="15">
        <f t="shared" si="23"/>
        <v>0</v>
      </c>
      <c r="K287" s="2" t="str">
        <f t="shared" si="24"/>
        <v xml:space="preserve"> </v>
      </c>
      <c r="L287" s="2" t="str">
        <f t="shared" si="21"/>
        <v xml:space="preserve"> </v>
      </c>
      <c r="M287" s="2" t="str">
        <f t="shared" si="22"/>
        <v xml:space="preserve"> </v>
      </c>
    </row>
    <row r="288" spans="1:13" x14ac:dyDescent="0.25">
      <c r="A288" s="40" t="str">
        <f t="shared" si="20"/>
        <v xml:space="preserve"> </v>
      </c>
      <c r="D288" s="39"/>
      <c r="E288" s="39"/>
      <c r="J288" s="15">
        <f t="shared" si="23"/>
        <v>0</v>
      </c>
      <c r="K288" s="2" t="str">
        <f t="shared" si="24"/>
        <v xml:space="preserve"> </v>
      </c>
      <c r="L288" s="2" t="str">
        <f t="shared" si="21"/>
        <v xml:space="preserve"> </v>
      </c>
      <c r="M288" s="2" t="str">
        <f t="shared" si="22"/>
        <v xml:space="preserve"> </v>
      </c>
    </row>
    <row r="289" spans="1:13" x14ac:dyDescent="0.25">
      <c r="A289" s="40" t="str">
        <f t="shared" si="20"/>
        <v xml:space="preserve"> </v>
      </c>
      <c r="D289" s="39"/>
      <c r="E289" s="39"/>
      <c r="J289" s="15">
        <f t="shared" si="23"/>
        <v>0</v>
      </c>
      <c r="K289" s="2" t="str">
        <f t="shared" si="24"/>
        <v xml:space="preserve"> </v>
      </c>
      <c r="L289" s="2" t="str">
        <f t="shared" si="21"/>
        <v xml:space="preserve"> </v>
      </c>
      <c r="M289" s="2" t="str">
        <f t="shared" si="22"/>
        <v xml:space="preserve"> </v>
      </c>
    </row>
    <row r="290" spans="1:13" x14ac:dyDescent="0.25">
      <c r="A290" s="40" t="str">
        <f t="shared" si="20"/>
        <v xml:space="preserve"> </v>
      </c>
      <c r="D290" s="39"/>
      <c r="E290" s="39"/>
      <c r="J290" s="15">
        <f t="shared" si="23"/>
        <v>0</v>
      </c>
      <c r="K290" s="2" t="str">
        <f t="shared" si="24"/>
        <v xml:space="preserve"> </v>
      </c>
      <c r="L290" s="2" t="str">
        <f t="shared" si="21"/>
        <v xml:space="preserve"> </v>
      </c>
      <c r="M290" s="2" t="str">
        <f t="shared" si="22"/>
        <v xml:space="preserve"> </v>
      </c>
    </row>
    <row r="291" spans="1:13" x14ac:dyDescent="0.25">
      <c r="A291" s="40" t="str">
        <f t="shared" si="20"/>
        <v xml:space="preserve"> </v>
      </c>
      <c r="D291" s="39"/>
      <c r="E291" s="39"/>
      <c r="J291" s="15">
        <f t="shared" si="23"/>
        <v>0</v>
      </c>
      <c r="K291" s="2" t="str">
        <f t="shared" si="24"/>
        <v xml:space="preserve"> </v>
      </c>
      <c r="L291" s="2" t="str">
        <f t="shared" si="21"/>
        <v xml:space="preserve"> </v>
      </c>
      <c r="M291" s="2" t="str">
        <f t="shared" si="22"/>
        <v xml:space="preserve"> </v>
      </c>
    </row>
    <row r="292" spans="1:13" x14ac:dyDescent="0.25">
      <c r="A292" s="40" t="str">
        <f t="shared" si="20"/>
        <v xml:space="preserve"> </v>
      </c>
      <c r="D292" s="39"/>
      <c r="E292" s="39"/>
      <c r="J292" s="15">
        <f t="shared" si="23"/>
        <v>0</v>
      </c>
      <c r="K292" s="2" t="str">
        <f t="shared" si="24"/>
        <v xml:space="preserve"> </v>
      </c>
      <c r="L292" s="2" t="str">
        <f t="shared" si="21"/>
        <v xml:space="preserve"> </v>
      </c>
      <c r="M292" s="2" t="str">
        <f t="shared" si="22"/>
        <v xml:space="preserve"> </v>
      </c>
    </row>
    <row r="293" spans="1:13" x14ac:dyDescent="0.25">
      <c r="A293" s="40" t="str">
        <f t="shared" si="20"/>
        <v xml:space="preserve"> </v>
      </c>
      <c r="D293" s="39"/>
      <c r="E293" s="39"/>
      <c r="J293" s="15">
        <f t="shared" si="23"/>
        <v>0</v>
      </c>
      <c r="K293" s="2" t="str">
        <f t="shared" si="24"/>
        <v xml:space="preserve"> </v>
      </c>
      <c r="L293" s="2" t="str">
        <f t="shared" si="21"/>
        <v xml:space="preserve"> </v>
      </c>
      <c r="M293" s="2" t="str">
        <f t="shared" si="22"/>
        <v xml:space="preserve"> </v>
      </c>
    </row>
    <row r="294" spans="1:13" x14ac:dyDescent="0.25">
      <c r="A294" s="40" t="str">
        <f t="shared" si="20"/>
        <v xml:space="preserve"> </v>
      </c>
      <c r="D294" s="39"/>
      <c r="E294" s="39"/>
      <c r="J294" s="15">
        <f t="shared" si="23"/>
        <v>0</v>
      </c>
      <c r="K294" s="2" t="str">
        <f t="shared" si="24"/>
        <v xml:space="preserve"> </v>
      </c>
      <c r="L294" s="2" t="str">
        <f t="shared" si="21"/>
        <v xml:space="preserve"> </v>
      </c>
      <c r="M294" s="2" t="str">
        <f t="shared" si="22"/>
        <v xml:space="preserve"> </v>
      </c>
    </row>
    <row r="295" spans="1:13" x14ac:dyDescent="0.25">
      <c r="A295" s="40" t="str">
        <f t="shared" si="20"/>
        <v xml:space="preserve"> </v>
      </c>
      <c r="D295" s="39"/>
      <c r="E295" s="39"/>
      <c r="J295" s="15">
        <f t="shared" si="23"/>
        <v>0</v>
      </c>
      <c r="K295" s="2" t="str">
        <f t="shared" si="24"/>
        <v xml:space="preserve"> </v>
      </c>
      <c r="L295" s="2" t="str">
        <f t="shared" si="21"/>
        <v xml:space="preserve"> </v>
      </c>
      <c r="M295" s="2" t="str">
        <f t="shared" si="22"/>
        <v xml:space="preserve"> </v>
      </c>
    </row>
    <row r="296" spans="1:13" x14ac:dyDescent="0.25">
      <c r="A296" s="40" t="str">
        <f t="shared" si="20"/>
        <v xml:space="preserve"> </v>
      </c>
      <c r="D296" s="39"/>
      <c r="E296" s="39"/>
      <c r="J296" s="15">
        <f t="shared" si="23"/>
        <v>0</v>
      </c>
      <c r="K296" s="2" t="str">
        <f t="shared" si="24"/>
        <v xml:space="preserve"> </v>
      </c>
      <c r="L296" s="2" t="str">
        <f t="shared" si="21"/>
        <v xml:space="preserve"> </v>
      </c>
      <c r="M296" s="2" t="str">
        <f t="shared" si="22"/>
        <v xml:space="preserve"> </v>
      </c>
    </row>
    <row r="297" spans="1:13" x14ac:dyDescent="0.25">
      <c r="A297" s="40" t="str">
        <f t="shared" si="20"/>
        <v xml:space="preserve"> </v>
      </c>
      <c r="D297" s="39"/>
      <c r="E297" s="39"/>
      <c r="J297" s="15">
        <f t="shared" si="23"/>
        <v>0</v>
      </c>
      <c r="K297" s="2" t="str">
        <f t="shared" si="24"/>
        <v xml:space="preserve"> </v>
      </c>
      <c r="L297" s="2" t="str">
        <f t="shared" si="21"/>
        <v xml:space="preserve"> </v>
      </c>
      <c r="M297" s="2" t="str">
        <f t="shared" si="22"/>
        <v xml:space="preserve"> </v>
      </c>
    </row>
    <row r="298" spans="1:13" x14ac:dyDescent="0.25">
      <c r="A298" s="40" t="str">
        <f t="shared" si="20"/>
        <v xml:space="preserve"> </v>
      </c>
      <c r="D298" s="39"/>
      <c r="E298" s="39"/>
      <c r="J298" s="15">
        <f t="shared" si="23"/>
        <v>0</v>
      </c>
      <c r="K298" s="2" t="str">
        <f t="shared" si="24"/>
        <v xml:space="preserve"> </v>
      </c>
      <c r="L298" s="2" t="str">
        <f t="shared" si="21"/>
        <v xml:space="preserve"> </v>
      </c>
      <c r="M298" s="2" t="str">
        <f t="shared" si="22"/>
        <v xml:space="preserve"> </v>
      </c>
    </row>
    <row r="299" spans="1:13" x14ac:dyDescent="0.25">
      <c r="A299" s="40" t="str">
        <f t="shared" si="20"/>
        <v xml:space="preserve"> </v>
      </c>
      <c r="D299" s="39"/>
      <c r="E299" s="39"/>
      <c r="J299" s="15">
        <f t="shared" si="23"/>
        <v>0</v>
      </c>
      <c r="K299" s="2" t="str">
        <f t="shared" si="24"/>
        <v xml:space="preserve"> </v>
      </c>
      <c r="L299" s="2" t="str">
        <f t="shared" si="21"/>
        <v xml:space="preserve"> </v>
      </c>
      <c r="M299" s="2" t="str">
        <f t="shared" si="22"/>
        <v xml:space="preserve"> </v>
      </c>
    </row>
    <row r="300" spans="1:13" x14ac:dyDescent="0.25">
      <c r="A300" s="40" t="str">
        <f t="shared" si="20"/>
        <v xml:space="preserve"> </v>
      </c>
      <c r="D300" s="39"/>
      <c r="E300" s="39"/>
      <c r="J300" s="15">
        <f t="shared" si="23"/>
        <v>0</v>
      </c>
      <c r="K300" s="2" t="str">
        <f t="shared" si="24"/>
        <v xml:space="preserve"> </v>
      </c>
      <c r="L300" s="2" t="str">
        <f t="shared" si="21"/>
        <v xml:space="preserve"> </v>
      </c>
      <c r="M300" s="2" t="str">
        <f t="shared" si="22"/>
        <v xml:space="preserve"> </v>
      </c>
    </row>
    <row r="301" spans="1:13" x14ac:dyDescent="0.25">
      <c r="A301" s="40" t="str">
        <f t="shared" si="20"/>
        <v xml:space="preserve"> </v>
      </c>
      <c r="D301" s="39"/>
      <c r="E301" s="39"/>
      <c r="J301" s="15">
        <f t="shared" si="23"/>
        <v>0</v>
      </c>
      <c r="K301" s="2" t="str">
        <f t="shared" si="24"/>
        <v xml:space="preserve"> </v>
      </c>
      <c r="L301" s="2" t="str">
        <f t="shared" si="21"/>
        <v xml:space="preserve"> </v>
      </c>
      <c r="M301" s="2" t="str">
        <f t="shared" si="22"/>
        <v xml:space="preserve"> </v>
      </c>
    </row>
    <row r="302" spans="1:13" x14ac:dyDescent="0.25">
      <c r="A302" s="40" t="str">
        <f t="shared" si="20"/>
        <v xml:space="preserve"> </v>
      </c>
      <c r="D302" s="39"/>
      <c r="E302" s="39"/>
      <c r="J302" s="15">
        <f t="shared" si="23"/>
        <v>0</v>
      </c>
      <c r="K302" s="2" t="str">
        <f t="shared" si="24"/>
        <v xml:space="preserve"> </v>
      </c>
      <c r="L302" s="2" t="str">
        <f t="shared" si="21"/>
        <v xml:space="preserve"> </v>
      </c>
      <c r="M302" s="2" t="str">
        <f t="shared" si="22"/>
        <v xml:space="preserve"> </v>
      </c>
    </row>
    <row r="303" spans="1:13" x14ac:dyDescent="0.25">
      <c r="A303" s="40" t="str">
        <f t="shared" si="20"/>
        <v xml:space="preserve"> </v>
      </c>
      <c r="D303" s="39"/>
      <c r="E303" s="39"/>
      <c r="J303" s="15">
        <f t="shared" si="23"/>
        <v>0</v>
      </c>
      <c r="K303" s="2" t="str">
        <f t="shared" si="24"/>
        <v xml:space="preserve"> </v>
      </c>
      <c r="L303" s="2" t="str">
        <f t="shared" si="21"/>
        <v xml:space="preserve"> </v>
      </c>
      <c r="M303" s="2" t="str">
        <f t="shared" si="22"/>
        <v xml:space="preserve"> </v>
      </c>
    </row>
    <row r="304" spans="1:13" x14ac:dyDescent="0.25">
      <c r="A304" s="40" t="str">
        <f t="shared" si="20"/>
        <v xml:space="preserve"> </v>
      </c>
      <c r="D304" s="39"/>
      <c r="E304" s="39"/>
      <c r="J304" s="15">
        <f t="shared" si="23"/>
        <v>0</v>
      </c>
      <c r="K304" s="2" t="str">
        <f t="shared" si="24"/>
        <v xml:space="preserve"> </v>
      </c>
      <c r="L304" s="2" t="str">
        <f t="shared" si="21"/>
        <v xml:space="preserve"> </v>
      </c>
      <c r="M304" s="2" t="str">
        <f t="shared" si="22"/>
        <v xml:space="preserve"> </v>
      </c>
    </row>
    <row r="305" spans="1:13" x14ac:dyDescent="0.25">
      <c r="A305" s="40" t="str">
        <f t="shared" si="20"/>
        <v xml:space="preserve"> </v>
      </c>
      <c r="D305" s="39"/>
      <c r="E305" s="39"/>
      <c r="J305" s="15">
        <f t="shared" si="23"/>
        <v>0</v>
      </c>
      <c r="K305" s="2" t="str">
        <f t="shared" si="24"/>
        <v xml:space="preserve"> </v>
      </c>
      <c r="L305" s="2" t="str">
        <f t="shared" si="21"/>
        <v xml:space="preserve"> </v>
      </c>
      <c r="M305" s="2" t="str">
        <f t="shared" si="22"/>
        <v xml:space="preserve"> </v>
      </c>
    </row>
    <row r="306" spans="1:13" x14ac:dyDescent="0.25">
      <c r="A306" s="40" t="str">
        <f t="shared" si="20"/>
        <v xml:space="preserve"> </v>
      </c>
      <c r="D306" s="39"/>
      <c r="E306" s="39"/>
      <c r="J306" s="15">
        <f t="shared" si="23"/>
        <v>0</v>
      </c>
      <c r="K306" s="2" t="str">
        <f t="shared" si="24"/>
        <v xml:space="preserve"> </v>
      </c>
      <c r="L306" s="2" t="str">
        <f t="shared" si="21"/>
        <v xml:space="preserve"> </v>
      </c>
      <c r="M306" s="2" t="str">
        <f t="shared" si="22"/>
        <v xml:space="preserve"> </v>
      </c>
    </row>
    <row r="307" spans="1:13" x14ac:dyDescent="0.25">
      <c r="A307" s="40" t="str">
        <f t="shared" si="20"/>
        <v xml:space="preserve"> </v>
      </c>
      <c r="D307" s="39"/>
      <c r="E307" s="39"/>
      <c r="J307" s="15">
        <f t="shared" si="23"/>
        <v>0</v>
      </c>
      <c r="K307" s="2" t="str">
        <f t="shared" si="24"/>
        <v xml:space="preserve"> </v>
      </c>
      <c r="L307" s="2" t="str">
        <f t="shared" si="21"/>
        <v xml:space="preserve"> </v>
      </c>
      <c r="M307" s="2" t="str">
        <f t="shared" si="22"/>
        <v xml:space="preserve"> </v>
      </c>
    </row>
    <row r="308" spans="1:13" x14ac:dyDescent="0.25">
      <c r="A308" s="40" t="str">
        <f t="shared" si="20"/>
        <v xml:space="preserve"> </v>
      </c>
      <c r="D308" s="39"/>
      <c r="E308" s="39"/>
      <c r="J308" s="15">
        <f t="shared" si="23"/>
        <v>0</v>
      </c>
      <c r="K308" s="2" t="str">
        <f t="shared" si="24"/>
        <v xml:space="preserve"> </v>
      </c>
      <c r="L308" s="2" t="str">
        <f t="shared" si="21"/>
        <v xml:space="preserve"> </v>
      </c>
      <c r="M308" s="2" t="str">
        <f t="shared" si="22"/>
        <v xml:space="preserve"> </v>
      </c>
    </row>
    <row r="309" spans="1:13" x14ac:dyDescent="0.25">
      <c r="A309" s="40" t="str">
        <f t="shared" si="20"/>
        <v xml:space="preserve"> </v>
      </c>
      <c r="D309" s="39"/>
      <c r="E309" s="39"/>
      <c r="J309" s="15">
        <f t="shared" si="23"/>
        <v>0</v>
      </c>
      <c r="K309" s="2" t="str">
        <f t="shared" si="24"/>
        <v xml:space="preserve"> </v>
      </c>
      <c r="L309" s="2" t="str">
        <f t="shared" si="21"/>
        <v xml:space="preserve"> </v>
      </c>
      <c r="M309" s="2" t="str">
        <f t="shared" si="22"/>
        <v xml:space="preserve"> </v>
      </c>
    </row>
    <row r="310" spans="1:13" x14ac:dyDescent="0.25">
      <c r="A310" s="40" t="str">
        <f t="shared" si="20"/>
        <v xml:space="preserve"> </v>
      </c>
      <c r="D310" s="39"/>
      <c r="E310" s="39"/>
      <c r="J310" s="15">
        <f t="shared" si="23"/>
        <v>0</v>
      </c>
      <c r="K310" s="2" t="str">
        <f t="shared" si="24"/>
        <v xml:space="preserve"> </v>
      </c>
      <c r="L310" s="2" t="str">
        <f t="shared" si="21"/>
        <v xml:space="preserve"> </v>
      </c>
      <c r="M310" s="2" t="str">
        <f t="shared" si="22"/>
        <v xml:space="preserve"> </v>
      </c>
    </row>
    <row r="311" spans="1:13" x14ac:dyDescent="0.25">
      <c r="A311" s="40" t="str">
        <f t="shared" si="20"/>
        <v xml:space="preserve"> </v>
      </c>
      <c r="D311" s="39"/>
      <c r="E311" s="39"/>
      <c r="J311" s="15">
        <f t="shared" si="23"/>
        <v>0</v>
      </c>
      <c r="K311" s="2" t="str">
        <f t="shared" si="24"/>
        <v xml:space="preserve"> </v>
      </c>
      <c r="L311" s="2" t="str">
        <f t="shared" si="21"/>
        <v xml:space="preserve"> </v>
      </c>
      <c r="M311" s="2" t="str">
        <f t="shared" si="22"/>
        <v xml:space="preserve"> </v>
      </c>
    </row>
    <row r="312" spans="1:13" x14ac:dyDescent="0.25">
      <c r="A312" s="40" t="str">
        <f t="shared" si="20"/>
        <v xml:space="preserve"> </v>
      </c>
      <c r="D312" s="39"/>
      <c r="E312" s="39"/>
      <c r="J312" s="15">
        <f t="shared" si="23"/>
        <v>0</v>
      </c>
      <c r="K312" s="2" t="str">
        <f t="shared" si="24"/>
        <v xml:space="preserve"> </v>
      </c>
      <c r="L312" s="2" t="str">
        <f t="shared" si="21"/>
        <v xml:space="preserve"> </v>
      </c>
      <c r="M312" s="2" t="str">
        <f t="shared" si="22"/>
        <v xml:space="preserve"> </v>
      </c>
    </row>
    <row r="313" spans="1:13" x14ac:dyDescent="0.25">
      <c r="A313" s="40" t="str">
        <f t="shared" si="20"/>
        <v xml:space="preserve"> </v>
      </c>
      <c r="D313" s="39"/>
      <c r="E313" s="39"/>
      <c r="J313" s="15">
        <f t="shared" si="23"/>
        <v>0</v>
      </c>
      <c r="K313" s="2" t="str">
        <f t="shared" si="24"/>
        <v xml:space="preserve"> </v>
      </c>
      <c r="L313" s="2" t="str">
        <f t="shared" si="21"/>
        <v xml:space="preserve"> </v>
      </c>
      <c r="M313" s="2" t="str">
        <f t="shared" si="22"/>
        <v xml:space="preserve"> </v>
      </c>
    </row>
    <row r="314" spans="1:13" x14ac:dyDescent="0.25">
      <c r="A314" s="40" t="str">
        <f t="shared" si="20"/>
        <v xml:space="preserve"> </v>
      </c>
      <c r="D314" s="39"/>
      <c r="E314" s="39"/>
      <c r="J314" s="15">
        <f t="shared" si="23"/>
        <v>0</v>
      </c>
      <c r="K314" s="2" t="str">
        <f t="shared" si="24"/>
        <v xml:space="preserve"> </v>
      </c>
      <c r="L314" s="2" t="str">
        <f t="shared" si="21"/>
        <v xml:space="preserve"> </v>
      </c>
      <c r="M314" s="2" t="str">
        <f t="shared" si="22"/>
        <v xml:space="preserve"> </v>
      </c>
    </row>
    <row r="315" spans="1:13" x14ac:dyDescent="0.25">
      <c r="A315" s="40" t="str">
        <f t="shared" si="20"/>
        <v xml:space="preserve"> </v>
      </c>
      <c r="D315" s="39"/>
      <c r="E315" s="39"/>
      <c r="J315" s="15">
        <f t="shared" si="23"/>
        <v>0</v>
      </c>
      <c r="K315" s="2" t="str">
        <f t="shared" si="24"/>
        <v xml:space="preserve"> </v>
      </c>
      <c r="L315" s="2" t="str">
        <f t="shared" si="21"/>
        <v xml:space="preserve"> </v>
      </c>
      <c r="M315" s="2" t="str">
        <f t="shared" si="22"/>
        <v xml:space="preserve"> </v>
      </c>
    </row>
    <row r="316" spans="1:13" x14ac:dyDescent="0.25">
      <c r="A316" s="40" t="str">
        <f t="shared" si="20"/>
        <v xml:space="preserve"> </v>
      </c>
      <c r="D316" s="39"/>
      <c r="E316" s="39"/>
      <c r="J316" s="15">
        <f t="shared" si="23"/>
        <v>0</v>
      </c>
      <c r="K316" s="2" t="str">
        <f t="shared" si="24"/>
        <v xml:space="preserve"> </v>
      </c>
      <c r="L316" s="2" t="str">
        <f t="shared" si="21"/>
        <v xml:space="preserve"> </v>
      </c>
      <c r="M316" s="2" t="str">
        <f t="shared" si="22"/>
        <v xml:space="preserve"> </v>
      </c>
    </row>
    <row r="317" spans="1:13" x14ac:dyDescent="0.25">
      <c r="A317" s="40" t="str">
        <f t="shared" si="20"/>
        <v xml:space="preserve"> </v>
      </c>
      <c r="D317" s="39"/>
      <c r="E317" s="39"/>
      <c r="J317" s="15">
        <f t="shared" si="23"/>
        <v>0</v>
      </c>
      <c r="K317" s="2" t="str">
        <f t="shared" si="24"/>
        <v xml:space="preserve"> </v>
      </c>
      <c r="L317" s="2" t="str">
        <f t="shared" si="21"/>
        <v xml:space="preserve"> </v>
      </c>
      <c r="M317" s="2" t="str">
        <f t="shared" si="22"/>
        <v xml:space="preserve"> </v>
      </c>
    </row>
    <row r="318" spans="1:13" x14ac:dyDescent="0.25">
      <c r="A318" s="40" t="str">
        <f t="shared" si="20"/>
        <v xml:space="preserve"> </v>
      </c>
      <c r="D318" s="39"/>
      <c r="E318" s="39"/>
      <c r="J318" s="15">
        <f t="shared" si="23"/>
        <v>0</v>
      </c>
      <c r="K318" s="2" t="str">
        <f t="shared" si="24"/>
        <v xml:space="preserve"> </v>
      </c>
      <c r="L318" s="2" t="str">
        <f t="shared" si="21"/>
        <v xml:space="preserve"> </v>
      </c>
      <c r="M318" s="2" t="str">
        <f t="shared" si="22"/>
        <v xml:space="preserve"> </v>
      </c>
    </row>
    <row r="319" spans="1:13" x14ac:dyDescent="0.25">
      <c r="A319" s="40" t="str">
        <f t="shared" si="20"/>
        <v xml:space="preserve"> </v>
      </c>
      <c r="D319" s="39"/>
      <c r="E319" s="39"/>
      <c r="J319" s="15">
        <f t="shared" si="23"/>
        <v>0</v>
      </c>
      <c r="K319" s="2" t="str">
        <f t="shared" si="24"/>
        <v xml:space="preserve"> </v>
      </c>
      <c r="L319" s="2" t="str">
        <f t="shared" si="21"/>
        <v xml:space="preserve"> </v>
      </c>
      <c r="M319" s="2" t="str">
        <f t="shared" si="22"/>
        <v xml:space="preserve"> </v>
      </c>
    </row>
    <row r="320" spans="1:13" x14ac:dyDescent="0.25">
      <c r="A320" s="40" t="str">
        <f t="shared" si="20"/>
        <v xml:space="preserve"> </v>
      </c>
      <c r="D320" s="39"/>
      <c r="E320" s="39"/>
      <c r="J320" s="15">
        <f t="shared" si="23"/>
        <v>0</v>
      </c>
      <c r="K320" s="2" t="str">
        <f t="shared" si="24"/>
        <v xml:space="preserve"> </v>
      </c>
      <c r="L320" s="2" t="str">
        <f t="shared" si="21"/>
        <v xml:space="preserve"> </v>
      </c>
      <c r="M320" s="2" t="str">
        <f t="shared" si="22"/>
        <v xml:space="preserve"> </v>
      </c>
    </row>
    <row r="321" spans="1:13" x14ac:dyDescent="0.25">
      <c r="A321" s="40" t="str">
        <f t="shared" si="20"/>
        <v xml:space="preserve"> </v>
      </c>
      <c r="D321" s="39"/>
      <c r="E321" s="39"/>
      <c r="J321" s="15">
        <f t="shared" si="23"/>
        <v>0</v>
      </c>
      <c r="K321" s="2" t="str">
        <f t="shared" si="24"/>
        <v xml:space="preserve"> </v>
      </c>
      <c r="L321" s="2" t="str">
        <f t="shared" si="21"/>
        <v xml:space="preserve"> </v>
      </c>
      <c r="M321" s="2" t="str">
        <f t="shared" si="22"/>
        <v xml:space="preserve"> </v>
      </c>
    </row>
    <row r="322" spans="1:13" x14ac:dyDescent="0.25">
      <c r="A322" s="40" t="str">
        <f t="shared" si="20"/>
        <v xml:space="preserve"> </v>
      </c>
      <c r="D322" s="39"/>
      <c r="E322" s="39"/>
      <c r="J322" s="15">
        <f t="shared" si="23"/>
        <v>0</v>
      </c>
      <c r="K322" s="2" t="str">
        <f t="shared" si="24"/>
        <v xml:space="preserve"> </v>
      </c>
      <c r="L322" s="2" t="str">
        <f t="shared" si="21"/>
        <v xml:space="preserve"> </v>
      </c>
      <c r="M322" s="2" t="str">
        <f t="shared" si="22"/>
        <v xml:space="preserve"> </v>
      </c>
    </row>
    <row r="323" spans="1:13" x14ac:dyDescent="0.25">
      <c r="A323" s="40" t="str">
        <f t="shared" si="20"/>
        <v xml:space="preserve"> </v>
      </c>
      <c r="D323" s="39"/>
      <c r="E323" s="39"/>
      <c r="J323" s="15">
        <f t="shared" si="23"/>
        <v>0</v>
      </c>
      <c r="K323" s="2" t="str">
        <f t="shared" si="24"/>
        <v xml:space="preserve"> </v>
      </c>
      <c r="L323" s="2" t="str">
        <f t="shared" si="21"/>
        <v xml:space="preserve"> </v>
      </c>
      <c r="M323" s="2" t="str">
        <f t="shared" si="22"/>
        <v xml:space="preserve"> </v>
      </c>
    </row>
    <row r="324" spans="1:13" x14ac:dyDescent="0.25">
      <c r="A324" s="40" t="str">
        <f t="shared" si="20"/>
        <v xml:space="preserve"> </v>
      </c>
      <c r="D324" s="39"/>
      <c r="E324" s="39"/>
      <c r="J324" s="15">
        <f t="shared" si="23"/>
        <v>0</v>
      </c>
      <c r="K324" s="2" t="str">
        <f t="shared" si="24"/>
        <v xml:space="preserve"> </v>
      </c>
      <c r="L324" s="2" t="str">
        <f t="shared" si="21"/>
        <v xml:space="preserve"> </v>
      </c>
      <c r="M324" s="2" t="str">
        <f t="shared" si="22"/>
        <v xml:space="preserve"> </v>
      </c>
    </row>
    <row r="325" spans="1:13" x14ac:dyDescent="0.25">
      <c r="A325" s="40" t="str">
        <f t="shared" si="20"/>
        <v xml:space="preserve"> </v>
      </c>
      <c r="D325" s="39"/>
      <c r="E325" s="39"/>
      <c r="J325" s="15">
        <f t="shared" si="23"/>
        <v>0</v>
      </c>
      <c r="K325" s="2" t="str">
        <f t="shared" si="24"/>
        <v xml:space="preserve"> </v>
      </c>
      <c r="L325" s="2" t="str">
        <f t="shared" si="21"/>
        <v xml:space="preserve"> </v>
      </c>
      <c r="M325" s="2" t="str">
        <f t="shared" si="22"/>
        <v xml:space="preserve"> </v>
      </c>
    </row>
    <row r="326" spans="1:13" x14ac:dyDescent="0.25">
      <c r="A326" s="40" t="str">
        <f t="shared" si="20"/>
        <v xml:space="preserve"> </v>
      </c>
      <c r="D326" s="39"/>
      <c r="E326" s="39"/>
      <c r="J326" s="15">
        <f t="shared" si="23"/>
        <v>0</v>
      </c>
      <c r="K326" s="2" t="str">
        <f t="shared" si="24"/>
        <v xml:space="preserve"> </v>
      </c>
      <c r="L326" s="2" t="str">
        <f t="shared" si="21"/>
        <v xml:space="preserve"> </v>
      </c>
      <c r="M326" s="2" t="str">
        <f t="shared" si="22"/>
        <v xml:space="preserve"> </v>
      </c>
    </row>
    <row r="327" spans="1:13" x14ac:dyDescent="0.25">
      <c r="A327" s="40" t="str">
        <f t="shared" si="20"/>
        <v xml:space="preserve"> </v>
      </c>
      <c r="D327" s="39"/>
      <c r="E327" s="39"/>
      <c r="J327" s="15">
        <f t="shared" si="23"/>
        <v>0</v>
      </c>
      <c r="K327" s="2" t="str">
        <f t="shared" si="24"/>
        <v xml:space="preserve"> </v>
      </c>
      <c r="L327" s="2" t="str">
        <f t="shared" si="21"/>
        <v xml:space="preserve"> </v>
      </c>
      <c r="M327" s="2" t="str">
        <f t="shared" si="22"/>
        <v xml:space="preserve"> </v>
      </c>
    </row>
    <row r="328" spans="1:13" x14ac:dyDescent="0.25">
      <c r="A328" s="40" t="str">
        <f t="shared" si="20"/>
        <v xml:space="preserve"> </v>
      </c>
      <c r="D328" s="39"/>
      <c r="E328" s="39"/>
      <c r="J328" s="15">
        <f t="shared" si="23"/>
        <v>0</v>
      </c>
      <c r="K328" s="2" t="str">
        <f t="shared" si="24"/>
        <v xml:space="preserve"> </v>
      </c>
      <c r="L328" s="2" t="str">
        <f t="shared" si="21"/>
        <v xml:space="preserve"> </v>
      </c>
      <c r="M328" s="2" t="str">
        <f t="shared" si="22"/>
        <v xml:space="preserve"> </v>
      </c>
    </row>
    <row r="329" spans="1:13" x14ac:dyDescent="0.25">
      <c r="A329" s="40" t="str">
        <f t="shared" si="20"/>
        <v xml:space="preserve"> </v>
      </c>
      <c r="D329" s="39"/>
      <c r="E329" s="39"/>
      <c r="J329" s="15">
        <f t="shared" si="23"/>
        <v>0</v>
      </c>
      <c r="K329" s="2" t="str">
        <f t="shared" si="24"/>
        <v xml:space="preserve"> </v>
      </c>
      <c r="L329" s="2" t="str">
        <f t="shared" si="21"/>
        <v xml:space="preserve"> </v>
      </c>
      <c r="M329" s="2" t="str">
        <f t="shared" si="22"/>
        <v xml:space="preserve"> </v>
      </c>
    </row>
    <row r="330" spans="1:13" x14ac:dyDescent="0.25">
      <c r="A330" s="40" t="str">
        <f t="shared" si="20"/>
        <v xml:space="preserve"> </v>
      </c>
      <c r="D330" s="39"/>
      <c r="E330" s="39"/>
      <c r="J330" s="15">
        <f t="shared" si="23"/>
        <v>0</v>
      </c>
      <c r="K330" s="2" t="str">
        <f t="shared" si="24"/>
        <v xml:space="preserve"> </v>
      </c>
      <c r="L330" s="2" t="str">
        <f t="shared" si="21"/>
        <v xml:space="preserve"> </v>
      </c>
      <c r="M330" s="2" t="str">
        <f t="shared" si="22"/>
        <v xml:space="preserve"> </v>
      </c>
    </row>
    <row r="331" spans="1:13" x14ac:dyDescent="0.25">
      <c r="A331" s="40" t="str">
        <f t="shared" si="20"/>
        <v xml:space="preserve"> </v>
      </c>
      <c r="D331" s="39"/>
      <c r="E331" s="39"/>
      <c r="J331" s="15">
        <f t="shared" si="23"/>
        <v>0</v>
      </c>
      <c r="K331" s="2" t="str">
        <f t="shared" si="24"/>
        <v xml:space="preserve"> </v>
      </c>
      <c r="L331" s="2" t="str">
        <f t="shared" si="21"/>
        <v xml:space="preserve"> </v>
      </c>
      <c r="M331" s="2" t="str">
        <f t="shared" si="22"/>
        <v xml:space="preserve"> </v>
      </c>
    </row>
    <row r="332" spans="1:13" x14ac:dyDescent="0.25">
      <c r="A332" s="40" t="str">
        <f t="shared" si="20"/>
        <v xml:space="preserve"> </v>
      </c>
      <c r="D332" s="39"/>
      <c r="E332" s="39"/>
      <c r="J332" s="15">
        <f t="shared" si="23"/>
        <v>0</v>
      </c>
      <c r="K332" s="2" t="str">
        <f t="shared" si="24"/>
        <v xml:space="preserve"> </v>
      </c>
      <c r="L332" s="2" t="str">
        <f t="shared" si="21"/>
        <v xml:space="preserve"> </v>
      </c>
      <c r="M332" s="2" t="str">
        <f t="shared" si="22"/>
        <v xml:space="preserve"> </v>
      </c>
    </row>
    <row r="333" spans="1:13" x14ac:dyDescent="0.25">
      <c r="A333" s="40" t="str">
        <f t="shared" si="20"/>
        <v xml:space="preserve"> </v>
      </c>
      <c r="D333" s="39"/>
      <c r="E333" s="39"/>
      <c r="J333" s="15">
        <f t="shared" si="23"/>
        <v>0</v>
      </c>
      <c r="K333" s="2" t="str">
        <f t="shared" si="24"/>
        <v xml:space="preserve"> </v>
      </c>
      <c r="L333" s="2" t="str">
        <f t="shared" si="21"/>
        <v xml:space="preserve"> </v>
      </c>
      <c r="M333" s="2" t="str">
        <f t="shared" si="22"/>
        <v xml:space="preserve"> </v>
      </c>
    </row>
    <row r="334" spans="1:13" x14ac:dyDescent="0.25">
      <c r="A334" s="40" t="str">
        <f t="shared" si="20"/>
        <v xml:space="preserve"> </v>
      </c>
      <c r="D334" s="39"/>
      <c r="E334" s="39"/>
      <c r="J334" s="15">
        <f t="shared" si="23"/>
        <v>0</v>
      </c>
      <c r="K334" s="2" t="str">
        <f t="shared" si="24"/>
        <v xml:space="preserve"> </v>
      </c>
      <c r="L334" s="2" t="str">
        <f t="shared" si="21"/>
        <v xml:space="preserve"> </v>
      </c>
      <c r="M334" s="2" t="str">
        <f t="shared" si="22"/>
        <v xml:space="preserve"> </v>
      </c>
    </row>
    <row r="335" spans="1:13" x14ac:dyDescent="0.25">
      <c r="A335" s="40" t="str">
        <f t="shared" ref="A335:A398" si="25">IF(COUNTIF(K335:M335,"ERROR")&gt;0,"ERROR"," ")</f>
        <v xml:space="preserve"> </v>
      </c>
      <c r="D335" s="39"/>
      <c r="E335" s="39"/>
      <c r="J335" s="15">
        <f t="shared" si="23"/>
        <v>0</v>
      </c>
      <c r="K335" s="2" t="str">
        <f t="shared" si="24"/>
        <v xml:space="preserve"> </v>
      </c>
      <c r="L335" s="2" t="str">
        <f t="shared" ref="L335:L398" si="26">IF(D335=0," ",IF(COUNTIF(ProfitLoss4,D335)&gt;0," ","ERROR"))</f>
        <v xml:space="preserve"> </v>
      </c>
      <c r="M335" s="2" t="str">
        <f t="shared" ref="M335:M398" si="27">IF(E335=0," ",IF(COUNTIF(BalanceSheet4,E335)&gt;0," ","ERROR"))</f>
        <v xml:space="preserve"> </v>
      </c>
    </row>
    <row r="336" spans="1:13" x14ac:dyDescent="0.25">
      <c r="A336" s="40" t="str">
        <f t="shared" si="25"/>
        <v xml:space="preserve"> </v>
      </c>
      <c r="D336" s="39"/>
      <c r="E336" s="39"/>
      <c r="J336" s="15">
        <f t="shared" ref="J336:J399" si="28">F336-G336+H336-I336</f>
        <v>0</v>
      </c>
      <c r="K336" s="2" t="str">
        <f t="shared" ref="K336:K399" si="29">IF(COUNTA(D336:E336)=2,"ERROR"," ")</f>
        <v xml:space="preserve"> </v>
      </c>
      <c r="L336" s="2" t="str">
        <f t="shared" si="26"/>
        <v xml:space="preserve"> </v>
      </c>
      <c r="M336" s="2" t="str">
        <f t="shared" si="27"/>
        <v xml:space="preserve"> </v>
      </c>
    </row>
    <row r="337" spans="1:13" x14ac:dyDescent="0.25">
      <c r="A337" s="40" t="str">
        <f t="shared" si="25"/>
        <v xml:space="preserve"> </v>
      </c>
      <c r="D337" s="39"/>
      <c r="E337" s="39"/>
      <c r="J337" s="15">
        <f t="shared" si="28"/>
        <v>0</v>
      </c>
      <c r="K337" s="2" t="str">
        <f t="shared" si="29"/>
        <v xml:space="preserve"> </v>
      </c>
      <c r="L337" s="2" t="str">
        <f t="shared" si="26"/>
        <v xml:space="preserve"> </v>
      </c>
      <c r="M337" s="2" t="str">
        <f t="shared" si="27"/>
        <v xml:space="preserve"> </v>
      </c>
    </row>
    <row r="338" spans="1:13" x14ac:dyDescent="0.25">
      <c r="A338" s="40" t="str">
        <f t="shared" si="25"/>
        <v xml:space="preserve"> </v>
      </c>
      <c r="D338" s="39"/>
      <c r="E338" s="39"/>
      <c r="J338" s="15">
        <f t="shared" si="28"/>
        <v>0</v>
      </c>
      <c r="K338" s="2" t="str">
        <f t="shared" si="29"/>
        <v xml:space="preserve"> </v>
      </c>
      <c r="L338" s="2" t="str">
        <f t="shared" si="26"/>
        <v xml:space="preserve"> </v>
      </c>
      <c r="M338" s="2" t="str">
        <f t="shared" si="27"/>
        <v xml:space="preserve"> </v>
      </c>
    </row>
    <row r="339" spans="1:13" x14ac:dyDescent="0.25">
      <c r="A339" s="40" t="str">
        <f t="shared" si="25"/>
        <v xml:space="preserve"> </v>
      </c>
      <c r="D339" s="39"/>
      <c r="E339" s="39"/>
      <c r="J339" s="15">
        <f t="shared" si="28"/>
        <v>0</v>
      </c>
      <c r="K339" s="2" t="str">
        <f t="shared" si="29"/>
        <v xml:space="preserve"> </v>
      </c>
      <c r="L339" s="2" t="str">
        <f t="shared" si="26"/>
        <v xml:space="preserve"> </v>
      </c>
      <c r="M339" s="2" t="str">
        <f t="shared" si="27"/>
        <v xml:space="preserve"> </v>
      </c>
    </row>
    <row r="340" spans="1:13" x14ac:dyDescent="0.25">
      <c r="A340" s="40" t="str">
        <f t="shared" si="25"/>
        <v xml:space="preserve"> </v>
      </c>
      <c r="D340" s="39"/>
      <c r="E340" s="39"/>
      <c r="J340" s="15">
        <f t="shared" si="28"/>
        <v>0</v>
      </c>
      <c r="K340" s="2" t="str">
        <f t="shared" si="29"/>
        <v xml:space="preserve"> </v>
      </c>
      <c r="L340" s="2" t="str">
        <f t="shared" si="26"/>
        <v xml:space="preserve"> </v>
      </c>
      <c r="M340" s="2" t="str">
        <f t="shared" si="27"/>
        <v xml:space="preserve"> </v>
      </c>
    </row>
    <row r="341" spans="1:13" x14ac:dyDescent="0.25">
      <c r="A341" s="40" t="str">
        <f t="shared" si="25"/>
        <v xml:space="preserve"> </v>
      </c>
      <c r="D341" s="39"/>
      <c r="E341" s="39"/>
      <c r="J341" s="15">
        <f t="shared" si="28"/>
        <v>0</v>
      </c>
      <c r="K341" s="2" t="str">
        <f t="shared" si="29"/>
        <v xml:space="preserve"> </v>
      </c>
      <c r="L341" s="2" t="str">
        <f t="shared" si="26"/>
        <v xml:space="preserve"> </v>
      </c>
      <c r="M341" s="2" t="str">
        <f t="shared" si="27"/>
        <v xml:space="preserve"> </v>
      </c>
    </row>
    <row r="342" spans="1:13" x14ac:dyDescent="0.25">
      <c r="A342" s="40" t="str">
        <f t="shared" si="25"/>
        <v xml:space="preserve"> </v>
      </c>
      <c r="D342" s="39"/>
      <c r="E342" s="39"/>
      <c r="J342" s="15">
        <f t="shared" si="28"/>
        <v>0</v>
      </c>
      <c r="K342" s="2" t="str">
        <f t="shared" si="29"/>
        <v xml:space="preserve"> </v>
      </c>
      <c r="L342" s="2" t="str">
        <f t="shared" si="26"/>
        <v xml:space="preserve"> </v>
      </c>
      <c r="M342" s="2" t="str">
        <f t="shared" si="27"/>
        <v xml:space="preserve"> </v>
      </c>
    </row>
    <row r="343" spans="1:13" x14ac:dyDescent="0.25">
      <c r="A343" s="40" t="str">
        <f t="shared" si="25"/>
        <v xml:space="preserve"> </v>
      </c>
      <c r="D343" s="39"/>
      <c r="E343" s="39"/>
      <c r="J343" s="15">
        <f t="shared" si="28"/>
        <v>0</v>
      </c>
      <c r="K343" s="2" t="str">
        <f t="shared" si="29"/>
        <v xml:space="preserve"> </v>
      </c>
      <c r="L343" s="2" t="str">
        <f t="shared" si="26"/>
        <v xml:space="preserve"> </v>
      </c>
      <c r="M343" s="2" t="str">
        <f t="shared" si="27"/>
        <v xml:space="preserve"> </v>
      </c>
    </row>
    <row r="344" spans="1:13" x14ac:dyDescent="0.25">
      <c r="A344" s="40" t="str">
        <f t="shared" si="25"/>
        <v xml:space="preserve"> </v>
      </c>
      <c r="D344" s="39"/>
      <c r="E344" s="39"/>
      <c r="J344" s="15">
        <f t="shared" si="28"/>
        <v>0</v>
      </c>
      <c r="K344" s="2" t="str">
        <f t="shared" si="29"/>
        <v xml:space="preserve"> </v>
      </c>
      <c r="L344" s="2" t="str">
        <f t="shared" si="26"/>
        <v xml:space="preserve"> </v>
      </c>
      <c r="M344" s="2" t="str">
        <f t="shared" si="27"/>
        <v xml:space="preserve"> </v>
      </c>
    </row>
    <row r="345" spans="1:13" x14ac:dyDescent="0.25">
      <c r="A345" s="40" t="str">
        <f t="shared" si="25"/>
        <v xml:space="preserve"> </v>
      </c>
      <c r="D345" s="39"/>
      <c r="E345" s="39"/>
      <c r="J345" s="15">
        <f t="shared" si="28"/>
        <v>0</v>
      </c>
      <c r="K345" s="2" t="str">
        <f t="shared" si="29"/>
        <v xml:space="preserve"> </v>
      </c>
      <c r="L345" s="2" t="str">
        <f t="shared" si="26"/>
        <v xml:space="preserve"> </v>
      </c>
      <c r="M345" s="2" t="str">
        <f t="shared" si="27"/>
        <v xml:space="preserve"> </v>
      </c>
    </row>
    <row r="346" spans="1:13" x14ac:dyDescent="0.25">
      <c r="A346" s="40" t="str">
        <f t="shared" si="25"/>
        <v xml:space="preserve"> </v>
      </c>
      <c r="D346" s="39"/>
      <c r="E346" s="39"/>
      <c r="J346" s="15">
        <f t="shared" si="28"/>
        <v>0</v>
      </c>
      <c r="K346" s="2" t="str">
        <f t="shared" si="29"/>
        <v xml:space="preserve"> </v>
      </c>
      <c r="L346" s="2" t="str">
        <f t="shared" si="26"/>
        <v xml:space="preserve"> </v>
      </c>
      <c r="M346" s="2" t="str">
        <f t="shared" si="27"/>
        <v xml:space="preserve"> </v>
      </c>
    </row>
    <row r="347" spans="1:13" x14ac:dyDescent="0.25">
      <c r="A347" s="40" t="str">
        <f t="shared" si="25"/>
        <v xml:space="preserve"> </v>
      </c>
      <c r="D347" s="39"/>
      <c r="E347" s="39"/>
      <c r="J347" s="15">
        <f t="shared" si="28"/>
        <v>0</v>
      </c>
      <c r="K347" s="2" t="str">
        <f t="shared" si="29"/>
        <v xml:space="preserve"> </v>
      </c>
      <c r="L347" s="2" t="str">
        <f t="shared" si="26"/>
        <v xml:space="preserve"> </v>
      </c>
      <c r="M347" s="2" t="str">
        <f t="shared" si="27"/>
        <v xml:space="preserve"> </v>
      </c>
    </row>
    <row r="348" spans="1:13" x14ac:dyDescent="0.25">
      <c r="A348" s="40" t="str">
        <f t="shared" si="25"/>
        <v xml:space="preserve"> </v>
      </c>
      <c r="D348" s="39"/>
      <c r="E348" s="39"/>
      <c r="J348" s="15">
        <f t="shared" si="28"/>
        <v>0</v>
      </c>
      <c r="K348" s="2" t="str">
        <f t="shared" si="29"/>
        <v xml:space="preserve"> </v>
      </c>
      <c r="L348" s="2" t="str">
        <f t="shared" si="26"/>
        <v xml:space="preserve"> </v>
      </c>
      <c r="M348" s="2" t="str">
        <f t="shared" si="27"/>
        <v xml:space="preserve"> </v>
      </c>
    </row>
    <row r="349" spans="1:13" x14ac:dyDescent="0.25">
      <c r="A349" s="40" t="str">
        <f t="shared" si="25"/>
        <v xml:space="preserve"> </v>
      </c>
      <c r="D349" s="39"/>
      <c r="E349" s="39"/>
      <c r="J349" s="15">
        <f t="shared" si="28"/>
        <v>0</v>
      </c>
      <c r="K349" s="2" t="str">
        <f t="shared" si="29"/>
        <v xml:space="preserve"> </v>
      </c>
      <c r="L349" s="2" t="str">
        <f t="shared" si="26"/>
        <v xml:space="preserve"> </v>
      </c>
      <c r="M349" s="2" t="str">
        <f t="shared" si="27"/>
        <v xml:space="preserve"> </v>
      </c>
    </row>
    <row r="350" spans="1:13" x14ac:dyDescent="0.25">
      <c r="A350" s="40" t="str">
        <f t="shared" si="25"/>
        <v xml:space="preserve"> </v>
      </c>
      <c r="D350" s="39"/>
      <c r="E350" s="39"/>
      <c r="J350" s="15">
        <f t="shared" si="28"/>
        <v>0</v>
      </c>
      <c r="K350" s="2" t="str">
        <f t="shared" si="29"/>
        <v xml:space="preserve"> </v>
      </c>
      <c r="L350" s="2" t="str">
        <f t="shared" si="26"/>
        <v xml:space="preserve"> </v>
      </c>
      <c r="M350" s="2" t="str">
        <f t="shared" si="27"/>
        <v xml:space="preserve"> </v>
      </c>
    </row>
    <row r="351" spans="1:13" x14ac:dyDescent="0.25">
      <c r="A351" s="40" t="str">
        <f t="shared" si="25"/>
        <v xml:space="preserve"> </v>
      </c>
      <c r="D351" s="39"/>
      <c r="E351" s="39"/>
      <c r="J351" s="15">
        <f t="shared" si="28"/>
        <v>0</v>
      </c>
      <c r="K351" s="2" t="str">
        <f t="shared" si="29"/>
        <v xml:space="preserve"> </v>
      </c>
      <c r="L351" s="2" t="str">
        <f t="shared" si="26"/>
        <v xml:space="preserve"> </v>
      </c>
      <c r="M351" s="2" t="str">
        <f t="shared" si="27"/>
        <v xml:space="preserve"> </v>
      </c>
    </row>
    <row r="352" spans="1:13" x14ac:dyDescent="0.25">
      <c r="A352" s="40" t="str">
        <f t="shared" si="25"/>
        <v xml:space="preserve"> </v>
      </c>
      <c r="D352" s="39"/>
      <c r="E352" s="39"/>
      <c r="J352" s="15">
        <f t="shared" si="28"/>
        <v>0</v>
      </c>
      <c r="K352" s="2" t="str">
        <f t="shared" si="29"/>
        <v xml:space="preserve"> </v>
      </c>
      <c r="L352" s="2" t="str">
        <f t="shared" si="26"/>
        <v xml:space="preserve"> </v>
      </c>
      <c r="M352" s="2" t="str">
        <f t="shared" si="27"/>
        <v xml:space="preserve"> </v>
      </c>
    </row>
    <row r="353" spans="1:13" x14ac:dyDescent="0.25">
      <c r="A353" s="40" t="str">
        <f t="shared" si="25"/>
        <v xml:space="preserve"> </v>
      </c>
      <c r="D353" s="39"/>
      <c r="E353" s="39"/>
      <c r="J353" s="15">
        <f t="shared" si="28"/>
        <v>0</v>
      </c>
      <c r="K353" s="2" t="str">
        <f t="shared" si="29"/>
        <v xml:space="preserve"> </v>
      </c>
      <c r="L353" s="2" t="str">
        <f t="shared" si="26"/>
        <v xml:space="preserve"> </v>
      </c>
      <c r="M353" s="2" t="str">
        <f t="shared" si="27"/>
        <v xml:space="preserve"> </v>
      </c>
    </row>
    <row r="354" spans="1:13" x14ac:dyDescent="0.25">
      <c r="A354" s="40" t="str">
        <f t="shared" si="25"/>
        <v xml:space="preserve"> </v>
      </c>
      <c r="D354" s="39"/>
      <c r="E354" s="39"/>
      <c r="J354" s="15">
        <f t="shared" si="28"/>
        <v>0</v>
      </c>
      <c r="K354" s="2" t="str">
        <f t="shared" si="29"/>
        <v xml:space="preserve"> </v>
      </c>
      <c r="L354" s="2" t="str">
        <f t="shared" si="26"/>
        <v xml:space="preserve"> </v>
      </c>
      <c r="M354" s="2" t="str">
        <f t="shared" si="27"/>
        <v xml:space="preserve"> </v>
      </c>
    </row>
    <row r="355" spans="1:13" x14ac:dyDescent="0.25">
      <c r="A355" s="40" t="str">
        <f t="shared" si="25"/>
        <v xml:space="preserve"> </v>
      </c>
      <c r="D355" s="39"/>
      <c r="E355" s="39"/>
      <c r="J355" s="15">
        <f t="shared" si="28"/>
        <v>0</v>
      </c>
      <c r="K355" s="2" t="str">
        <f t="shared" si="29"/>
        <v xml:space="preserve"> </v>
      </c>
      <c r="L355" s="2" t="str">
        <f t="shared" si="26"/>
        <v xml:space="preserve"> </v>
      </c>
      <c r="M355" s="2" t="str">
        <f t="shared" si="27"/>
        <v xml:space="preserve"> </v>
      </c>
    </row>
    <row r="356" spans="1:13" x14ac:dyDescent="0.25">
      <c r="A356" s="40" t="str">
        <f t="shared" si="25"/>
        <v xml:space="preserve"> </v>
      </c>
      <c r="D356" s="39"/>
      <c r="E356" s="39"/>
      <c r="J356" s="15">
        <f t="shared" si="28"/>
        <v>0</v>
      </c>
      <c r="K356" s="2" t="str">
        <f t="shared" si="29"/>
        <v xml:space="preserve"> </v>
      </c>
      <c r="L356" s="2" t="str">
        <f t="shared" si="26"/>
        <v xml:space="preserve"> </v>
      </c>
      <c r="M356" s="2" t="str">
        <f t="shared" si="27"/>
        <v xml:space="preserve"> </v>
      </c>
    </row>
    <row r="357" spans="1:13" x14ac:dyDescent="0.25">
      <c r="A357" s="40" t="str">
        <f t="shared" si="25"/>
        <v xml:space="preserve"> </v>
      </c>
      <c r="D357" s="39"/>
      <c r="E357" s="39"/>
      <c r="J357" s="15">
        <f t="shared" si="28"/>
        <v>0</v>
      </c>
      <c r="K357" s="2" t="str">
        <f t="shared" si="29"/>
        <v xml:space="preserve"> </v>
      </c>
      <c r="L357" s="2" t="str">
        <f t="shared" si="26"/>
        <v xml:space="preserve"> </v>
      </c>
      <c r="M357" s="2" t="str">
        <f t="shared" si="27"/>
        <v xml:space="preserve"> </v>
      </c>
    </row>
    <row r="358" spans="1:13" x14ac:dyDescent="0.25">
      <c r="A358" s="40" t="str">
        <f t="shared" si="25"/>
        <v xml:space="preserve"> </v>
      </c>
      <c r="D358" s="39"/>
      <c r="E358" s="39"/>
      <c r="J358" s="15">
        <f t="shared" si="28"/>
        <v>0</v>
      </c>
      <c r="K358" s="2" t="str">
        <f t="shared" si="29"/>
        <v xml:space="preserve"> </v>
      </c>
      <c r="L358" s="2" t="str">
        <f t="shared" si="26"/>
        <v xml:space="preserve"> </v>
      </c>
      <c r="M358" s="2" t="str">
        <f t="shared" si="27"/>
        <v xml:space="preserve"> </v>
      </c>
    </row>
    <row r="359" spans="1:13" x14ac:dyDescent="0.25">
      <c r="A359" s="40" t="str">
        <f t="shared" si="25"/>
        <v xml:space="preserve"> </v>
      </c>
      <c r="D359" s="39"/>
      <c r="E359" s="39"/>
      <c r="J359" s="15">
        <f t="shared" si="28"/>
        <v>0</v>
      </c>
      <c r="K359" s="2" t="str">
        <f t="shared" si="29"/>
        <v xml:space="preserve"> </v>
      </c>
      <c r="L359" s="2" t="str">
        <f t="shared" si="26"/>
        <v xml:space="preserve"> </v>
      </c>
      <c r="M359" s="2" t="str">
        <f t="shared" si="27"/>
        <v xml:space="preserve"> </v>
      </c>
    </row>
    <row r="360" spans="1:13" x14ac:dyDescent="0.25">
      <c r="A360" s="40" t="str">
        <f t="shared" si="25"/>
        <v xml:space="preserve"> </v>
      </c>
      <c r="D360" s="39"/>
      <c r="E360" s="39"/>
      <c r="J360" s="15">
        <f t="shared" si="28"/>
        <v>0</v>
      </c>
      <c r="K360" s="2" t="str">
        <f t="shared" si="29"/>
        <v xml:space="preserve"> </v>
      </c>
      <c r="L360" s="2" t="str">
        <f t="shared" si="26"/>
        <v xml:space="preserve"> </v>
      </c>
      <c r="M360" s="2" t="str">
        <f t="shared" si="27"/>
        <v xml:space="preserve"> </v>
      </c>
    </row>
    <row r="361" spans="1:13" x14ac:dyDescent="0.25">
      <c r="A361" s="40" t="str">
        <f t="shared" si="25"/>
        <v xml:space="preserve"> </v>
      </c>
      <c r="D361" s="39"/>
      <c r="E361" s="39"/>
      <c r="J361" s="15">
        <f t="shared" si="28"/>
        <v>0</v>
      </c>
      <c r="K361" s="2" t="str">
        <f t="shared" si="29"/>
        <v xml:space="preserve"> </v>
      </c>
      <c r="L361" s="2" t="str">
        <f t="shared" si="26"/>
        <v xml:space="preserve"> </v>
      </c>
      <c r="M361" s="2" t="str">
        <f t="shared" si="27"/>
        <v xml:space="preserve"> </v>
      </c>
    </row>
    <row r="362" spans="1:13" x14ac:dyDescent="0.25">
      <c r="A362" s="40" t="str">
        <f t="shared" si="25"/>
        <v xml:space="preserve"> </v>
      </c>
      <c r="D362" s="39"/>
      <c r="E362" s="39"/>
      <c r="J362" s="15">
        <f t="shared" si="28"/>
        <v>0</v>
      </c>
      <c r="K362" s="2" t="str">
        <f t="shared" si="29"/>
        <v xml:space="preserve"> </v>
      </c>
      <c r="L362" s="2" t="str">
        <f t="shared" si="26"/>
        <v xml:space="preserve"> </v>
      </c>
      <c r="M362" s="2" t="str">
        <f t="shared" si="27"/>
        <v xml:space="preserve"> </v>
      </c>
    </row>
    <row r="363" spans="1:13" x14ac:dyDescent="0.25">
      <c r="A363" s="40" t="str">
        <f t="shared" si="25"/>
        <v xml:space="preserve"> </v>
      </c>
      <c r="D363" s="39"/>
      <c r="E363" s="39"/>
      <c r="J363" s="15">
        <f t="shared" si="28"/>
        <v>0</v>
      </c>
      <c r="K363" s="2" t="str">
        <f t="shared" si="29"/>
        <v xml:space="preserve"> </v>
      </c>
      <c r="L363" s="2" t="str">
        <f t="shared" si="26"/>
        <v xml:space="preserve"> </v>
      </c>
      <c r="M363" s="2" t="str">
        <f t="shared" si="27"/>
        <v xml:space="preserve"> </v>
      </c>
    </row>
    <row r="364" spans="1:13" x14ac:dyDescent="0.25">
      <c r="A364" s="40" t="str">
        <f t="shared" si="25"/>
        <v xml:space="preserve"> </v>
      </c>
      <c r="D364" s="39"/>
      <c r="E364" s="39"/>
      <c r="J364" s="15">
        <f t="shared" si="28"/>
        <v>0</v>
      </c>
      <c r="K364" s="2" t="str">
        <f t="shared" si="29"/>
        <v xml:space="preserve"> </v>
      </c>
      <c r="L364" s="2" t="str">
        <f t="shared" si="26"/>
        <v xml:space="preserve"> </v>
      </c>
      <c r="M364" s="2" t="str">
        <f t="shared" si="27"/>
        <v xml:space="preserve"> </v>
      </c>
    </row>
    <row r="365" spans="1:13" x14ac:dyDescent="0.25">
      <c r="A365" s="40" t="str">
        <f t="shared" si="25"/>
        <v xml:space="preserve"> </v>
      </c>
      <c r="D365" s="39"/>
      <c r="E365" s="39"/>
      <c r="J365" s="15">
        <f t="shared" si="28"/>
        <v>0</v>
      </c>
      <c r="K365" s="2" t="str">
        <f t="shared" si="29"/>
        <v xml:space="preserve"> </v>
      </c>
      <c r="L365" s="2" t="str">
        <f t="shared" si="26"/>
        <v xml:space="preserve"> </v>
      </c>
      <c r="M365" s="2" t="str">
        <f t="shared" si="27"/>
        <v xml:space="preserve"> </v>
      </c>
    </row>
    <row r="366" spans="1:13" x14ac:dyDescent="0.25">
      <c r="A366" s="40" t="str">
        <f t="shared" si="25"/>
        <v xml:space="preserve"> </v>
      </c>
      <c r="D366" s="39"/>
      <c r="E366" s="39"/>
      <c r="J366" s="15">
        <f t="shared" si="28"/>
        <v>0</v>
      </c>
      <c r="K366" s="2" t="str">
        <f t="shared" si="29"/>
        <v xml:space="preserve"> </v>
      </c>
      <c r="L366" s="2" t="str">
        <f t="shared" si="26"/>
        <v xml:space="preserve"> </v>
      </c>
      <c r="M366" s="2" t="str">
        <f t="shared" si="27"/>
        <v xml:space="preserve"> </v>
      </c>
    </row>
    <row r="367" spans="1:13" x14ac:dyDescent="0.25">
      <c r="A367" s="40" t="str">
        <f t="shared" si="25"/>
        <v xml:space="preserve"> </v>
      </c>
      <c r="D367" s="39"/>
      <c r="E367" s="39"/>
      <c r="J367" s="15">
        <f t="shared" si="28"/>
        <v>0</v>
      </c>
      <c r="K367" s="2" t="str">
        <f t="shared" si="29"/>
        <v xml:space="preserve"> </v>
      </c>
      <c r="L367" s="2" t="str">
        <f t="shared" si="26"/>
        <v xml:space="preserve"> </v>
      </c>
      <c r="M367" s="2" t="str">
        <f t="shared" si="27"/>
        <v xml:space="preserve"> </v>
      </c>
    </row>
    <row r="368" spans="1:13" x14ac:dyDescent="0.25">
      <c r="A368" s="40" t="str">
        <f t="shared" si="25"/>
        <v xml:space="preserve"> </v>
      </c>
      <c r="D368" s="39"/>
      <c r="E368" s="39"/>
      <c r="J368" s="15">
        <f t="shared" si="28"/>
        <v>0</v>
      </c>
      <c r="K368" s="2" t="str">
        <f t="shared" si="29"/>
        <v xml:space="preserve"> </v>
      </c>
      <c r="L368" s="2" t="str">
        <f t="shared" si="26"/>
        <v xml:space="preserve"> </v>
      </c>
      <c r="M368" s="2" t="str">
        <f t="shared" si="27"/>
        <v xml:space="preserve"> </v>
      </c>
    </row>
    <row r="369" spans="1:13" x14ac:dyDescent="0.25">
      <c r="A369" s="40" t="str">
        <f t="shared" si="25"/>
        <v xml:space="preserve"> </v>
      </c>
      <c r="D369" s="39"/>
      <c r="E369" s="39"/>
      <c r="J369" s="15">
        <f t="shared" si="28"/>
        <v>0</v>
      </c>
      <c r="K369" s="2" t="str">
        <f t="shared" si="29"/>
        <v xml:space="preserve"> </v>
      </c>
      <c r="L369" s="2" t="str">
        <f t="shared" si="26"/>
        <v xml:space="preserve"> </v>
      </c>
      <c r="M369" s="2" t="str">
        <f t="shared" si="27"/>
        <v xml:space="preserve"> </v>
      </c>
    </row>
    <row r="370" spans="1:13" x14ac:dyDescent="0.25">
      <c r="A370" s="40" t="str">
        <f t="shared" si="25"/>
        <v xml:space="preserve"> </v>
      </c>
      <c r="D370" s="39"/>
      <c r="E370" s="39"/>
      <c r="J370" s="15">
        <f t="shared" si="28"/>
        <v>0</v>
      </c>
      <c r="K370" s="2" t="str">
        <f t="shared" si="29"/>
        <v xml:space="preserve"> </v>
      </c>
      <c r="L370" s="2" t="str">
        <f t="shared" si="26"/>
        <v xml:space="preserve"> </v>
      </c>
      <c r="M370" s="2" t="str">
        <f t="shared" si="27"/>
        <v xml:space="preserve"> </v>
      </c>
    </row>
    <row r="371" spans="1:13" x14ac:dyDescent="0.25">
      <c r="A371" s="40" t="str">
        <f t="shared" si="25"/>
        <v xml:space="preserve"> </v>
      </c>
      <c r="D371" s="39"/>
      <c r="E371" s="39"/>
      <c r="J371" s="15">
        <f t="shared" si="28"/>
        <v>0</v>
      </c>
      <c r="K371" s="2" t="str">
        <f t="shared" si="29"/>
        <v xml:space="preserve"> </v>
      </c>
      <c r="L371" s="2" t="str">
        <f t="shared" si="26"/>
        <v xml:space="preserve"> </v>
      </c>
      <c r="M371" s="2" t="str">
        <f t="shared" si="27"/>
        <v xml:space="preserve"> </v>
      </c>
    </row>
    <row r="372" spans="1:13" x14ac:dyDescent="0.25">
      <c r="A372" s="40" t="str">
        <f t="shared" si="25"/>
        <v xml:space="preserve"> </v>
      </c>
      <c r="D372" s="39"/>
      <c r="E372" s="39"/>
      <c r="J372" s="15">
        <f t="shared" si="28"/>
        <v>0</v>
      </c>
      <c r="K372" s="2" t="str">
        <f t="shared" si="29"/>
        <v xml:space="preserve"> </v>
      </c>
      <c r="L372" s="2" t="str">
        <f t="shared" si="26"/>
        <v xml:space="preserve"> </v>
      </c>
      <c r="M372" s="2" t="str">
        <f t="shared" si="27"/>
        <v xml:space="preserve"> </v>
      </c>
    </row>
    <row r="373" spans="1:13" x14ac:dyDescent="0.25">
      <c r="A373" s="40" t="str">
        <f t="shared" si="25"/>
        <v xml:space="preserve"> </v>
      </c>
      <c r="D373" s="39"/>
      <c r="E373" s="39"/>
      <c r="J373" s="15">
        <f t="shared" si="28"/>
        <v>0</v>
      </c>
      <c r="K373" s="2" t="str">
        <f t="shared" si="29"/>
        <v xml:space="preserve"> </v>
      </c>
      <c r="L373" s="2" t="str">
        <f t="shared" si="26"/>
        <v xml:space="preserve"> </v>
      </c>
      <c r="M373" s="2" t="str">
        <f t="shared" si="27"/>
        <v xml:space="preserve"> </v>
      </c>
    </row>
    <row r="374" spans="1:13" x14ac:dyDescent="0.25">
      <c r="A374" s="40" t="str">
        <f t="shared" si="25"/>
        <v xml:space="preserve"> </v>
      </c>
      <c r="D374" s="39"/>
      <c r="E374" s="39"/>
      <c r="J374" s="15">
        <f t="shared" si="28"/>
        <v>0</v>
      </c>
      <c r="K374" s="2" t="str">
        <f t="shared" si="29"/>
        <v xml:space="preserve"> </v>
      </c>
      <c r="L374" s="2" t="str">
        <f t="shared" si="26"/>
        <v xml:space="preserve"> </v>
      </c>
      <c r="M374" s="2" t="str">
        <f t="shared" si="27"/>
        <v xml:space="preserve"> </v>
      </c>
    </row>
    <row r="375" spans="1:13" x14ac:dyDescent="0.25">
      <c r="A375" s="40" t="str">
        <f t="shared" si="25"/>
        <v xml:space="preserve"> </v>
      </c>
      <c r="D375" s="39"/>
      <c r="E375" s="39"/>
      <c r="J375" s="15">
        <f t="shared" si="28"/>
        <v>0</v>
      </c>
      <c r="K375" s="2" t="str">
        <f t="shared" si="29"/>
        <v xml:space="preserve"> </v>
      </c>
      <c r="L375" s="2" t="str">
        <f t="shared" si="26"/>
        <v xml:space="preserve"> </v>
      </c>
      <c r="M375" s="2" t="str">
        <f t="shared" si="27"/>
        <v xml:space="preserve"> </v>
      </c>
    </row>
    <row r="376" spans="1:13" x14ac:dyDescent="0.25">
      <c r="A376" s="40" t="str">
        <f t="shared" si="25"/>
        <v xml:space="preserve"> </v>
      </c>
      <c r="D376" s="39"/>
      <c r="E376" s="39"/>
      <c r="J376" s="15">
        <f t="shared" si="28"/>
        <v>0</v>
      </c>
      <c r="K376" s="2" t="str">
        <f t="shared" si="29"/>
        <v xml:space="preserve"> </v>
      </c>
      <c r="L376" s="2" t="str">
        <f t="shared" si="26"/>
        <v xml:space="preserve"> </v>
      </c>
      <c r="M376" s="2" t="str">
        <f t="shared" si="27"/>
        <v xml:space="preserve"> </v>
      </c>
    </row>
    <row r="377" spans="1:13" x14ac:dyDescent="0.25">
      <c r="A377" s="40" t="str">
        <f t="shared" si="25"/>
        <v xml:space="preserve"> </v>
      </c>
      <c r="D377" s="39"/>
      <c r="E377" s="39"/>
      <c r="J377" s="15">
        <f t="shared" si="28"/>
        <v>0</v>
      </c>
      <c r="K377" s="2" t="str">
        <f t="shared" si="29"/>
        <v xml:space="preserve"> </v>
      </c>
      <c r="L377" s="2" t="str">
        <f t="shared" si="26"/>
        <v xml:space="preserve"> </v>
      </c>
      <c r="M377" s="2" t="str">
        <f t="shared" si="27"/>
        <v xml:space="preserve"> </v>
      </c>
    </row>
    <row r="378" spans="1:13" x14ac:dyDescent="0.25">
      <c r="A378" s="40" t="str">
        <f t="shared" si="25"/>
        <v xml:space="preserve"> </v>
      </c>
      <c r="D378" s="39"/>
      <c r="E378" s="39"/>
      <c r="J378" s="15">
        <f t="shared" si="28"/>
        <v>0</v>
      </c>
      <c r="K378" s="2" t="str">
        <f t="shared" si="29"/>
        <v xml:space="preserve"> </v>
      </c>
      <c r="L378" s="2" t="str">
        <f t="shared" si="26"/>
        <v xml:space="preserve"> </v>
      </c>
      <c r="M378" s="2" t="str">
        <f t="shared" si="27"/>
        <v xml:space="preserve"> </v>
      </c>
    </row>
    <row r="379" spans="1:13" x14ac:dyDescent="0.25">
      <c r="A379" s="40" t="str">
        <f t="shared" si="25"/>
        <v xml:space="preserve"> </v>
      </c>
      <c r="D379" s="39"/>
      <c r="E379" s="39"/>
      <c r="J379" s="15">
        <f t="shared" si="28"/>
        <v>0</v>
      </c>
      <c r="K379" s="2" t="str">
        <f t="shared" si="29"/>
        <v xml:space="preserve"> </v>
      </c>
      <c r="L379" s="2" t="str">
        <f t="shared" si="26"/>
        <v xml:space="preserve"> </v>
      </c>
      <c r="M379" s="2" t="str">
        <f t="shared" si="27"/>
        <v xml:space="preserve"> </v>
      </c>
    </row>
    <row r="380" spans="1:13" x14ac:dyDescent="0.25">
      <c r="A380" s="40" t="str">
        <f t="shared" si="25"/>
        <v xml:space="preserve"> </v>
      </c>
      <c r="D380" s="39"/>
      <c r="E380" s="39"/>
      <c r="J380" s="15">
        <f t="shared" si="28"/>
        <v>0</v>
      </c>
      <c r="K380" s="2" t="str">
        <f t="shared" si="29"/>
        <v xml:space="preserve"> </v>
      </c>
      <c r="L380" s="2" t="str">
        <f t="shared" si="26"/>
        <v xml:space="preserve"> </v>
      </c>
      <c r="M380" s="2" t="str">
        <f t="shared" si="27"/>
        <v xml:space="preserve"> </v>
      </c>
    </row>
    <row r="381" spans="1:13" x14ac:dyDescent="0.25">
      <c r="A381" s="40" t="str">
        <f t="shared" si="25"/>
        <v xml:space="preserve"> </v>
      </c>
      <c r="D381" s="39"/>
      <c r="E381" s="39"/>
      <c r="J381" s="15">
        <f t="shared" si="28"/>
        <v>0</v>
      </c>
      <c r="K381" s="2" t="str">
        <f t="shared" si="29"/>
        <v xml:space="preserve"> </v>
      </c>
      <c r="L381" s="2" t="str">
        <f t="shared" si="26"/>
        <v xml:space="preserve"> </v>
      </c>
      <c r="M381" s="2" t="str">
        <f t="shared" si="27"/>
        <v xml:space="preserve"> </v>
      </c>
    </row>
    <row r="382" spans="1:13" x14ac:dyDescent="0.25">
      <c r="A382" s="40" t="str">
        <f t="shared" si="25"/>
        <v xml:space="preserve"> </v>
      </c>
      <c r="D382" s="39"/>
      <c r="E382" s="39"/>
      <c r="J382" s="15">
        <f t="shared" si="28"/>
        <v>0</v>
      </c>
      <c r="K382" s="2" t="str">
        <f t="shared" si="29"/>
        <v xml:space="preserve"> </v>
      </c>
      <c r="L382" s="2" t="str">
        <f t="shared" si="26"/>
        <v xml:space="preserve"> </v>
      </c>
      <c r="M382" s="2" t="str">
        <f t="shared" si="27"/>
        <v xml:space="preserve"> </v>
      </c>
    </row>
    <row r="383" spans="1:13" x14ac:dyDescent="0.25">
      <c r="A383" s="40" t="str">
        <f t="shared" si="25"/>
        <v xml:space="preserve"> </v>
      </c>
      <c r="D383" s="39"/>
      <c r="E383" s="39"/>
      <c r="J383" s="15">
        <f t="shared" si="28"/>
        <v>0</v>
      </c>
      <c r="K383" s="2" t="str">
        <f t="shared" si="29"/>
        <v xml:space="preserve"> </v>
      </c>
      <c r="L383" s="2" t="str">
        <f t="shared" si="26"/>
        <v xml:space="preserve"> </v>
      </c>
      <c r="M383" s="2" t="str">
        <f t="shared" si="27"/>
        <v xml:space="preserve"> </v>
      </c>
    </row>
    <row r="384" spans="1:13" x14ac:dyDescent="0.25">
      <c r="A384" s="40" t="str">
        <f t="shared" si="25"/>
        <v xml:space="preserve"> </v>
      </c>
      <c r="D384" s="39"/>
      <c r="E384" s="39"/>
      <c r="J384" s="15">
        <f t="shared" si="28"/>
        <v>0</v>
      </c>
      <c r="K384" s="2" t="str">
        <f t="shared" si="29"/>
        <v xml:space="preserve"> </v>
      </c>
      <c r="L384" s="2" t="str">
        <f t="shared" si="26"/>
        <v xml:space="preserve"> </v>
      </c>
      <c r="M384" s="2" t="str">
        <f t="shared" si="27"/>
        <v xml:space="preserve"> </v>
      </c>
    </row>
    <row r="385" spans="1:13" x14ac:dyDescent="0.25">
      <c r="A385" s="40" t="str">
        <f t="shared" si="25"/>
        <v xml:space="preserve"> </v>
      </c>
      <c r="D385" s="39"/>
      <c r="E385" s="39"/>
      <c r="J385" s="15">
        <f t="shared" si="28"/>
        <v>0</v>
      </c>
      <c r="K385" s="2" t="str">
        <f t="shared" si="29"/>
        <v xml:space="preserve"> </v>
      </c>
      <c r="L385" s="2" t="str">
        <f t="shared" si="26"/>
        <v xml:space="preserve"> </v>
      </c>
      <c r="M385" s="2" t="str">
        <f t="shared" si="27"/>
        <v xml:space="preserve"> </v>
      </c>
    </row>
    <row r="386" spans="1:13" x14ac:dyDescent="0.25">
      <c r="A386" s="40" t="str">
        <f t="shared" si="25"/>
        <v xml:space="preserve"> </v>
      </c>
      <c r="D386" s="39"/>
      <c r="E386" s="39"/>
      <c r="J386" s="15">
        <f t="shared" si="28"/>
        <v>0</v>
      </c>
      <c r="K386" s="2" t="str">
        <f t="shared" si="29"/>
        <v xml:space="preserve"> </v>
      </c>
      <c r="L386" s="2" t="str">
        <f t="shared" si="26"/>
        <v xml:space="preserve"> </v>
      </c>
      <c r="M386" s="2" t="str">
        <f t="shared" si="27"/>
        <v xml:space="preserve"> </v>
      </c>
    </row>
    <row r="387" spans="1:13" x14ac:dyDescent="0.25">
      <c r="A387" s="40" t="str">
        <f t="shared" si="25"/>
        <v xml:space="preserve"> </v>
      </c>
      <c r="D387" s="39"/>
      <c r="E387" s="39"/>
      <c r="J387" s="15">
        <f t="shared" si="28"/>
        <v>0</v>
      </c>
      <c r="K387" s="2" t="str">
        <f t="shared" si="29"/>
        <v xml:space="preserve"> </v>
      </c>
      <c r="L387" s="2" t="str">
        <f t="shared" si="26"/>
        <v xml:space="preserve"> </v>
      </c>
      <c r="M387" s="2" t="str">
        <f t="shared" si="27"/>
        <v xml:space="preserve"> </v>
      </c>
    </row>
    <row r="388" spans="1:13" x14ac:dyDescent="0.25">
      <c r="A388" s="40" t="str">
        <f t="shared" si="25"/>
        <v xml:space="preserve"> </v>
      </c>
      <c r="D388" s="39"/>
      <c r="E388" s="39"/>
      <c r="J388" s="15">
        <f t="shared" si="28"/>
        <v>0</v>
      </c>
      <c r="K388" s="2" t="str">
        <f t="shared" si="29"/>
        <v xml:space="preserve"> </v>
      </c>
      <c r="L388" s="2" t="str">
        <f t="shared" si="26"/>
        <v xml:space="preserve"> </v>
      </c>
      <c r="M388" s="2" t="str">
        <f t="shared" si="27"/>
        <v xml:space="preserve"> </v>
      </c>
    </row>
    <row r="389" spans="1:13" x14ac:dyDescent="0.25">
      <c r="A389" s="40" t="str">
        <f t="shared" si="25"/>
        <v xml:space="preserve"> </v>
      </c>
      <c r="D389" s="39"/>
      <c r="E389" s="39"/>
      <c r="J389" s="15">
        <f t="shared" si="28"/>
        <v>0</v>
      </c>
      <c r="K389" s="2" t="str">
        <f t="shared" si="29"/>
        <v xml:space="preserve"> </v>
      </c>
      <c r="L389" s="2" t="str">
        <f t="shared" si="26"/>
        <v xml:space="preserve"> </v>
      </c>
      <c r="M389" s="2" t="str">
        <f t="shared" si="27"/>
        <v xml:space="preserve"> </v>
      </c>
    </row>
    <row r="390" spans="1:13" x14ac:dyDescent="0.25">
      <c r="A390" s="40" t="str">
        <f t="shared" si="25"/>
        <v xml:space="preserve"> </v>
      </c>
      <c r="D390" s="39"/>
      <c r="E390" s="39"/>
      <c r="J390" s="15">
        <f t="shared" si="28"/>
        <v>0</v>
      </c>
      <c r="K390" s="2" t="str">
        <f t="shared" si="29"/>
        <v xml:space="preserve"> </v>
      </c>
      <c r="L390" s="2" t="str">
        <f t="shared" si="26"/>
        <v xml:space="preserve"> </v>
      </c>
      <c r="M390" s="2" t="str">
        <f t="shared" si="27"/>
        <v xml:space="preserve"> </v>
      </c>
    </row>
    <row r="391" spans="1:13" x14ac:dyDescent="0.25">
      <c r="A391" s="40" t="str">
        <f t="shared" si="25"/>
        <v xml:space="preserve"> </v>
      </c>
      <c r="D391" s="39"/>
      <c r="E391" s="39"/>
      <c r="J391" s="15">
        <f t="shared" si="28"/>
        <v>0</v>
      </c>
      <c r="K391" s="2" t="str">
        <f t="shared" si="29"/>
        <v xml:space="preserve"> </v>
      </c>
      <c r="L391" s="2" t="str">
        <f t="shared" si="26"/>
        <v xml:space="preserve"> </v>
      </c>
      <c r="M391" s="2" t="str">
        <f t="shared" si="27"/>
        <v xml:space="preserve"> </v>
      </c>
    </row>
    <row r="392" spans="1:13" x14ac:dyDescent="0.25">
      <c r="A392" s="40" t="str">
        <f t="shared" si="25"/>
        <v xml:space="preserve"> </v>
      </c>
      <c r="D392" s="39"/>
      <c r="E392" s="39"/>
      <c r="J392" s="15">
        <f t="shared" si="28"/>
        <v>0</v>
      </c>
      <c r="K392" s="2" t="str">
        <f t="shared" si="29"/>
        <v xml:space="preserve"> </v>
      </c>
      <c r="L392" s="2" t="str">
        <f t="shared" si="26"/>
        <v xml:space="preserve"> </v>
      </c>
      <c r="M392" s="2" t="str">
        <f t="shared" si="27"/>
        <v xml:space="preserve"> </v>
      </c>
    </row>
    <row r="393" spans="1:13" x14ac:dyDescent="0.25">
      <c r="A393" s="40" t="str">
        <f t="shared" si="25"/>
        <v xml:space="preserve"> </v>
      </c>
      <c r="D393" s="39"/>
      <c r="E393" s="39"/>
      <c r="J393" s="15">
        <f t="shared" si="28"/>
        <v>0</v>
      </c>
      <c r="K393" s="2" t="str">
        <f t="shared" si="29"/>
        <v xml:space="preserve"> </v>
      </c>
      <c r="L393" s="2" t="str">
        <f t="shared" si="26"/>
        <v xml:space="preserve"> </v>
      </c>
      <c r="M393" s="2" t="str">
        <f t="shared" si="27"/>
        <v xml:space="preserve"> </v>
      </c>
    </row>
    <row r="394" spans="1:13" x14ac:dyDescent="0.25">
      <c r="A394" s="40" t="str">
        <f t="shared" si="25"/>
        <v xml:space="preserve"> </v>
      </c>
      <c r="D394" s="39"/>
      <c r="E394" s="39"/>
      <c r="J394" s="15">
        <f t="shared" si="28"/>
        <v>0</v>
      </c>
      <c r="K394" s="2" t="str">
        <f t="shared" si="29"/>
        <v xml:space="preserve"> </v>
      </c>
      <c r="L394" s="2" t="str">
        <f t="shared" si="26"/>
        <v xml:space="preserve"> </v>
      </c>
      <c r="M394" s="2" t="str">
        <f t="shared" si="27"/>
        <v xml:space="preserve"> </v>
      </c>
    </row>
    <row r="395" spans="1:13" x14ac:dyDescent="0.25">
      <c r="A395" s="40" t="str">
        <f t="shared" si="25"/>
        <v xml:space="preserve"> </v>
      </c>
      <c r="D395" s="39"/>
      <c r="E395" s="39"/>
      <c r="J395" s="15">
        <f t="shared" si="28"/>
        <v>0</v>
      </c>
      <c r="K395" s="2" t="str">
        <f t="shared" si="29"/>
        <v xml:space="preserve"> </v>
      </c>
      <c r="L395" s="2" t="str">
        <f t="shared" si="26"/>
        <v xml:space="preserve"> </v>
      </c>
      <c r="M395" s="2" t="str">
        <f t="shared" si="27"/>
        <v xml:space="preserve"> </v>
      </c>
    </row>
    <row r="396" spans="1:13" x14ac:dyDescent="0.25">
      <c r="A396" s="40" t="str">
        <f t="shared" si="25"/>
        <v xml:space="preserve"> </v>
      </c>
      <c r="D396" s="39"/>
      <c r="E396" s="39"/>
      <c r="J396" s="15">
        <f t="shared" si="28"/>
        <v>0</v>
      </c>
      <c r="K396" s="2" t="str">
        <f t="shared" si="29"/>
        <v xml:space="preserve"> </v>
      </c>
      <c r="L396" s="2" t="str">
        <f t="shared" si="26"/>
        <v xml:space="preserve"> </v>
      </c>
      <c r="M396" s="2" t="str">
        <f t="shared" si="27"/>
        <v xml:space="preserve"> </v>
      </c>
    </row>
    <row r="397" spans="1:13" x14ac:dyDescent="0.25">
      <c r="A397" s="40" t="str">
        <f t="shared" si="25"/>
        <v xml:space="preserve"> </v>
      </c>
      <c r="D397" s="39"/>
      <c r="E397" s="39"/>
      <c r="J397" s="15">
        <f t="shared" si="28"/>
        <v>0</v>
      </c>
      <c r="K397" s="2" t="str">
        <f t="shared" si="29"/>
        <v xml:space="preserve"> </v>
      </c>
      <c r="L397" s="2" t="str">
        <f t="shared" si="26"/>
        <v xml:space="preserve"> </v>
      </c>
      <c r="M397" s="2" t="str">
        <f t="shared" si="27"/>
        <v xml:space="preserve"> </v>
      </c>
    </row>
    <row r="398" spans="1:13" x14ac:dyDescent="0.25">
      <c r="A398" s="40" t="str">
        <f t="shared" si="25"/>
        <v xml:space="preserve"> </v>
      </c>
      <c r="D398" s="39"/>
      <c r="E398" s="39"/>
      <c r="J398" s="15">
        <f t="shared" si="28"/>
        <v>0</v>
      </c>
      <c r="K398" s="2" t="str">
        <f t="shared" si="29"/>
        <v xml:space="preserve"> </v>
      </c>
      <c r="L398" s="2" t="str">
        <f t="shared" si="26"/>
        <v xml:space="preserve"> </v>
      </c>
      <c r="M398" s="2" t="str">
        <f t="shared" si="27"/>
        <v xml:space="preserve"> </v>
      </c>
    </row>
    <row r="399" spans="1:13" x14ac:dyDescent="0.25">
      <c r="A399" s="40" t="str">
        <f t="shared" ref="A399:A462" si="30">IF(COUNTIF(K399:M399,"ERROR")&gt;0,"ERROR"," ")</f>
        <v xml:space="preserve"> </v>
      </c>
      <c r="D399" s="39"/>
      <c r="E399" s="39"/>
      <c r="J399" s="15">
        <f t="shared" si="28"/>
        <v>0</v>
      </c>
      <c r="K399" s="2" t="str">
        <f t="shared" si="29"/>
        <v xml:space="preserve"> </v>
      </c>
      <c r="L399" s="2" t="str">
        <f t="shared" ref="L399:L462" si="31">IF(D399=0," ",IF(COUNTIF(ProfitLoss4,D399)&gt;0," ","ERROR"))</f>
        <v xml:space="preserve"> </v>
      </c>
      <c r="M399" s="2" t="str">
        <f t="shared" ref="M399:M462" si="32">IF(E399=0," ",IF(COUNTIF(BalanceSheet4,E399)&gt;0," ","ERROR"))</f>
        <v xml:space="preserve"> </v>
      </c>
    </row>
    <row r="400" spans="1:13" x14ac:dyDescent="0.25">
      <c r="A400" s="40" t="str">
        <f t="shared" si="30"/>
        <v xml:space="preserve"> </v>
      </c>
      <c r="D400" s="39"/>
      <c r="E400" s="39"/>
      <c r="J400" s="15">
        <f t="shared" ref="J400:J463" si="33">F400-G400+H400-I400</f>
        <v>0</v>
      </c>
      <c r="K400" s="2" t="str">
        <f t="shared" ref="K400:K463" si="34">IF(COUNTA(D400:E400)=2,"ERROR"," ")</f>
        <v xml:space="preserve"> </v>
      </c>
      <c r="L400" s="2" t="str">
        <f t="shared" si="31"/>
        <v xml:space="preserve"> </v>
      </c>
      <c r="M400" s="2" t="str">
        <f t="shared" si="32"/>
        <v xml:space="preserve"> </v>
      </c>
    </row>
    <row r="401" spans="1:13" x14ac:dyDescent="0.25">
      <c r="A401" s="40" t="str">
        <f t="shared" si="30"/>
        <v xml:space="preserve"> </v>
      </c>
      <c r="D401" s="39"/>
      <c r="E401" s="39"/>
      <c r="J401" s="15">
        <f t="shared" si="33"/>
        <v>0</v>
      </c>
      <c r="K401" s="2" t="str">
        <f t="shared" si="34"/>
        <v xml:space="preserve"> </v>
      </c>
      <c r="L401" s="2" t="str">
        <f t="shared" si="31"/>
        <v xml:space="preserve"> </v>
      </c>
      <c r="M401" s="2" t="str">
        <f t="shared" si="32"/>
        <v xml:space="preserve"> </v>
      </c>
    </row>
    <row r="402" spans="1:13" x14ac:dyDescent="0.25">
      <c r="A402" s="40" t="str">
        <f t="shared" si="30"/>
        <v xml:space="preserve"> </v>
      </c>
      <c r="D402" s="39"/>
      <c r="E402" s="39"/>
      <c r="J402" s="15">
        <f t="shared" si="33"/>
        <v>0</v>
      </c>
      <c r="K402" s="2" t="str">
        <f t="shared" si="34"/>
        <v xml:space="preserve"> </v>
      </c>
      <c r="L402" s="2" t="str">
        <f t="shared" si="31"/>
        <v xml:space="preserve"> </v>
      </c>
      <c r="M402" s="2" t="str">
        <f t="shared" si="32"/>
        <v xml:space="preserve"> </v>
      </c>
    </row>
    <row r="403" spans="1:13" x14ac:dyDescent="0.25">
      <c r="A403" s="40" t="str">
        <f t="shared" si="30"/>
        <v xml:space="preserve"> </v>
      </c>
      <c r="D403" s="39"/>
      <c r="E403" s="39"/>
      <c r="J403" s="15">
        <f t="shared" si="33"/>
        <v>0</v>
      </c>
      <c r="K403" s="2" t="str">
        <f t="shared" si="34"/>
        <v xml:space="preserve"> </v>
      </c>
      <c r="L403" s="2" t="str">
        <f t="shared" si="31"/>
        <v xml:space="preserve"> </v>
      </c>
      <c r="M403" s="2" t="str">
        <f t="shared" si="32"/>
        <v xml:space="preserve"> </v>
      </c>
    </row>
    <row r="404" spans="1:13" x14ac:dyDescent="0.25">
      <c r="A404" s="40" t="str">
        <f t="shared" si="30"/>
        <v xml:space="preserve"> </v>
      </c>
      <c r="D404" s="39"/>
      <c r="E404" s="39"/>
      <c r="J404" s="15">
        <f t="shared" si="33"/>
        <v>0</v>
      </c>
      <c r="K404" s="2" t="str">
        <f t="shared" si="34"/>
        <v xml:space="preserve"> </v>
      </c>
      <c r="L404" s="2" t="str">
        <f t="shared" si="31"/>
        <v xml:space="preserve"> </v>
      </c>
      <c r="M404" s="2" t="str">
        <f t="shared" si="32"/>
        <v xml:space="preserve"> </v>
      </c>
    </row>
    <row r="405" spans="1:13" x14ac:dyDescent="0.25">
      <c r="A405" s="40" t="str">
        <f t="shared" si="30"/>
        <v xml:space="preserve"> </v>
      </c>
      <c r="D405" s="39"/>
      <c r="E405" s="39"/>
      <c r="J405" s="15">
        <f t="shared" si="33"/>
        <v>0</v>
      </c>
      <c r="K405" s="2" t="str">
        <f t="shared" si="34"/>
        <v xml:space="preserve"> </v>
      </c>
      <c r="L405" s="2" t="str">
        <f t="shared" si="31"/>
        <v xml:space="preserve"> </v>
      </c>
      <c r="M405" s="2" t="str">
        <f t="shared" si="32"/>
        <v xml:space="preserve"> </v>
      </c>
    </row>
    <row r="406" spans="1:13" x14ac:dyDescent="0.25">
      <c r="A406" s="40" t="str">
        <f t="shared" si="30"/>
        <v xml:space="preserve"> </v>
      </c>
      <c r="D406" s="39"/>
      <c r="E406" s="39"/>
      <c r="J406" s="15">
        <f t="shared" si="33"/>
        <v>0</v>
      </c>
      <c r="K406" s="2" t="str">
        <f t="shared" si="34"/>
        <v xml:space="preserve"> </v>
      </c>
      <c r="L406" s="2" t="str">
        <f t="shared" si="31"/>
        <v xml:space="preserve"> </v>
      </c>
      <c r="M406" s="2" t="str">
        <f t="shared" si="32"/>
        <v xml:space="preserve"> </v>
      </c>
    </row>
    <row r="407" spans="1:13" x14ac:dyDescent="0.25">
      <c r="A407" s="40" t="str">
        <f t="shared" si="30"/>
        <v xml:space="preserve"> </v>
      </c>
      <c r="D407" s="39"/>
      <c r="E407" s="39"/>
      <c r="J407" s="15">
        <f t="shared" si="33"/>
        <v>0</v>
      </c>
      <c r="K407" s="2" t="str">
        <f t="shared" si="34"/>
        <v xml:space="preserve"> </v>
      </c>
      <c r="L407" s="2" t="str">
        <f t="shared" si="31"/>
        <v xml:space="preserve"> </v>
      </c>
      <c r="M407" s="2" t="str">
        <f t="shared" si="32"/>
        <v xml:space="preserve"> </v>
      </c>
    </row>
    <row r="408" spans="1:13" x14ac:dyDescent="0.25">
      <c r="A408" s="40" t="str">
        <f t="shared" si="30"/>
        <v xml:space="preserve"> </v>
      </c>
      <c r="D408" s="39"/>
      <c r="E408" s="39"/>
      <c r="J408" s="15">
        <f t="shared" si="33"/>
        <v>0</v>
      </c>
      <c r="K408" s="2" t="str">
        <f t="shared" si="34"/>
        <v xml:space="preserve"> </v>
      </c>
      <c r="L408" s="2" t="str">
        <f t="shared" si="31"/>
        <v xml:space="preserve"> </v>
      </c>
      <c r="M408" s="2" t="str">
        <f t="shared" si="32"/>
        <v xml:space="preserve"> </v>
      </c>
    </row>
    <row r="409" spans="1:13" x14ac:dyDescent="0.25">
      <c r="A409" s="40" t="str">
        <f t="shared" si="30"/>
        <v xml:space="preserve"> </v>
      </c>
      <c r="D409" s="39"/>
      <c r="E409" s="39"/>
      <c r="J409" s="15">
        <f t="shared" si="33"/>
        <v>0</v>
      </c>
      <c r="K409" s="2" t="str">
        <f t="shared" si="34"/>
        <v xml:space="preserve"> </v>
      </c>
      <c r="L409" s="2" t="str">
        <f t="shared" si="31"/>
        <v xml:space="preserve"> </v>
      </c>
      <c r="M409" s="2" t="str">
        <f t="shared" si="32"/>
        <v xml:space="preserve"> </v>
      </c>
    </row>
    <row r="410" spans="1:13" x14ac:dyDescent="0.25">
      <c r="A410" s="40" t="str">
        <f t="shared" si="30"/>
        <v xml:space="preserve"> </v>
      </c>
      <c r="D410" s="39"/>
      <c r="E410" s="39"/>
      <c r="J410" s="15">
        <f t="shared" si="33"/>
        <v>0</v>
      </c>
      <c r="K410" s="2" t="str">
        <f t="shared" si="34"/>
        <v xml:space="preserve"> </v>
      </c>
      <c r="L410" s="2" t="str">
        <f t="shared" si="31"/>
        <v xml:space="preserve"> </v>
      </c>
      <c r="M410" s="2" t="str">
        <f t="shared" si="32"/>
        <v xml:space="preserve"> </v>
      </c>
    </row>
    <row r="411" spans="1:13" x14ac:dyDescent="0.25">
      <c r="A411" s="40" t="str">
        <f t="shared" si="30"/>
        <v xml:space="preserve"> </v>
      </c>
      <c r="D411" s="39"/>
      <c r="E411" s="39"/>
      <c r="J411" s="15">
        <f t="shared" si="33"/>
        <v>0</v>
      </c>
      <c r="K411" s="2" t="str">
        <f t="shared" si="34"/>
        <v xml:space="preserve"> </v>
      </c>
      <c r="L411" s="2" t="str">
        <f t="shared" si="31"/>
        <v xml:space="preserve"> </v>
      </c>
      <c r="M411" s="2" t="str">
        <f t="shared" si="32"/>
        <v xml:space="preserve"> </v>
      </c>
    </row>
    <row r="412" spans="1:13" x14ac:dyDescent="0.25">
      <c r="A412" s="40" t="str">
        <f t="shared" si="30"/>
        <v xml:space="preserve"> </v>
      </c>
      <c r="D412" s="39"/>
      <c r="E412" s="39"/>
      <c r="J412" s="15">
        <f t="shared" si="33"/>
        <v>0</v>
      </c>
      <c r="K412" s="2" t="str">
        <f t="shared" si="34"/>
        <v xml:space="preserve"> </v>
      </c>
      <c r="L412" s="2" t="str">
        <f t="shared" si="31"/>
        <v xml:space="preserve"> </v>
      </c>
      <c r="M412" s="2" t="str">
        <f t="shared" si="32"/>
        <v xml:space="preserve"> </v>
      </c>
    </row>
    <row r="413" spans="1:13" x14ac:dyDescent="0.25">
      <c r="A413" s="40" t="str">
        <f t="shared" si="30"/>
        <v xml:space="preserve"> </v>
      </c>
      <c r="D413" s="39"/>
      <c r="E413" s="39"/>
      <c r="J413" s="15">
        <f t="shared" si="33"/>
        <v>0</v>
      </c>
      <c r="K413" s="2" t="str">
        <f t="shared" si="34"/>
        <v xml:space="preserve"> </v>
      </c>
      <c r="L413" s="2" t="str">
        <f t="shared" si="31"/>
        <v xml:space="preserve"> </v>
      </c>
      <c r="M413" s="2" t="str">
        <f t="shared" si="32"/>
        <v xml:space="preserve"> </v>
      </c>
    </row>
    <row r="414" spans="1:13" x14ac:dyDescent="0.25">
      <c r="A414" s="40" t="str">
        <f t="shared" si="30"/>
        <v xml:space="preserve"> </v>
      </c>
      <c r="D414" s="39"/>
      <c r="E414" s="39"/>
      <c r="J414" s="15">
        <f t="shared" si="33"/>
        <v>0</v>
      </c>
      <c r="K414" s="2" t="str">
        <f t="shared" si="34"/>
        <v xml:space="preserve"> </v>
      </c>
      <c r="L414" s="2" t="str">
        <f t="shared" si="31"/>
        <v xml:space="preserve"> </v>
      </c>
      <c r="M414" s="2" t="str">
        <f t="shared" si="32"/>
        <v xml:space="preserve"> </v>
      </c>
    </row>
    <row r="415" spans="1:13" x14ac:dyDescent="0.25">
      <c r="A415" s="40" t="str">
        <f t="shared" si="30"/>
        <v xml:space="preserve"> </v>
      </c>
      <c r="D415" s="39"/>
      <c r="E415" s="39"/>
      <c r="J415" s="15">
        <f t="shared" si="33"/>
        <v>0</v>
      </c>
      <c r="K415" s="2" t="str">
        <f t="shared" si="34"/>
        <v xml:space="preserve"> </v>
      </c>
      <c r="L415" s="2" t="str">
        <f t="shared" si="31"/>
        <v xml:space="preserve"> </v>
      </c>
      <c r="M415" s="2" t="str">
        <f t="shared" si="32"/>
        <v xml:space="preserve"> </v>
      </c>
    </row>
    <row r="416" spans="1:13" x14ac:dyDescent="0.25">
      <c r="A416" s="40" t="str">
        <f t="shared" si="30"/>
        <v xml:space="preserve"> </v>
      </c>
      <c r="D416" s="39"/>
      <c r="E416" s="39"/>
      <c r="J416" s="15">
        <f t="shared" si="33"/>
        <v>0</v>
      </c>
      <c r="K416" s="2" t="str">
        <f t="shared" si="34"/>
        <v xml:space="preserve"> </v>
      </c>
      <c r="L416" s="2" t="str">
        <f t="shared" si="31"/>
        <v xml:space="preserve"> </v>
      </c>
      <c r="M416" s="2" t="str">
        <f t="shared" si="32"/>
        <v xml:space="preserve"> </v>
      </c>
    </row>
    <row r="417" spans="1:13" x14ac:dyDescent="0.25">
      <c r="A417" s="40" t="str">
        <f t="shared" si="30"/>
        <v xml:space="preserve"> </v>
      </c>
      <c r="D417" s="39"/>
      <c r="E417" s="39"/>
      <c r="J417" s="15">
        <f t="shared" si="33"/>
        <v>0</v>
      </c>
      <c r="K417" s="2" t="str">
        <f t="shared" si="34"/>
        <v xml:space="preserve"> </v>
      </c>
      <c r="L417" s="2" t="str">
        <f t="shared" si="31"/>
        <v xml:space="preserve"> </v>
      </c>
      <c r="M417" s="2" t="str">
        <f t="shared" si="32"/>
        <v xml:space="preserve"> </v>
      </c>
    </row>
    <row r="418" spans="1:13" x14ac:dyDescent="0.25">
      <c r="A418" s="40" t="str">
        <f t="shared" si="30"/>
        <v xml:space="preserve"> </v>
      </c>
      <c r="D418" s="39"/>
      <c r="E418" s="39"/>
      <c r="J418" s="15">
        <f t="shared" si="33"/>
        <v>0</v>
      </c>
      <c r="K418" s="2" t="str">
        <f t="shared" si="34"/>
        <v xml:space="preserve"> </v>
      </c>
      <c r="L418" s="2" t="str">
        <f t="shared" si="31"/>
        <v xml:space="preserve"> </v>
      </c>
      <c r="M418" s="2" t="str">
        <f t="shared" si="32"/>
        <v xml:space="preserve"> </v>
      </c>
    </row>
    <row r="419" spans="1:13" x14ac:dyDescent="0.25">
      <c r="A419" s="40" t="str">
        <f t="shared" si="30"/>
        <v xml:space="preserve"> </v>
      </c>
      <c r="D419" s="39"/>
      <c r="E419" s="39"/>
      <c r="J419" s="15">
        <f t="shared" si="33"/>
        <v>0</v>
      </c>
      <c r="K419" s="2" t="str">
        <f t="shared" si="34"/>
        <v xml:space="preserve"> </v>
      </c>
      <c r="L419" s="2" t="str">
        <f t="shared" si="31"/>
        <v xml:space="preserve"> </v>
      </c>
      <c r="M419" s="2" t="str">
        <f t="shared" si="32"/>
        <v xml:space="preserve"> </v>
      </c>
    </row>
    <row r="420" spans="1:13" x14ac:dyDescent="0.25">
      <c r="A420" s="40" t="str">
        <f t="shared" si="30"/>
        <v xml:space="preserve"> </v>
      </c>
      <c r="D420" s="39"/>
      <c r="E420" s="39"/>
      <c r="J420" s="15">
        <f t="shared" si="33"/>
        <v>0</v>
      </c>
      <c r="K420" s="2" t="str">
        <f t="shared" si="34"/>
        <v xml:space="preserve"> </v>
      </c>
      <c r="L420" s="2" t="str">
        <f t="shared" si="31"/>
        <v xml:space="preserve"> </v>
      </c>
      <c r="M420" s="2" t="str">
        <f t="shared" si="32"/>
        <v xml:space="preserve"> </v>
      </c>
    </row>
    <row r="421" spans="1:13" x14ac:dyDescent="0.25">
      <c r="A421" s="40" t="str">
        <f t="shared" si="30"/>
        <v xml:space="preserve"> </v>
      </c>
      <c r="D421" s="39"/>
      <c r="E421" s="39"/>
      <c r="J421" s="15">
        <f t="shared" si="33"/>
        <v>0</v>
      </c>
      <c r="K421" s="2" t="str">
        <f t="shared" si="34"/>
        <v xml:space="preserve"> </v>
      </c>
      <c r="L421" s="2" t="str">
        <f t="shared" si="31"/>
        <v xml:space="preserve"> </v>
      </c>
      <c r="M421" s="2" t="str">
        <f t="shared" si="32"/>
        <v xml:space="preserve"> </v>
      </c>
    </row>
    <row r="422" spans="1:13" x14ac:dyDescent="0.25">
      <c r="A422" s="40" t="str">
        <f t="shared" si="30"/>
        <v xml:space="preserve"> </v>
      </c>
      <c r="D422" s="39"/>
      <c r="E422" s="39"/>
      <c r="J422" s="15">
        <f t="shared" si="33"/>
        <v>0</v>
      </c>
      <c r="K422" s="2" t="str">
        <f t="shared" si="34"/>
        <v xml:space="preserve"> </v>
      </c>
      <c r="L422" s="2" t="str">
        <f t="shared" si="31"/>
        <v xml:space="preserve"> </v>
      </c>
      <c r="M422" s="2" t="str">
        <f t="shared" si="32"/>
        <v xml:space="preserve"> </v>
      </c>
    </row>
    <row r="423" spans="1:13" x14ac:dyDescent="0.25">
      <c r="A423" s="40" t="str">
        <f t="shared" si="30"/>
        <v xml:space="preserve"> </v>
      </c>
      <c r="D423" s="39"/>
      <c r="E423" s="39"/>
      <c r="J423" s="15">
        <f t="shared" si="33"/>
        <v>0</v>
      </c>
      <c r="K423" s="2" t="str">
        <f t="shared" si="34"/>
        <v xml:space="preserve"> </v>
      </c>
      <c r="L423" s="2" t="str">
        <f t="shared" si="31"/>
        <v xml:space="preserve"> </v>
      </c>
      <c r="M423" s="2" t="str">
        <f t="shared" si="32"/>
        <v xml:space="preserve"> </v>
      </c>
    </row>
    <row r="424" spans="1:13" x14ac:dyDescent="0.25">
      <c r="A424" s="40" t="str">
        <f t="shared" si="30"/>
        <v xml:space="preserve"> </v>
      </c>
      <c r="D424" s="39"/>
      <c r="E424" s="39"/>
      <c r="J424" s="15">
        <f t="shared" si="33"/>
        <v>0</v>
      </c>
      <c r="K424" s="2" t="str">
        <f t="shared" si="34"/>
        <v xml:space="preserve"> </v>
      </c>
      <c r="L424" s="2" t="str">
        <f t="shared" si="31"/>
        <v xml:space="preserve"> </v>
      </c>
      <c r="M424" s="2" t="str">
        <f t="shared" si="32"/>
        <v xml:space="preserve"> </v>
      </c>
    </row>
    <row r="425" spans="1:13" x14ac:dyDescent="0.25">
      <c r="A425" s="40" t="str">
        <f t="shared" si="30"/>
        <v xml:space="preserve"> </v>
      </c>
      <c r="D425" s="39"/>
      <c r="E425" s="39"/>
      <c r="J425" s="15">
        <f t="shared" si="33"/>
        <v>0</v>
      </c>
      <c r="K425" s="2" t="str">
        <f t="shared" si="34"/>
        <v xml:space="preserve"> </v>
      </c>
      <c r="L425" s="2" t="str">
        <f t="shared" si="31"/>
        <v xml:space="preserve"> </v>
      </c>
      <c r="M425" s="2" t="str">
        <f t="shared" si="32"/>
        <v xml:space="preserve"> </v>
      </c>
    </row>
    <row r="426" spans="1:13" x14ac:dyDescent="0.25">
      <c r="A426" s="40" t="str">
        <f t="shared" si="30"/>
        <v xml:space="preserve"> </v>
      </c>
      <c r="D426" s="39"/>
      <c r="E426" s="39"/>
      <c r="J426" s="15">
        <f t="shared" si="33"/>
        <v>0</v>
      </c>
      <c r="K426" s="2" t="str">
        <f t="shared" si="34"/>
        <v xml:space="preserve"> </v>
      </c>
      <c r="L426" s="2" t="str">
        <f t="shared" si="31"/>
        <v xml:space="preserve"> </v>
      </c>
      <c r="M426" s="2" t="str">
        <f t="shared" si="32"/>
        <v xml:space="preserve"> </v>
      </c>
    </row>
    <row r="427" spans="1:13" x14ac:dyDescent="0.25">
      <c r="A427" s="40" t="str">
        <f t="shared" si="30"/>
        <v xml:space="preserve"> </v>
      </c>
      <c r="D427" s="39"/>
      <c r="E427" s="39"/>
      <c r="J427" s="15">
        <f t="shared" si="33"/>
        <v>0</v>
      </c>
      <c r="K427" s="2" t="str">
        <f t="shared" si="34"/>
        <v xml:space="preserve"> </v>
      </c>
      <c r="L427" s="2" t="str">
        <f t="shared" si="31"/>
        <v xml:space="preserve"> </v>
      </c>
      <c r="M427" s="2" t="str">
        <f t="shared" si="32"/>
        <v xml:space="preserve"> </v>
      </c>
    </row>
    <row r="428" spans="1:13" x14ac:dyDescent="0.25">
      <c r="A428" s="40" t="str">
        <f t="shared" si="30"/>
        <v xml:space="preserve"> </v>
      </c>
      <c r="D428" s="39"/>
      <c r="E428" s="39"/>
      <c r="J428" s="15">
        <f t="shared" si="33"/>
        <v>0</v>
      </c>
      <c r="K428" s="2" t="str">
        <f t="shared" si="34"/>
        <v xml:space="preserve"> </v>
      </c>
      <c r="L428" s="2" t="str">
        <f t="shared" si="31"/>
        <v xml:space="preserve"> </v>
      </c>
      <c r="M428" s="2" t="str">
        <f t="shared" si="32"/>
        <v xml:space="preserve"> </v>
      </c>
    </row>
    <row r="429" spans="1:13" x14ac:dyDescent="0.25">
      <c r="A429" s="40" t="str">
        <f t="shared" si="30"/>
        <v xml:space="preserve"> </v>
      </c>
      <c r="D429" s="39"/>
      <c r="E429" s="39"/>
      <c r="J429" s="15">
        <f t="shared" si="33"/>
        <v>0</v>
      </c>
      <c r="K429" s="2" t="str">
        <f t="shared" si="34"/>
        <v xml:space="preserve"> </v>
      </c>
      <c r="L429" s="2" t="str">
        <f t="shared" si="31"/>
        <v xml:space="preserve"> </v>
      </c>
      <c r="M429" s="2" t="str">
        <f t="shared" si="32"/>
        <v xml:space="preserve"> </v>
      </c>
    </row>
    <row r="430" spans="1:13" x14ac:dyDescent="0.25">
      <c r="A430" s="40" t="str">
        <f t="shared" si="30"/>
        <v xml:space="preserve"> </v>
      </c>
      <c r="D430" s="39"/>
      <c r="E430" s="39"/>
      <c r="J430" s="15">
        <f t="shared" si="33"/>
        <v>0</v>
      </c>
      <c r="K430" s="2" t="str">
        <f t="shared" si="34"/>
        <v xml:space="preserve"> </v>
      </c>
      <c r="L430" s="2" t="str">
        <f t="shared" si="31"/>
        <v xml:space="preserve"> </v>
      </c>
      <c r="M430" s="2" t="str">
        <f t="shared" si="32"/>
        <v xml:space="preserve"> </v>
      </c>
    </row>
    <row r="431" spans="1:13" x14ac:dyDescent="0.25">
      <c r="A431" s="40" t="str">
        <f t="shared" si="30"/>
        <v xml:space="preserve"> </v>
      </c>
      <c r="D431" s="39"/>
      <c r="E431" s="39"/>
      <c r="J431" s="15">
        <f t="shared" si="33"/>
        <v>0</v>
      </c>
      <c r="K431" s="2" t="str">
        <f t="shared" si="34"/>
        <v xml:space="preserve"> </v>
      </c>
      <c r="L431" s="2" t="str">
        <f t="shared" si="31"/>
        <v xml:space="preserve"> </v>
      </c>
      <c r="M431" s="2" t="str">
        <f t="shared" si="32"/>
        <v xml:space="preserve"> </v>
      </c>
    </row>
    <row r="432" spans="1:13" x14ac:dyDescent="0.25">
      <c r="A432" s="40" t="str">
        <f t="shared" si="30"/>
        <v xml:space="preserve"> </v>
      </c>
      <c r="D432" s="39"/>
      <c r="E432" s="39"/>
      <c r="J432" s="15">
        <f t="shared" si="33"/>
        <v>0</v>
      </c>
      <c r="K432" s="2" t="str">
        <f t="shared" si="34"/>
        <v xml:space="preserve"> </v>
      </c>
      <c r="L432" s="2" t="str">
        <f t="shared" si="31"/>
        <v xml:space="preserve"> </v>
      </c>
      <c r="M432" s="2" t="str">
        <f t="shared" si="32"/>
        <v xml:space="preserve"> </v>
      </c>
    </row>
    <row r="433" spans="1:13" x14ac:dyDescent="0.25">
      <c r="A433" s="40" t="str">
        <f t="shared" si="30"/>
        <v xml:space="preserve"> </v>
      </c>
      <c r="D433" s="39"/>
      <c r="E433" s="39"/>
      <c r="J433" s="15">
        <f t="shared" si="33"/>
        <v>0</v>
      </c>
      <c r="K433" s="2" t="str">
        <f t="shared" si="34"/>
        <v xml:space="preserve"> </v>
      </c>
      <c r="L433" s="2" t="str">
        <f t="shared" si="31"/>
        <v xml:space="preserve"> </v>
      </c>
      <c r="M433" s="2" t="str">
        <f t="shared" si="32"/>
        <v xml:space="preserve"> </v>
      </c>
    </row>
    <row r="434" spans="1:13" x14ac:dyDescent="0.25">
      <c r="A434" s="40" t="str">
        <f t="shared" si="30"/>
        <v xml:space="preserve"> </v>
      </c>
      <c r="D434" s="39"/>
      <c r="E434" s="39"/>
      <c r="J434" s="15">
        <f t="shared" si="33"/>
        <v>0</v>
      </c>
      <c r="K434" s="2" t="str">
        <f t="shared" si="34"/>
        <v xml:space="preserve"> </v>
      </c>
      <c r="L434" s="2" t="str">
        <f t="shared" si="31"/>
        <v xml:space="preserve"> </v>
      </c>
      <c r="M434" s="2" t="str">
        <f t="shared" si="32"/>
        <v xml:space="preserve"> </v>
      </c>
    </row>
    <row r="435" spans="1:13" x14ac:dyDescent="0.25">
      <c r="A435" s="40" t="str">
        <f t="shared" si="30"/>
        <v xml:space="preserve"> </v>
      </c>
      <c r="D435" s="39"/>
      <c r="E435" s="39"/>
      <c r="J435" s="15">
        <f t="shared" si="33"/>
        <v>0</v>
      </c>
      <c r="K435" s="2" t="str">
        <f t="shared" si="34"/>
        <v xml:space="preserve"> </v>
      </c>
      <c r="L435" s="2" t="str">
        <f t="shared" si="31"/>
        <v xml:space="preserve"> </v>
      </c>
      <c r="M435" s="2" t="str">
        <f t="shared" si="32"/>
        <v xml:space="preserve"> </v>
      </c>
    </row>
    <row r="436" spans="1:13" x14ac:dyDescent="0.25">
      <c r="A436" s="40" t="str">
        <f t="shared" si="30"/>
        <v xml:space="preserve"> </v>
      </c>
      <c r="D436" s="39"/>
      <c r="E436" s="39"/>
      <c r="J436" s="15">
        <f t="shared" si="33"/>
        <v>0</v>
      </c>
      <c r="K436" s="2" t="str">
        <f t="shared" si="34"/>
        <v xml:space="preserve"> </v>
      </c>
      <c r="L436" s="2" t="str">
        <f t="shared" si="31"/>
        <v xml:space="preserve"> </v>
      </c>
      <c r="M436" s="2" t="str">
        <f t="shared" si="32"/>
        <v xml:space="preserve"> </v>
      </c>
    </row>
    <row r="437" spans="1:13" x14ac:dyDescent="0.25">
      <c r="A437" s="40" t="str">
        <f t="shared" si="30"/>
        <v xml:space="preserve"> </v>
      </c>
      <c r="D437" s="39"/>
      <c r="E437" s="39"/>
      <c r="J437" s="15">
        <f t="shared" si="33"/>
        <v>0</v>
      </c>
      <c r="K437" s="2" t="str">
        <f t="shared" si="34"/>
        <v xml:space="preserve"> </v>
      </c>
      <c r="L437" s="2" t="str">
        <f t="shared" si="31"/>
        <v xml:space="preserve"> </v>
      </c>
      <c r="M437" s="2" t="str">
        <f t="shared" si="32"/>
        <v xml:space="preserve"> </v>
      </c>
    </row>
    <row r="438" spans="1:13" x14ac:dyDescent="0.25">
      <c r="A438" s="40" t="str">
        <f t="shared" si="30"/>
        <v xml:space="preserve"> </v>
      </c>
      <c r="D438" s="39"/>
      <c r="E438" s="39"/>
      <c r="J438" s="15">
        <f t="shared" si="33"/>
        <v>0</v>
      </c>
      <c r="K438" s="2" t="str">
        <f t="shared" si="34"/>
        <v xml:space="preserve"> </v>
      </c>
      <c r="L438" s="2" t="str">
        <f t="shared" si="31"/>
        <v xml:space="preserve"> </v>
      </c>
      <c r="M438" s="2" t="str">
        <f t="shared" si="32"/>
        <v xml:space="preserve"> </v>
      </c>
    </row>
    <row r="439" spans="1:13" x14ac:dyDescent="0.25">
      <c r="A439" s="40" t="str">
        <f t="shared" si="30"/>
        <v xml:space="preserve"> </v>
      </c>
      <c r="D439" s="39"/>
      <c r="E439" s="39"/>
      <c r="J439" s="15">
        <f t="shared" si="33"/>
        <v>0</v>
      </c>
      <c r="K439" s="2" t="str">
        <f t="shared" si="34"/>
        <v xml:space="preserve"> </v>
      </c>
      <c r="L439" s="2" t="str">
        <f t="shared" si="31"/>
        <v xml:space="preserve"> </v>
      </c>
      <c r="M439" s="2" t="str">
        <f t="shared" si="32"/>
        <v xml:space="preserve"> </v>
      </c>
    </row>
    <row r="440" spans="1:13" x14ac:dyDescent="0.25">
      <c r="A440" s="40" t="str">
        <f t="shared" si="30"/>
        <v xml:space="preserve"> </v>
      </c>
      <c r="D440" s="39"/>
      <c r="E440" s="39"/>
      <c r="J440" s="15">
        <f t="shared" si="33"/>
        <v>0</v>
      </c>
      <c r="K440" s="2" t="str">
        <f t="shared" si="34"/>
        <v xml:space="preserve"> </v>
      </c>
      <c r="L440" s="2" t="str">
        <f t="shared" si="31"/>
        <v xml:space="preserve"> </v>
      </c>
      <c r="M440" s="2" t="str">
        <f t="shared" si="32"/>
        <v xml:space="preserve"> </v>
      </c>
    </row>
    <row r="441" spans="1:13" x14ac:dyDescent="0.25">
      <c r="A441" s="40" t="str">
        <f t="shared" si="30"/>
        <v xml:space="preserve"> </v>
      </c>
      <c r="D441" s="39"/>
      <c r="E441" s="39"/>
      <c r="J441" s="15">
        <f t="shared" si="33"/>
        <v>0</v>
      </c>
      <c r="K441" s="2" t="str">
        <f t="shared" si="34"/>
        <v xml:space="preserve"> </v>
      </c>
      <c r="L441" s="2" t="str">
        <f t="shared" si="31"/>
        <v xml:space="preserve"> </v>
      </c>
      <c r="M441" s="2" t="str">
        <f t="shared" si="32"/>
        <v xml:space="preserve"> </v>
      </c>
    </row>
    <row r="442" spans="1:13" x14ac:dyDescent="0.25">
      <c r="A442" s="40" t="str">
        <f t="shared" si="30"/>
        <v xml:space="preserve"> </v>
      </c>
      <c r="D442" s="39"/>
      <c r="E442" s="39"/>
      <c r="J442" s="15">
        <f t="shared" si="33"/>
        <v>0</v>
      </c>
      <c r="K442" s="2" t="str">
        <f t="shared" si="34"/>
        <v xml:space="preserve"> </v>
      </c>
      <c r="L442" s="2" t="str">
        <f t="shared" si="31"/>
        <v xml:space="preserve"> </v>
      </c>
      <c r="M442" s="2" t="str">
        <f t="shared" si="32"/>
        <v xml:space="preserve"> </v>
      </c>
    </row>
    <row r="443" spans="1:13" x14ac:dyDescent="0.25">
      <c r="A443" s="40" t="str">
        <f t="shared" si="30"/>
        <v xml:space="preserve"> </v>
      </c>
      <c r="D443" s="39"/>
      <c r="E443" s="39"/>
      <c r="J443" s="15">
        <f t="shared" si="33"/>
        <v>0</v>
      </c>
      <c r="K443" s="2" t="str">
        <f t="shared" si="34"/>
        <v xml:space="preserve"> </v>
      </c>
      <c r="L443" s="2" t="str">
        <f t="shared" si="31"/>
        <v xml:space="preserve"> </v>
      </c>
      <c r="M443" s="2" t="str">
        <f t="shared" si="32"/>
        <v xml:space="preserve"> </v>
      </c>
    </row>
    <row r="444" spans="1:13" x14ac:dyDescent="0.25">
      <c r="A444" s="40" t="str">
        <f t="shared" si="30"/>
        <v xml:space="preserve"> </v>
      </c>
      <c r="D444" s="39"/>
      <c r="E444" s="39"/>
      <c r="J444" s="15">
        <f t="shared" si="33"/>
        <v>0</v>
      </c>
      <c r="K444" s="2" t="str">
        <f t="shared" si="34"/>
        <v xml:space="preserve"> </v>
      </c>
      <c r="L444" s="2" t="str">
        <f t="shared" si="31"/>
        <v xml:space="preserve"> </v>
      </c>
      <c r="M444" s="2" t="str">
        <f t="shared" si="32"/>
        <v xml:space="preserve"> </v>
      </c>
    </row>
    <row r="445" spans="1:13" x14ac:dyDescent="0.25">
      <c r="A445" s="40" t="str">
        <f t="shared" si="30"/>
        <v xml:space="preserve"> </v>
      </c>
      <c r="D445" s="39"/>
      <c r="E445" s="39"/>
      <c r="J445" s="15">
        <f t="shared" si="33"/>
        <v>0</v>
      </c>
      <c r="K445" s="2" t="str">
        <f t="shared" si="34"/>
        <v xml:space="preserve"> </v>
      </c>
      <c r="L445" s="2" t="str">
        <f t="shared" si="31"/>
        <v xml:space="preserve"> </v>
      </c>
      <c r="M445" s="2" t="str">
        <f t="shared" si="32"/>
        <v xml:space="preserve"> </v>
      </c>
    </row>
    <row r="446" spans="1:13" x14ac:dyDescent="0.25">
      <c r="A446" s="40" t="str">
        <f t="shared" si="30"/>
        <v xml:space="preserve"> </v>
      </c>
      <c r="D446" s="39"/>
      <c r="E446" s="39"/>
      <c r="J446" s="15">
        <f t="shared" si="33"/>
        <v>0</v>
      </c>
      <c r="K446" s="2" t="str">
        <f t="shared" si="34"/>
        <v xml:space="preserve"> </v>
      </c>
      <c r="L446" s="2" t="str">
        <f t="shared" si="31"/>
        <v xml:space="preserve"> </v>
      </c>
      <c r="M446" s="2" t="str">
        <f t="shared" si="32"/>
        <v xml:space="preserve"> </v>
      </c>
    </row>
    <row r="447" spans="1:13" x14ac:dyDescent="0.25">
      <c r="A447" s="40" t="str">
        <f t="shared" si="30"/>
        <v xml:space="preserve"> </v>
      </c>
      <c r="D447" s="39"/>
      <c r="E447" s="39"/>
      <c r="J447" s="15">
        <f t="shared" si="33"/>
        <v>0</v>
      </c>
      <c r="K447" s="2" t="str">
        <f t="shared" si="34"/>
        <v xml:space="preserve"> </v>
      </c>
      <c r="L447" s="2" t="str">
        <f t="shared" si="31"/>
        <v xml:space="preserve"> </v>
      </c>
      <c r="M447" s="2" t="str">
        <f t="shared" si="32"/>
        <v xml:space="preserve"> </v>
      </c>
    </row>
    <row r="448" spans="1:13" x14ac:dyDescent="0.25">
      <c r="A448" s="40" t="str">
        <f t="shared" si="30"/>
        <v xml:space="preserve"> </v>
      </c>
      <c r="D448" s="39"/>
      <c r="E448" s="39"/>
      <c r="J448" s="15">
        <f t="shared" si="33"/>
        <v>0</v>
      </c>
      <c r="K448" s="2" t="str">
        <f t="shared" si="34"/>
        <v xml:space="preserve"> </v>
      </c>
      <c r="L448" s="2" t="str">
        <f t="shared" si="31"/>
        <v xml:space="preserve"> </v>
      </c>
      <c r="M448" s="2" t="str">
        <f t="shared" si="32"/>
        <v xml:space="preserve"> </v>
      </c>
    </row>
    <row r="449" spans="1:13" x14ac:dyDescent="0.25">
      <c r="A449" s="40" t="str">
        <f t="shared" si="30"/>
        <v xml:space="preserve"> </v>
      </c>
      <c r="D449" s="39"/>
      <c r="E449" s="39"/>
      <c r="J449" s="15">
        <f t="shared" si="33"/>
        <v>0</v>
      </c>
      <c r="K449" s="2" t="str">
        <f t="shared" si="34"/>
        <v xml:space="preserve"> </v>
      </c>
      <c r="L449" s="2" t="str">
        <f t="shared" si="31"/>
        <v xml:space="preserve"> </v>
      </c>
      <c r="M449" s="2" t="str">
        <f t="shared" si="32"/>
        <v xml:space="preserve"> </v>
      </c>
    </row>
    <row r="450" spans="1:13" x14ac:dyDescent="0.25">
      <c r="A450" s="40" t="str">
        <f t="shared" si="30"/>
        <v xml:space="preserve"> </v>
      </c>
      <c r="D450" s="39"/>
      <c r="E450" s="39"/>
      <c r="J450" s="15">
        <f t="shared" si="33"/>
        <v>0</v>
      </c>
      <c r="K450" s="2" t="str">
        <f t="shared" si="34"/>
        <v xml:space="preserve"> </v>
      </c>
      <c r="L450" s="2" t="str">
        <f t="shared" si="31"/>
        <v xml:space="preserve"> </v>
      </c>
      <c r="M450" s="2" t="str">
        <f t="shared" si="32"/>
        <v xml:space="preserve"> </v>
      </c>
    </row>
    <row r="451" spans="1:13" x14ac:dyDescent="0.25">
      <c r="A451" s="40" t="str">
        <f t="shared" si="30"/>
        <v xml:space="preserve"> </v>
      </c>
      <c r="D451" s="39"/>
      <c r="E451" s="39"/>
      <c r="J451" s="15">
        <f t="shared" si="33"/>
        <v>0</v>
      </c>
      <c r="K451" s="2" t="str">
        <f t="shared" si="34"/>
        <v xml:space="preserve"> </v>
      </c>
      <c r="L451" s="2" t="str">
        <f t="shared" si="31"/>
        <v xml:space="preserve"> </v>
      </c>
      <c r="M451" s="2" t="str">
        <f t="shared" si="32"/>
        <v xml:space="preserve"> </v>
      </c>
    </row>
    <row r="452" spans="1:13" x14ac:dyDescent="0.25">
      <c r="A452" s="40" t="str">
        <f t="shared" si="30"/>
        <v xml:space="preserve"> </v>
      </c>
      <c r="D452" s="39"/>
      <c r="E452" s="39"/>
      <c r="J452" s="15">
        <f t="shared" si="33"/>
        <v>0</v>
      </c>
      <c r="K452" s="2" t="str">
        <f t="shared" si="34"/>
        <v xml:space="preserve"> </v>
      </c>
      <c r="L452" s="2" t="str">
        <f t="shared" si="31"/>
        <v xml:space="preserve"> </v>
      </c>
      <c r="M452" s="2" t="str">
        <f t="shared" si="32"/>
        <v xml:space="preserve"> </v>
      </c>
    </row>
    <row r="453" spans="1:13" x14ac:dyDescent="0.25">
      <c r="A453" s="40" t="str">
        <f t="shared" si="30"/>
        <v xml:space="preserve"> </v>
      </c>
      <c r="D453" s="39"/>
      <c r="E453" s="39"/>
      <c r="J453" s="15">
        <f t="shared" si="33"/>
        <v>0</v>
      </c>
      <c r="K453" s="2" t="str">
        <f t="shared" si="34"/>
        <v xml:space="preserve"> </v>
      </c>
      <c r="L453" s="2" t="str">
        <f t="shared" si="31"/>
        <v xml:space="preserve"> </v>
      </c>
      <c r="M453" s="2" t="str">
        <f t="shared" si="32"/>
        <v xml:space="preserve"> </v>
      </c>
    </row>
    <row r="454" spans="1:13" x14ac:dyDescent="0.25">
      <c r="A454" s="40" t="str">
        <f t="shared" si="30"/>
        <v xml:space="preserve"> </v>
      </c>
      <c r="D454" s="39"/>
      <c r="E454" s="39"/>
      <c r="J454" s="15">
        <f t="shared" si="33"/>
        <v>0</v>
      </c>
      <c r="K454" s="2" t="str">
        <f t="shared" si="34"/>
        <v xml:space="preserve"> </v>
      </c>
      <c r="L454" s="2" t="str">
        <f t="shared" si="31"/>
        <v xml:space="preserve"> </v>
      </c>
      <c r="M454" s="2" t="str">
        <f t="shared" si="32"/>
        <v xml:space="preserve"> </v>
      </c>
    </row>
    <row r="455" spans="1:13" x14ac:dyDescent="0.25">
      <c r="A455" s="40" t="str">
        <f t="shared" si="30"/>
        <v xml:space="preserve"> </v>
      </c>
      <c r="D455" s="39"/>
      <c r="E455" s="39"/>
      <c r="J455" s="15">
        <f t="shared" si="33"/>
        <v>0</v>
      </c>
      <c r="K455" s="2" t="str">
        <f t="shared" si="34"/>
        <v xml:space="preserve"> </v>
      </c>
      <c r="L455" s="2" t="str">
        <f t="shared" si="31"/>
        <v xml:space="preserve"> </v>
      </c>
      <c r="M455" s="2" t="str">
        <f t="shared" si="32"/>
        <v xml:space="preserve"> </v>
      </c>
    </row>
    <row r="456" spans="1:13" x14ac:dyDescent="0.25">
      <c r="A456" s="40" t="str">
        <f t="shared" si="30"/>
        <v xml:space="preserve"> </v>
      </c>
      <c r="D456" s="39"/>
      <c r="E456" s="39"/>
      <c r="J456" s="15">
        <f t="shared" si="33"/>
        <v>0</v>
      </c>
      <c r="K456" s="2" t="str">
        <f t="shared" si="34"/>
        <v xml:space="preserve"> </v>
      </c>
      <c r="L456" s="2" t="str">
        <f t="shared" si="31"/>
        <v xml:space="preserve"> </v>
      </c>
      <c r="M456" s="2" t="str">
        <f t="shared" si="32"/>
        <v xml:space="preserve"> </v>
      </c>
    </row>
    <row r="457" spans="1:13" x14ac:dyDescent="0.25">
      <c r="A457" s="40" t="str">
        <f t="shared" si="30"/>
        <v xml:space="preserve"> </v>
      </c>
      <c r="D457" s="39"/>
      <c r="E457" s="39"/>
      <c r="J457" s="15">
        <f t="shared" si="33"/>
        <v>0</v>
      </c>
      <c r="K457" s="2" t="str">
        <f t="shared" si="34"/>
        <v xml:space="preserve"> </v>
      </c>
      <c r="L457" s="2" t="str">
        <f t="shared" si="31"/>
        <v xml:space="preserve"> </v>
      </c>
      <c r="M457" s="2" t="str">
        <f t="shared" si="32"/>
        <v xml:space="preserve"> </v>
      </c>
    </row>
    <row r="458" spans="1:13" x14ac:dyDescent="0.25">
      <c r="A458" s="40" t="str">
        <f t="shared" si="30"/>
        <v xml:space="preserve"> </v>
      </c>
      <c r="D458" s="39"/>
      <c r="E458" s="39"/>
      <c r="J458" s="15">
        <f t="shared" si="33"/>
        <v>0</v>
      </c>
      <c r="K458" s="2" t="str">
        <f t="shared" si="34"/>
        <v xml:space="preserve"> </v>
      </c>
      <c r="L458" s="2" t="str">
        <f t="shared" si="31"/>
        <v xml:space="preserve"> </v>
      </c>
      <c r="M458" s="2" t="str">
        <f t="shared" si="32"/>
        <v xml:space="preserve"> </v>
      </c>
    </row>
    <row r="459" spans="1:13" x14ac:dyDescent="0.25">
      <c r="A459" s="40" t="str">
        <f t="shared" si="30"/>
        <v xml:space="preserve"> </v>
      </c>
      <c r="D459" s="39"/>
      <c r="E459" s="39"/>
      <c r="J459" s="15">
        <f t="shared" si="33"/>
        <v>0</v>
      </c>
      <c r="K459" s="2" t="str">
        <f t="shared" si="34"/>
        <v xml:space="preserve"> </v>
      </c>
      <c r="L459" s="2" t="str">
        <f t="shared" si="31"/>
        <v xml:space="preserve"> </v>
      </c>
      <c r="M459" s="2" t="str">
        <f t="shared" si="32"/>
        <v xml:space="preserve"> </v>
      </c>
    </row>
    <row r="460" spans="1:13" x14ac:dyDescent="0.25">
      <c r="A460" s="40" t="str">
        <f t="shared" si="30"/>
        <v xml:space="preserve"> </v>
      </c>
      <c r="D460" s="39"/>
      <c r="E460" s="39"/>
      <c r="J460" s="15">
        <f t="shared" si="33"/>
        <v>0</v>
      </c>
      <c r="K460" s="2" t="str">
        <f t="shared" si="34"/>
        <v xml:space="preserve"> </v>
      </c>
      <c r="L460" s="2" t="str">
        <f t="shared" si="31"/>
        <v xml:space="preserve"> </v>
      </c>
      <c r="M460" s="2" t="str">
        <f t="shared" si="32"/>
        <v xml:space="preserve"> </v>
      </c>
    </row>
    <row r="461" spans="1:13" x14ac:dyDescent="0.25">
      <c r="A461" s="40" t="str">
        <f t="shared" si="30"/>
        <v xml:space="preserve"> </v>
      </c>
      <c r="D461" s="39"/>
      <c r="E461" s="39"/>
      <c r="J461" s="15">
        <f t="shared" si="33"/>
        <v>0</v>
      </c>
      <c r="K461" s="2" t="str">
        <f t="shared" si="34"/>
        <v xml:space="preserve"> </v>
      </c>
      <c r="L461" s="2" t="str">
        <f t="shared" si="31"/>
        <v xml:space="preserve"> </v>
      </c>
      <c r="M461" s="2" t="str">
        <f t="shared" si="32"/>
        <v xml:space="preserve"> </v>
      </c>
    </row>
    <row r="462" spans="1:13" x14ac:dyDescent="0.25">
      <c r="A462" s="40" t="str">
        <f t="shared" si="30"/>
        <v xml:space="preserve"> </v>
      </c>
      <c r="D462" s="39"/>
      <c r="E462" s="39"/>
      <c r="J462" s="15">
        <f t="shared" si="33"/>
        <v>0</v>
      </c>
      <c r="K462" s="2" t="str">
        <f t="shared" si="34"/>
        <v xml:space="preserve"> </v>
      </c>
      <c r="L462" s="2" t="str">
        <f t="shared" si="31"/>
        <v xml:space="preserve"> </v>
      </c>
      <c r="M462" s="2" t="str">
        <f t="shared" si="32"/>
        <v xml:space="preserve"> </v>
      </c>
    </row>
    <row r="463" spans="1:13" x14ac:dyDescent="0.25">
      <c r="A463" s="40" t="str">
        <f t="shared" ref="A463:A482" si="35">IF(COUNTIF(K463:M463,"ERROR")&gt;0,"ERROR"," ")</f>
        <v xml:space="preserve"> </v>
      </c>
      <c r="D463" s="39"/>
      <c r="E463" s="39"/>
      <c r="J463" s="15">
        <f t="shared" si="33"/>
        <v>0</v>
      </c>
      <c r="K463" s="2" t="str">
        <f t="shared" si="34"/>
        <v xml:space="preserve"> </v>
      </c>
      <c r="L463" s="2" t="str">
        <f t="shared" ref="L463:L482" si="36">IF(D463=0," ",IF(COUNTIF(ProfitLoss4,D463)&gt;0," ","ERROR"))</f>
        <v xml:space="preserve"> </v>
      </c>
      <c r="M463" s="2" t="str">
        <f t="shared" ref="M463:M482" si="37">IF(E463=0," ",IF(COUNTIF(BalanceSheet4,E463)&gt;0," ","ERROR"))</f>
        <v xml:space="preserve"> </v>
      </c>
    </row>
    <row r="464" spans="1:13" x14ac:dyDescent="0.25">
      <c r="A464" s="40" t="str">
        <f t="shared" si="35"/>
        <v xml:space="preserve"> </v>
      </c>
      <c r="D464" s="39"/>
      <c r="E464" s="39"/>
      <c r="J464" s="15">
        <f t="shared" ref="J464:J482" si="38">F464-G464+H464-I464</f>
        <v>0</v>
      </c>
      <c r="K464" s="2" t="str">
        <f t="shared" ref="K464:K482" si="39">IF(COUNTA(D464:E464)=2,"ERROR"," ")</f>
        <v xml:space="preserve"> </v>
      </c>
      <c r="L464" s="2" t="str">
        <f t="shared" si="36"/>
        <v xml:space="preserve"> </v>
      </c>
      <c r="M464" s="2" t="str">
        <f t="shared" si="37"/>
        <v xml:space="preserve"> </v>
      </c>
    </row>
    <row r="465" spans="1:13" x14ac:dyDescent="0.25">
      <c r="A465" s="40" t="str">
        <f t="shared" si="35"/>
        <v xml:space="preserve"> </v>
      </c>
      <c r="D465" s="39"/>
      <c r="E465" s="39"/>
      <c r="J465" s="15">
        <f t="shared" si="38"/>
        <v>0</v>
      </c>
      <c r="K465" s="2" t="str">
        <f t="shared" si="39"/>
        <v xml:space="preserve"> </v>
      </c>
      <c r="L465" s="2" t="str">
        <f t="shared" si="36"/>
        <v xml:space="preserve"> </v>
      </c>
      <c r="M465" s="2" t="str">
        <f t="shared" si="37"/>
        <v xml:space="preserve"> </v>
      </c>
    </row>
    <row r="466" spans="1:13" x14ac:dyDescent="0.25">
      <c r="A466" s="40" t="str">
        <f t="shared" si="35"/>
        <v xml:space="preserve"> </v>
      </c>
      <c r="D466" s="39"/>
      <c r="E466" s="39"/>
      <c r="J466" s="15">
        <f t="shared" si="38"/>
        <v>0</v>
      </c>
      <c r="K466" s="2" t="str">
        <f t="shared" si="39"/>
        <v xml:space="preserve"> </v>
      </c>
      <c r="L466" s="2" t="str">
        <f t="shared" si="36"/>
        <v xml:space="preserve"> </v>
      </c>
      <c r="M466" s="2" t="str">
        <f t="shared" si="37"/>
        <v xml:space="preserve"> </v>
      </c>
    </row>
    <row r="467" spans="1:13" x14ac:dyDescent="0.25">
      <c r="A467" s="40" t="str">
        <f t="shared" si="35"/>
        <v xml:space="preserve"> </v>
      </c>
      <c r="D467" s="39"/>
      <c r="E467" s="39"/>
      <c r="J467" s="15">
        <f t="shared" si="38"/>
        <v>0</v>
      </c>
      <c r="K467" s="2" t="str">
        <f t="shared" si="39"/>
        <v xml:space="preserve"> </v>
      </c>
      <c r="L467" s="2" t="str">
        <f t="shared" si="36"/>
        <v xml:space="preserve"> </v>
      </c>
      <c r="M467" s="2" t="str">
        <f t="shared" si="37"/>
        <v xml:space="preserve"> </v>
      </c>
    </row>
    <row r="468" spans="1:13" x14ac:dyDescent="0.25">
      <c r="A468" s="40" t="str">
        <f t="shared" si="35"/>
        <v xml:space="preserve"> </v>
      </c>
      <c r="D468" s="39"/>
      <c r="E468" s="39"/>
      <c r="J468" s="15">
        <f t="shared" si="38"/>
        <v>0</v>
      </c>
      <c r="K468" s="2" t="str">
        <f t="shared" si="39"/>
        <v xml:space="preserve"> </v>
      </c>
      <c r="L468" s="2" t="str">
        <f t="shared" si="36"/>
        <v xml:space="preserve"> </v>
      </c>
      <c r="M468" s="2" t="str">
        <f t="shared" si="37"/>
        <v xml:space="preserve"> </v>
      </c>
    </row>
    <row r="469" spans="1:13" x14ac:dyDescent="0.25">
      <c r="A469" s="40" t="str">
        <f t="shared" si="35"/>
        <v xml:space="preserve"> </v>
      </c>
      <c r="D469" s="39"/>
      <c r="E469" s="39"/>
      <c r="J469" s="15">
        <f t="shared" si="38"/>
        <v>0</v>
      </c>
      <c r="K469" s="2" t="str">
        <f t="shared" si="39"/>
        <v xml:space="preserve"> </v>
      </c>
      <c r="L469" s="2" t="str">
        <f t="shared" si="36"/>
        <v xml:space="preserve"> </v>
      </c>
      <c r="M469" s="2" t="str">
        <f t="shared" si="37"/>
        <v xml:space="preserve"> </v>
      </c>
    </row>
    <row r="470" spans="1:13" x14ac:dyDescent="0.25">
      <c r="A470" s="40" t="str">
        <f t="shared" si="35"/>
        <v xml:space="preserve"> </v>
      </c>
      <c r="D470" s="39"/>
      <c r="E470" s="39"/>
      <c r="J470" s="15">
        <f t="shared" si="38"/>
        <v>0</v>
      </c>
      <c r="K470" s="2" t="str">
        <f t="shared" si="39"/>
        <v xml:space="preserve"> </v>
      </c>
      <c r="L470" s="2" t="str">
        <f t="shared" si="36"/>
        <v xml:space="preserve"> </v>
      </c>
      <c r="M470" s="2" t="str">
        <f t="shared" si="37"/>
        <v xml:space="preserve"> </v>
      </c>
    </row>
    <row r="471" spans="1:13" x14ac:dyDescent="0.25">
      <c r="A471" s="40" t="str">
        <f t="shared" si="35"/>
        <v xml:space="preserve"> </v>
      </c>
      <c r="D471" s="39"/>
      <c r="E471" s="39"/>
      <c r="J471" s="15">
        <f t="shared" si="38"/>
        <v>0</v>
      </c>
      <c r="K471" s="2" t="str">
        <f t="shared" si="39"/>
        <v xml:space="preserve"> </v>
      </c>
      <c r="L471" s="2" t="str">
        <f t="shared" si="36"/>
        <v xml:space="preserve"> </v>
      </c>
      <c r="M471" s="2" t="str">
        <f t="shared" si="37"/>
        <v xml:space="preserve"> </v>
      </c>
    </row>
    <row r="472" spans="1:13" x14ac:dyDescent="0.25">
      <c r="A472" s="40" t="str">
        <f t="shared" si="35"/>
        <v xml:space="preserve"> </v>
      </c>
      <c r="D472" s="39"/>
      <c r="E472" s="39"/>
      <c r="J472" s="15">
        <f t="shared" si="38"/>
        <v>0</v>
      </c>
      <c r="K472" s="2" t="str">
        <f t="shared" si="39"/>
        <v xml:space="preserve"> </v>
      </c>
      <c r="L472" s="2" t="str">
        <f t="shared" si="36"/>
        <v xml:space="preserve"> </v>
      </c>
      <c r="M472" s="2" t="str">
        <f t="shared" si="37"/>
        <v xml:space="preserve"> </v>
      </c>
    </row>
    <row r="473" spans="1:13" x14ac:dyDescent="0.25">
      <c r="A473" s="40" t="str">
        <f t="shared" si="35"/>
        <v xml:space="preserve"> </v>
      </c>
      <c r="D473" s="39"/>
      <c r="E473" s="39"/>
      <c r="J473" s="15">
        <f t="shared" si="38"/>
        <v>0</v>
      </c>
      <c r="K473" s="2" t="str">
        <f t="shared" si="39"/>
        <v xml:space="preserve"> </v>
      </c>
      <c r="L473" s="2" t="str">
        <f t="shared" si="36"/>
        <v xml:space="preserve"> </v>
      </c>
      <c r="M473" s="2" t="str">
        <f t="shared" si="37"/>
        <v xml:space="preserve"> </v>
      </c>
    </row>
    <row r="474" spans="1:13" x14ac:dyDescent="0.25">
      <c r="A474" s="40" t="str">
        <f t="shared" si="35"/>
        <v xml:space="preserve"> </v>
      </c>
      <c r="D474" s="39"/>
      <c r="E474" s="39"/>
      <c r="J474" s="15">
        <f t="shared" si="38"/>
        <v>0</v>
      </c>
      <c r="K474" s="2" t="str">
        <f t="shared" si="39"/>
        <v xml:space="preserve"> </v>
      </c>
      <c r="L474" s="2" t="str">
        <f t="shared" si="36"/>
        <v xml:space="preserve"> </v>
      </c>
      <c r="M474" s="2" t="str">
        <f t="shared" si="37"/>
        <v xml:space="preserve"> </v>
      </c>
    </row>
    <row r="475" spans="1:13" x14ac:dyDescent="0.25">
      <c r="A475" s="40" t="str">
        <f t="shared" si="35"/>
        <v xml:space="preserve"> </v>
      </c>
      <c r="D475" s="39"/>
      <c r="E475" s="39"/>
      <c r="J475" s="15">
        <f t="shared" si="38"/>
        <v>0</v>
      </c>
      <c r="K475" s="2" t="str">
        <f t="shared" si="39"/>
        <v xml:space="preserve"> </v>
      </c>
      <c r="L475" s="2" t="str">
        <f t="shared" si="36"/>
        <v xml:space="preserve"> </v>
      </c>
      <c r="M475" s="2" t="str">
        <f t="shared" si="37"/>
        <v xml:space="preserve"> </v>
      </c>
    </row>
    <row r="476" spans="1:13" x14ac:dyDescent="0.25">
      <c r="A476" s="40" t="str">
        <f t="shared" si="35"/>
        <v xml:space="preserve"> </v>
      </c>
      <c r="D476" s="39"/>
      <c r="E476" s="39"/>
      <c r="J476" s="15">
        <f t="shared" si="38"/>
        <v>0</v>
      </c>
      <c r="K476" s="2" t="str">
        <f t="shared" si="39"/>
        <v xml:space="preserve"> </v>
      </c>
      <c r="L476" s="2" t="str">
        <f t="shared" si="36"/>
        <v xml:space="preserve"> </v>
      </c>
      <c r="M476" s="2" t="str">
        <f t="shared" si="37"/>
        <v xml:space="preserve"> </v>
      </c>
    </row>
    <row r="477" spans="1:13" x14ac:dyDescent="0.25">
      <c r="A477" s="40" t="str">
        <f t="shared" si="35"/>
        <v xml:space="preserve"> </v>
      </c>
      <c r="D477" s="39"/>
      <c r="E477" s="39"/>
      <c r="J477" s="15">
        <f t="shared" si="38"/>
        <v>0</v>
      </c>
      <c r="K477" s="2" t="str">
        <f t="shared" si="39"/>
        <v xml:space="preserve"> </v>
      </c>
      <c r="L477" s="2" t="str">
        <f t="shared" si="36"/>
        <v xml:space="preserve"> </v>
      </c>
      <c r="M477" s="2" t="str">
        <f t="shared" si="37"/>
        <v xml:space="preserve"> </v>
      </c>
    </row>
    <row r="478" spans="1:13" x14ac:dyDescent="0.25">
      <c r="A478" s="40" t="str">
        <f t="shared" si="35"/>
        <v xml:space="preserve"> </v>
      </c>
      <c r="D478" s="39"/>
      <c r="E478" s="39"/>
      <c r="J478" s="15">
        <f t="shared" si="38"/>
        <v>0</v>
      </c>
      <c r="K478" s="2" t="str">
        <f t="shared" si="39"/>
        <v xml:space="preserve"> </v>
      </c>
      <c r="L478" s="2" t="str">
        <f t="shared" si="36"/>
        <v xml:space="preserve"> </v>
      </c>
      <c r="M478" s="2" t="str">
        <f t="shared" si="37"/>
        <v xml:space="preserve"> </v>
      </c>
    </row>
    <row r="479" spans="1:13" x14ac:dyDescent="0.25">
      <c r="A479" s="40" t="str">
        <f t="shared" si="35"/>
        <v xml:space="preserve"> </v>
      </c>
      <c r="D479" s="39"/>
      <c r="E479" s="39"/>
      <c r="J479" s="15">
        <f t="shared" si="38"/>
        <v>0</v>
      </c>
      <c r="K479" s="2" t="str">
        <f t="shared" si="39"/>
        <v xml:space="preserve"> </v>
      </c>
      <c r="L479" s="2" t="str">
        <f t="shared" si="36"/>
        <v xml:space="preserve"> </v>
      </c>
      <c r="M479" s="2" t="str">
        <f t="shared" si="37"/>
        <v xml:space="preserve"> </v>
      </c>
    </row>
    <row r="480" spans="1:13" x14ac:dyDescent="0.25">
      <c r="A480" s="40" t="str">
        <f t="shared" si="35"/>
        <v xml:space="preserve"> </v>
      </c>
      <c r="D480" s="39"/>
      <c r="E480" s="39"/>
      <c r="J480" s="15">
        <f t="shared" si="38"/>
        <v>0</v>
      </c>
      <c r="K480" s="2" t="str">
        <f t="shared" si="39"/>
        <v xml:space="preserve"> </v>
      </c>
      <c r="L480" s="2" t="str">
        <f t="shared" si="36"/>
        <v xml:space="preserve"> </v>
      </c>
      <c r="M480" s="2" t="str">
        <f t="shared" si="37"/>
        <v xml:space="preserve"> </v>
      </c>
    </row>
    <row r="481" spans="1:13" x14ac:dyDescent="0.25">
      <c r="A481" s="40" t="str">
        <f t="shared" si="35"/>
        <v xml:space="preserve"> </v>
      </c>
      <c r="D481" s="39"/>
      <c r="E481" s="39"/>
      <c r="J481" s="15">
        <f t="shared" si="38"/>
        <v>0</v>
      </c>
      <c r="K481" s="2" t="str">
        <f t="shared" si="39"/>
        <v xml:space="preserve"> </v>
      </c>
      <c r="L481" s="2" t="str">
        <f t="shared" si="36"/>
        <v xml:space="preserve"> </v>
      </c>
      <c r="M481" s="2" t="str">
        <f t="shared" si="37"/>
        <v xml:space="preserve"> </v>
      </c>
    </row>
    <row r="482" spans="1:13" x14ac:dyDescent="0.25">
      <c r="A482" s="40" t="str">
        <f t="shared" si="35"/>
        <v xml:space="preserve"> </v>
      </c>
      <c r="D482" s="39"/>
      <c r="E482" s="39"/>
      <c r="J482" s="15">
        <f t="shared" si="38"/>
        <v>0</v>
      </c>
      <c r="K482" s="2" t="str">
        <f t="shared" si="39"/>
        <v xml:space="preserve"> </v>
      </c>
      <c r="L482" s="2" t="str">
        <f t="shared" si="36"/>
        <v xml:space="preserve"> </v>
      </c>
      <c r="M482" s="2" t="str">
        <f t="shared" si="37"/>
        <v xml:space="preserve"> </v>
      </c>
    </row>
    <row r="483" spans="1:13" x14ac:dyDescent="0.25">
      <c r="A483" s="40"/>
    </row>
    <row r="484" spans="1:13" ht="16.5" thickBot="1" x14ac:dyDescent="0.3">
      <c r="A484" s="40"/>
      <c r="F484" s="17">
        <f>SUM(F14:F483)</f>
        <v>0</v>
      </c>
      <c r="G484" s="17">
        <f>SUM(G14:G483)</f>
        <v>0</v>
      </c>
      <c r="H484" s="17">
        <f>SUM(H14:H483)</f>
        <v>0</v>
      </c>
      <c r="I484" s="17">
        <f>SUM(I14:I483)</f>
        <v>0</v>
      </c>
    </row>
    <row r="485" spans="1:13" ht="16.5" thickTop="1" x14ac:dyDescent="0.25">
      <c r="A485" s="40"/>
    </row>
    <row r="486" spans="1:13" x14ac:dyDescent="0.25">
      <c r="A486" s="40"/>
      <c r="C486" s="2" t="s">
        <v>296</v>
      </c>
      <c r="F486" s="4">
        <f>G484-F484</f>
        <v>0</v>
      </c>
    </row>
  </sheetData>
  <sheetProtection formatCells="0" formatColumns="0" formatRows="0" insertHyperlinks="0" deleteColumns="0" deleteRows="0" sort="0" autoFilter="0" pivotTables="0"/>
  <mergeCells count="4">
    <mergeCell ref="F11:G11"/>
    <mergeCell ref="H11:I11"/>
    <mergeCell ref="F12:G12"/>
    <mergeCell ref="H12:I12"/>
  </mergeCells>
  <dataValidations count="2">
    <dataValidation type="list" showInputMessage="1" showErrorMessage="1" sqref="D15:D482" xr:uid="{093EE597-2AFC-44E8-88C1-565DFF24CC67}">
      <formula1>ProfitLoss4</formula1>
    </dataValidation>
    <dataValidation type="list" showInputMessage="1" showErrorMessage="1" sqref="E15:E482" xr:uid="{2E3147B5-9855-4082-A36E-52F64D239CEB}">
      <formula1>BalanceSheet4</formula1>
    </dataValidation>
  </dataValidations>
  <pageMargins left="0.75" right="0.75" top="1" bottom="1" header="0.5" footer="0.5"/>
  <pageSetup paperSize="9" scale="46" orientation="portrait" r:id="rId1"/>
  <headerFooter alignWithMargins="0"/>
  <colBreaks count="1" manualBreakCount="1">
    <brk id="1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2:P260"/>
  <sheetViews>
    <sheetView zoomScale="87" zoomScaleNormal="87" workbookViewId="0">
      <selection activeCell="E9" sqref="E9:G9"/>
    </sheetView>
  </sheetViews>
  <sheetFormatPr defaultRowHeight="15.75" x14ac:dyDescent="0.25"/>
  <cols>
    <col min="1" max="1" width="8.85546875" style="23" customWidth="1"/>
    <col min="2" max="2" width="7.140625" customWidth="1"/>
    <col min="3" max="3" width="27.5703125" style="2" customWidth="1"/>
    <col min="4" max="4" width="11.7109375" style="2" customWidth="1"/>
    <col min="5" max="5" width="30.85546875" style="2" customWidth="1"/>
    <col min="6" max="6" width="24.140625" style="2" customWidth="1"/>
    <col min="7" max="7" width="29.28515625" style="2" customWidth="1"/>
    <col min="8" max="8" width="23.85546875" style="2" customWidth="1"/>
    <col min="9" max="9" width="22.7109375" style="2" customWidth="1"/>
    <col min="10" max="10" width="24.28515625" style="2" customWidth="1"/>
    <col min="11" max="11" width="14.85546875" style="2" customWidth="1"/>
    <col min="12" max="12" width="6.7109375" style="2" customWidth="1"/>
    <col min="13" max="13" width="17.7109375" customWidth="1"/>
    <col min="14" max="14" width="17.85546875" customWidth="1"/>
    <col min="15" max="15" width="16" bestFit="1" customWidth="1"/>
    <col min="16" max="16" width="18.28515625" customWidth="1"/>
    <col min="18" max="18" width="18.28515625" customWidth="1"/>
    <col min="19" max="20" width="18" customWidth="1"/>
    <col min="21" max="21" width="15.5703125" customWidth="1"/>
    <col min="22" max="22" width="12" bestFit="1" customWidth="1"/>
  </cols>
  <sheetData>
    <row r="2" spans="3:10" ht="23.25" x14ac:dyDescent="0.35">
      <c r="E2" s="33" t="s">
        <v>1165</v>
      </c>
    </row>
    <row r="3" spans="3:10" ht="18.75" x14ac:dyDescent="0.3">
      <c r="E3" s="295" t="s">
        <v>875</v>
      </c>
    </row>
    <row r="4" spans="3:10" ht="18.75" x14ac:dyDescent="0.3">
      <c r="E4" s="295" t="s">
        <v>712</v>
      </c>
    </row>
    <row r="7" spans="3:10" ht="19.5" x14ac:dyDescent="0.35">
      <c r="C7" s="159" t="s">
        <v>1001</v>
      </c>
    </row>
    <row r="9" spans="3:10" ht="18.75" x14ac:dyDescent="0.3">
      <c r="C9" s="2" t="s">
        <v>1002</v>
      </c>
      <c r="E9" s="505" t="s">
        <v>1166</v>
      </c>
      <c r="F9" s="505"/>
      <c r="G9" s="505"/>
    </row>
    <row r="10" spans="3:10" ht="18.75" x14ac:dyDescent="0.3">
      <c r="E10" s="505" t="s">
        <v>1202</v>
      </c>
      <c r="F10" s="505"/>
      <c r="G10" s="505"/>
      <c r="H10" s="2" t="s">
        <v>1148</v>
      </c>
    </row>
    <row r="11" spans="3:10" x14ac:dyDescent="0.25">
      <c r="E11" s="504" t="s">
        <v>1167</v>
      </c>
      <c r="F11" s="504"/>
      <c r="G11" s="504"/>
    </row>
    <row r="13" spans="3:10" ht="18.75" x14ac:dyDescent="0.3">
      <c r="D13" s="2" t="s">
        <v>761</v>
      </c>
      <c r="E13" s="506" t="s">
        <v>1173</v>
      </c>
      <c r="F13" s="506"/>
      <c r="G13" s="506"/>
      <c r="H13" s="296" t="s">
        <v>1175</v>
      </c>
      <c r="I13" s="260"/>
      <c r="J13" s="2" t="s">
        <v>1148</v>
      </c>
    </row>
    <row r="14" spans="3:10" ht="18.75" x14ac:dyDescent="0.3">
      <c r="C14" s="2" t="s">
        <v>486</v>
      </c>
      <c r="D14" s="2" t="s">
        <v>588</v>
      </c>
      <c r="E14" s="506" t="s">
        <v>1174</v>
      </c>
      <c r="F14" s="506"/>
      <c r="G14" s="506"/>
      <c r="H14" s="296" t="s">
        <v>1176</v>
      </c>
      <c r="I14" s="260"/>
      <c r="J14" s="2" t="s">
        <v>1148</v>
      </c>
    </row>
    <row r="15" spans="3:10" ht="18.75" x14ac:dyDescent="0.3">
      <c r="D15" s="2" t="s">
        <v>589</v>
      </c>
      <c r="E15" s="506" t="s">
        <v>1203</v>
      </c>
      <c r="F15" s="506"/>
      <c r="G15" s="506"/>
      <c r="H15" s="296" t="s">
        <v>1204</v>
      </c>
      <c r="I15" s="260"/>
      <c r="J15" s="2" t="s">
        <v>1148</v>
      </c>
    </row>
    <row r="16" spans="3:10" ht="18.75" x14ac:dyDescent="0.3">
      <c r="D16" s="2" t="s">
        <v>590</v>
      </c>
      <c r="E16" s="506"/>
      <c r="F16" s="506"/>
      <c r="G16" s="506"/>
      <c r="H16" s="296"/>
      <c r="I16" s="260"/>
    </row>
    <row r="17" spans="3:10" x14ac:dyDescent="0.25">
      <c r="I17"/>
    </row>
    <row r="18" spans="3:10" x14ac:dyDescent="0.25">
      <c r="C18" s="2" t="s">
        <v>1003</v>
      </c>
      <c r="E18" s="297" t="s">
        <v>1168</v>
      </c>
      <c r="J18" s="56"/>
    </row>
    <row r="20" spans="3:10" x14ac:dyDescent="0.25">
      <c r="C20" s="2" t="s">
        <v>168</v>
      </c>
      <c r="E20" s="298" t="s">
        <v>1058</v>
      </c>
      <c r="G20" s="301">
        <v>45351</v>
      </c>
    </row>
    <row r="21" spans="3:10" x14ac:dyDescent="0.25">
      <c r="G21" s="301">
        <f>G20-366</f>
        <v>44985</v>
      </c>
    </row>
    <row r="22" spans="3:10" x14ac:dyDescent="0.25">
      <c r="C22" s="2" t="s">
        <v>169</v>
      </c>
      <c r="E22" s="297">
        <v>2024</v>
      </c>
      <c r="G22" s="301">
        <f>G21-365</f>
        <v>44620</v>
      </c>
      <c r="H22" s="5"/>
    </row>
    <row r="23" spans="3:10" x14ac:dyDescent="0.25">
      <c r="E23" s="5"/>
      <c r="G23" s="157"/>
    </row>
    <row r="24" spans="3:10" x14ac:dyDescent="0.25">
      <c r="C24" s="2" t="s">
        <v>99</v>
      </c>
      <c r="E24" s="299" t="s">
        <v>96</v>
      </c>
      <c r="G24" s="5" t="str">
        <f>PROPER(E20)</f>
        <v>29 February 2024</v>
      </c>
    </row>
    <row r="25" spans="3:10" hidden="1" x14ac:dyDescent="0.25">
      <c r="E25" s="5"/>
      <c r="F25" s="2" t="s">
        <v>95</v>
      </c>
      <c r="G25" s="5" t="s">
        <v>96</v>
      </c>
    </row>
    <row r="26" spans="3:10" x14ac:dyDescent="0.25">
      <c r="E26" s="5"/>
    </row>
    <row r="27" spans="3:10" x14ac:dyDescent="0.25">
      <c r="C27" s="2" t="s">
        <v>1054</v>
      </c>
      <c r="E27" s="300">
        <f>E22-1</f>
        <v>2023</v>
      </c>
    </row>
    <row r="29" spans="3:10" x14ac:dyDescent="0.25">
      <c r="C29" s="2" t="s">
        <v>656</v>
      </c>
      <c r="F29" s="302" t="s">
        <v>706</v>
      </c>
    </row>
    <row r="31" spans="3:10" ht="19.5" x14ac:dyDescent="0.35">
      <c r="C31" s="159" t="s">
        <v>175</v>
      </c>
    </row>
    <row r="33" spans="3:9" x14ac:dyDescent="0.25">
      <c r="C33" s="2" t="s">
        <v>106</v>
      </c>
      <c r="E33" s="303" t="s">
        <v>484</v>
      </c>
      <c r="F33" s="152"/>
    </row>
    <row r="34" spans="3:9" x14ac:dyDescent="0.25">
      <c r="E34" s="304"/>
      <c r="F34" s="153"/>
    </row>
    <row r="35" spans="3:9" x14ac:dyDescent="0.25">
      <c r="E35" s="304"/>
      <c r="F35" s="153"/>
    </row>
    <row r="36" spans="3:9" x14ac:dyDescent="0.25">
      <c r="E36" s="305"/>
      <c r="F36" s="154"/>
    </row>
    <row r="37" spans="3:9" x14ac:dyDescent="0.25">
      <c r="G37" s="5" t="s">
        <v>724</v>
      </c>
    </row>
    <row r="38" spans="3:9" x14ac:dyDescent="0.25">
      <c r="C38" s="2" t="s">
        <v>943</v>
      </c>
      <c r="D38" s="155"/>
      <c r="E38" s="302" t="s">
        <v>928</v>
      </c>
      <c r="F38" s="306" t="s">
        <v>109</v>
      </c>
      <c r="G38" s="306" t="s">
        <v>725</v>
      </c>
      <c r="H38" s="2" t="str">
        <f>E38</f>
        <v>A Trustee</v>
      </c>
      <c r="I38" s="2">
        <f>IF(H38=0," ",1)</f>
        <v>1</v>
      </c>
    </row>
    <row r="39" spans="3:9" x14ac:dyDescent="0.25">
      <c r="D39" s="156"/>
      <c r="E39" s="302" t="s">
        <v>944</v>
      </c>
      <c r="F39" s="306" t="s">
        <v>109</v>
      </c>
      <c r="G39" s="306" t="s">
        <v>725</v>
      </c>
      <c r="H39" s="2" t="str">
        <f>E39</f>
        <v>C Trustee</v>
      </c>
      <c r="I39" s="2">
        <f>IF(H39=0," ",I38+1)</f>
        <v>2</v>
      </c>
    </row>
    <row r="40" spans="3:9" x14ac:dyDescent="0.25">
      <c r="D40" s="155"/>
      <c r="E40" s="302"/>
      <c r="F40" s="302"/>
      <c r="G40" s="302"/>
      <c r="H40" s="2">
        <f>E40</f>
        <v>0</v>
      </c>
      <c r="I40" s="2" t="str">
        <f>IF(H40=0," ",I39+1)</f>
        <v xml:space="preserve"> </v>
      </c>
    </row>
    <row r="41" spans="3:9" x14ac:dyDescent="0.25">
      <c r="D41" s="156"/>
      <c r="E41" s="302"/>
      <c r="F41" s="302"/>
      <c r="G41" s="302"/>
      <c r="H41" s="2">
        <f>E41</f>
        <v>0</v>
      </c>
      <c r="I41" s="2" t="str">
        <f>IF(H41=0," ",I40+1)</f>
        <v xml:space="preserve"> </v>
      </c>
    </row>
    <row r="42" spans="3:9" x14ac:dyDescent="0.25">
      <c r="D42" s="156"/>
      <c r="E42" s="302"/>
      <c r="F42" s="302"/>
      <c r="G42" s="302"/>
      <c r="H42" s="2">
        <f>E42</f>
        <v>0</v>
      </c>
      <c r="I42" s="2" t="str">
        <f>IF(H42=0," ",I41+1)</f>
        <v xml:space="preserve"> </v>
      </c>
    </row>
    <row r="44" spans="3:9" hidden="1" x14ac:dyDescent="0.25">
      <c r="G44" s="2" t="s">
        <v>331</v>
      </c>
    </row>
    <row r="45" spans="3:9" hidden="1" x14ac:dyDescent="0.25">
      <c r="G45" s="2" t="s">
        <v>333</v>
      </c>
    </row>
    <row r="46" spans="3:9" hidden="1" x14ac:dyDescent="0.25">
      <c r="G46" s="2" t="s">
        <v>332</v>
      </c>
    </row>
    <row r="47" spans="3:9" x14ac:dyDescent="0.25">
      <c r="C47" s="2" t="s">
        <v>107</v>
      </c>
      <c r="E47" s="302"/>
    </row>
    <row r="48" spans="3:9" x14ac:dyDescent="0.25">
      <c r="E48" s="302"/>
    </row>
    <row r="49" spans="1:10" x14ac:dyDescent="0.25">
      <c r="E49" s="307"/>
      <c r="G49" s="56"/>
    </row>
    <row r="50" spans="1:10" x14ac:dyDescent="0.25">
      <c r="E50" s="308"/>
    </row>
    <row r="52" spans="1:10" x14ac:dyDescent="0.25">
      <c r="C52" s="2" t="s">
        <v>45</v>
      </c>
      <c r="E52" s="302"/>
    </row>
    <row r="53" spans="1:10" x14ac:dyDescent="0.25">
      <c r="E53" s="302"/>
    </row>
    <row r="54" spans="1:10" x14ac:dyDescent="0.25">
      <c r="E54" s="307"/>
    </row>
    <row r="55" spans="1:10" x14ac:dyDescent="0.25">
      <c r="E55" s="308"/>
    </row>
    <row r="57" spans="1:10" x14ac:dyDescent="0.25">
      <c r="C57" s="2" t="s">
        <v>726</v>
      </c>
      <c r="E57" s="308"/>
    </row>
    <row r="58" spans="1:10" x14ac:dyDescent="0.25">
      <c r="E58" s="308"/>
    </row>
    <row r="59" spans="1:10" x14ac:dyDescent="0.25">
      <c r="E59" s="308"/>
    </row>
    <row r="62" spans="1:10" ht="18.75" x14ac:dyDescent="0.3">
      <c r="A62" s="503" t="s">
        <v>555</v>
      </c>
      <c r="B62" s="503"/>
      <c r="C62" s="503"/>
      <c r="D62" s="503"/>
      <c r="E62" s="503"/>
      <c r="F62" s="503"/>
      <c r="G62" s="503"/>
      <c r="H62" s="503"/>
      <c r="I62" s="503"/>
      <c r="J62" s="503"/>
    </row>
    <row r="64" spans="1:10" x14ac:dyDescent="0.25">
      <c r="E64" s="26"/>
    </row>
    <row r="65" spans="2:12" ht="16.5" x14ac:dyDescent="0.3">
      <c r="C65" s="158" t="s">
        <v>113</v>
      </c>
    </row>
    <row r="67" spans="2:12" x14ac:dyDescent="0.25">
      <c r="B67" s="10"/>
      <c r="C67" s="18" t="s">
        <v>1052</v>
      </c>
      <c r="F67" s="20"/>
      <c r="G67" s="20"/>
      <c r="H67" s="20"/>
      <c r="I67" s="19"/>
      <c r="J67" s="19"/>
      <c r="L67" s="7"/>
    </row>
    <row r="69" spans="2:12" x14ac:dyDescent="0.25">
      <c r="C69" s="2" t="s">
        <v>1079</v>
      </c>
      <c r="F69" s="299" t="s">
        <v>96</v>
      </c>
    </row>
    <row r="71" spans="2:12" x14ac:dyDescent="0.25">
      <c r="F71" s="5">
        <f>E22</f>
        <v>2024</v>
      </c>
      <c r="G71" s="5">
        <f>E27</f>
        <v>2023</v>
      </c>
    </row>
    <row r="72" spans="2:12" x14ac:dyDescent="0.25">
      <c r="C72" s="2" t="s">
        <v>1191</v>
      </c>
    </row>
    <row r="74" spans="2:12" x14ac:dyDescent="0.25">
      <c r="C74" s="314"/>
      <c r="D74" s="314"/>
      <c r="E74" s="314"/>
      <c r="F74" s="314"/>
      <c r="G74" s="314"/>
    </row>
    <row r="75" spans="2:12" x14ac:dyDescent="0.25">
      <c r="C75" s="314"/>
      <c r="D75" s="314"/>
      <c r="E75" s="314"/>
      <c r="F75" s="314"/>
      <c r="G75" s="314"/>
    </row>
    <row r="76" spans="2:12" x14ac:dyDescent="0.25">
      <c r="C76" s="314"/>
      <c r="D76" s="314"/>
      <c r="E76" s="314"/>
      <c r="F76" s="314"/>
      <c r="G76" s="314"/>
    </row>
    <row r="77" spans="2:12" x14ac:dyDescent="0.25">
      <c r="C77" s="314"/>
      <c r="D77" s="314"/>
      <c r="E77" s="314"/>
      <c r="F77" s="314"/>
      <c r="G77" s="314"/>
    </row>
    <row r="78" spans="2:12" x14ac:dyDescent="0.25">
      <c r="C78" s="314"/>
      <c r="D78" s="314"/>
      <c r="E78" s="314"/>
      <c r="F78" s="314"/>
      <c r="G78" s="314"/>
    </row>
    <row r="79" spans="2:12" x14ac:dyDescent="0.25">
      <c r="C79" s="314"/>
      <c r="D79" s="314"/>
      <c r="E79" s="314"/>
      <c r="F79" s="314"/>
      <c r="G79" s="314"/>
    </row>
    <row r="80" spans="2:12" x14ac:dyDescent="0.25">
      <c r="C80" s="314"/>
      <c r="D80" s="314"/>
      <c r="E80" s="314"/>
      <c r="F80" s="314"/>
      <c r="G80" s="314"/>
    </row>
    <row r="81" spans="3:7" x14ac:dyDescent="0.25">
      <c r="C81" s="314"/>
      <c r="D81" s="314"/>
      <c r="E81" s="314"/>
      <c r="F81" s="314"/>
      <c r="G81" s="314"/>
    </row>
    <row r="82" spans="3:7" x14ac:dyDescent="0.25">
      <c r="C82" s="314"/>
      <c r="D82" s="314"/>
      <c r="E82" s="314"/>
      <c r="F82" s="314"/>
      <c r="G82" s="314"/>
    </row>
    <row r="83" spans="3:7" x14ac:dyDescent="0.25">
      <c r="C83" s="314"/>
      <c r="D83" s="314"/>
      <c r="E83" s="314"/>
      <c r="F83" s="314"/>
      <c r="G83" s="314"/>
    </row>
    <row r="84" spans="3:7" x14ac:dyDescent="0.25">
      <c r="C84" s="314"/>
      <c r="D84" s="314"/>
      <c r="E84" s="314"/>
      <c r="F84" s="314"/>
      <c r="G84" s="314"/>
    </row>
    <row r="85" spans="3:7" x14ac:dyDescent="0.25">
      <c r="C85" s="314"/>
      <c r="D85" s="314"/>
      <c r="E85" s="314"/>
      <c r="F85" s="314"/>
      <c r="G85" s="314"/>
    </row>
    <row r="86" spans="3:7" x14ac:dyDescent="0.25">
      <c r="C86" s="314"/>
      <c r="D86" s="314"/>
      <c r="E86" s="314"/>
      <c r="F86" s="314"/>
      <c r="G86" s="314"/>
    </row>
    <row r="87" spans="3:7" x14ac:dyDescent="0.25">
      <c r="C87" s="314"/>
      <c r="D87" s="314"/>
      <c r="E87" s="314"/>
      <c r="F87" s="314"/>
      <c r="G87" s="314"/>
    </row>
    <row r="88" spans="3:7" x14ac:dyDescent="0.25">
      <c r="C88" s="314"/>
      <c r="D88" s="314"/>
      <c r="E88" s="314"/>
      <c r="F88" s="314"/>
      <c r="G88" s="314"/>
    </row>
    <row r="89" spans="3:7" x14ac:dyDescent="0.25">
      <c r="C89" s="314"/>
      <c r="D89" s="314"/>
      <c r="E89" s="314"/>
      <c r="F89" s="314"/>
      <c r="G89" s="314"/>
    </row>
    <row r="90" spans="3:7" x14ac:dyDescent="0.25">
      <c r="C90" s="314"/>
      <c r="D90" s="314"/>
      <c r="E90" s="314"/>
      <c r="F90" s="314"/>
      <c r="G90" s="314"/>
    </row>
    <row r="91" spans="3:7" x14ac:dyDescent="0.25">
      <c r="C91" s="314"/>
      <c r="D91" s="314"/>
      <c r="E91" s="314"/>
      <c r="F91" s="314"/>
      <c r="G91" s="314"/>
    </row>
    <row r="92" spans="3:7" x14ac:dyDescent="0.25">
      <c r="C92" s="314"/>
      <c r="D92" s="314"/>
      <c r="E92" s="314"/>
      <c r="F92" s="314"/>
      <c r="G92" s="314"/>
    </row>
    <row r="93" spans="3:7" x14ac:dyDescent="0.25">
      <c r="C93" s="314"/>
      <c r="D93" s="314"/>
      <c r="E93" s="314"/>
      <c r="F93" s="314"/>
      <c r="G93" s="314"/>
    </row>
    <row r="94" spans="3:7" x14ac:dyDescent="0.25">
      <c r="C94" s="314"/>
      <c r="D94" s="314"/>
      <c r="E94" s="314"/>
      <c r="F94" s="314"/>
      <c r="G94" s="314"/>
    </row>
    <row r="95" spans="3:7" x14ac:dyDescent="0.25">
      <c r="C95" s="314"/>
      <c r="D95" s="314"/>
      <c r="E95" s="314"/>
      <c r="F95" s="314"/>
      <c r="G95" s="314"/>
    </row>
    <row r="96" spans="3:7" x14ac:dyDescent="0.25">
      <c r="C96" s="314"/>
      <c r="D96" s="314"/>
      <c r="E96" s="314"/>
      <c r="F96" s="314"/>
      <c r="G96" s="314"/>
    </row>
    <row r="97" spans="3:7" x14ac:dyDescent="0.25">
      <c r="C97" s="314"/>
      <c r="D97" s="314"/>
      <c r="E97" s="314"/>
      <c r="F97" s="314"/>
      <c r="G97" s="314"/>
    </row>
    <row r="98" spans="3:7" x14ac:dyDescent="0.25">
      <c r="C98" s="314"/>
      <c r="D98" s="314"/>
      <c r="E98" s="314"/>
      <c r="F98" s="314"/>
      <c r="G98" s="314"/>
    </row>
    <row r="99" spans="3:7" x14ac:dyDescent="0.25">
      <c r="C99" s="314"/>
      <c r="D99" s="314"/>
      <c r="E99" s="314"/>
      <c r="F99" s="314"/>
      <c r="G99" s="314"/>
    </row>
    <row r="100" spans="3:7" x14ac:dyDescent="0.25">
      <c r="C100" s="314"/>
      <c r="D100" s="314"/>
      <c r="E100" s="314"/>
      <c r="F100" s="314"/>
      <c r="G100" s="314"/>
    </row>
    <row r="101" spans="3:7" x14ac:dyDescent="0.25">
      <c r="C101" s="314"/>
      <c r="D101" s="314"/>
      <c r="E101" s="314"/>
      <c r="F101" s="314"/>
      <c r="G101" s="314"/>
    </row>
    <row r="102" spans="3:7" x14ac:dyDescent="0.25">
      <c r="C102" s="314"/>
      <c r="D102" s="314"/>
      <c r="E102" s="314"/>
      <c r="F102" s="314"/>
      <c r="G102" s="314"/>
    </row>
    <row r="103" spans="3:7" x14ac:dyDescent="0.25">
      <c r="C103" s="314"/>
      <c r="D103" s="314"/>
      <c r="E103" s="314"/>
      <c r="F103" s="314"/>
      <c r="G103" s="314"/>
    </row>
    <row r="104" spans="3:7" x14ac:dyDescent="0.25">
      <c r="C104" s="314"/>
      <c r="D104" s="314"/>
      <c r="E104" s="314"/>
      <c r="F104" s="314"/>
      <c r="G104" s="314"/>
    </row>
    <row r="105" spans="3:7" x14ac:dyDescent="0.25">
      <c r="C105" s="314"/>
      <c r="D105" s="314"/>
      <c r="E105" s="314"/>
      <c r="F105" s="314"/>
      <c r="G105" s="314"/>
    </row>
    <row r="106" spans="3:7" x14ac:dyDescent="0.25">
      <c r="C106" s="314"/>
      <c r="D106" s="314"/>
      <c r="E106" s="314"/>
      <c r="F106" s="314"/>
      <c r="G106" s="314"/>
    </row>
    <row r="107" spans="3:7" x14ac:dyDescent="0.25">
      <c r="C107" s="314"/>
      <c r="D107" s="314"/>
      <c r="E107" s="314"/>
      <c r="F107" s="314"/>
      <c r="G107" s="314"/>
    </row>
    <row r="108" spans="3:7" x14ac:dyDescent="0.25">
      <c r="C108" s="314"/>
      <c r="D108" s="314"/>
      <c r="E108" s="314"/>
      <c r="F108" s="314"/>
      <c r="G108" s="314"/>
    </row>
    <row r="109" spans="3:7" x14ac:dyDescent="0.25">
      <c r="C109" s="314"/>
      <c r="D109" s="314"/>
      <c r="E109" s="314"/>
      <c r="F109" s="314"/>
      <c r="G109" s="314"/>
    </row>
    <row r="110" spans="3:7" x14ac:dyDescent="0.25">
      <c r="C110" s="314"/>
      <c r="D110" s="314"/>
      <c r="E110" s="314"/>
      <c r="F110" s="314"/>
      <c r="G110" s="314"/>
    </row>
    <row r="111" spans="3:7" x14ac:dyDescent="0.25">
      <c r="C111" s="314"/>
      <c r="D111" s="314"/>
      <c r="E111" s="314"/>
      <c r="F111" s="314"/>
      <c r="G111" s="314"/>
    </row>
    <row r="112" spans="3:7" ht="16.5" thickBot="1" x14ac:dyDescent="0.3">
      <c r="F112" s="496">
        <f>SUM(F74:F111)</f>
        <v>0</v>
      </c>
      <c r="G112" s="496">
        <f>SUM(G74:G111)</f>
        <v>0</v>
      </c>
    </row>
    <row r="113" spans="3:10" ht="16.5" thickTop="1" x14ac:dyDescent="0.25"/>
    <row r="114" spans="3:10" x14ac:dyDescent="0.25">
      <c r="C114" s="18" t="s">
        <v>1080</v>
      </c>
      <c r="F114" s="309"/>
      <c r="G114" s="309" t="s">
        <v>386</v>
      </c>
      <c r="H114" s="309" t="s">
        <v>806</v>
      </c>
      <c r="I114" s="309" t="s">
        <v>807</v>
      </c>
      <c r="J114" s="309" t="s">
        <v>387</v>
      </c>
    </row>
    <row r="115" spans="3:10" x14ac:dyDescent="0.25">
      <c r="F115" s="310" t="s">
        <v>1052</v>
      </c>
      <c r="G115" s="310" t="s">
        <v>524</v>
      </c>
      <c r="H115" s="310" t="s">
        <v>525</v>
      </c>
      <c r="I115" s="310" t="s">
        <v>524</v>
      </c>
      <c r="J115" s="310" t="s">
        <v>742</v>
      </c>
    </row>
    <row r="116" spans="3:10" x14ac:dyDescent="0.25">
      <c r="C116" s="2" t="s">
        <v>56</v>
      </c>
      <c r="F116" s="311">
        <v>0.02</v>
      </c>
      <c r="G116" s="311">
        <v>0.2</v>
      </c>
      <c r="H116" s="311">
        <v>0.2</v>
      </c>
      <c r="I116" s="311">
        <v>0.33339999999999997</v>
      </c>
      <c r="J116" s="311">
        <v>0.2</v>
      </c>
    </row>
    <row r="117" spans="3:10" x14ac:dyDescent="0.25">
      <c r="F117" s="312" t="s">
        <v>749</v>
      </c>
      <c r="G117" s="312" t="s">
        <v>749</v>
      </c>
      <c r="H117" s="312" t="s">
        <v>749</v>
      </c>
      <c r="I117" s="312" t="s">
        <v>749</v>
      </c>
      <c r="J117" s="312" t="s">
        <v>749</v>
      </c>
    </row>
    <row r="119" spans="3:10" x14ac:dyDescent="0.25">
      <c r="C119" s="18" t="s">
        <v>750</v>
      </c>
    </row>
    <row r="121" spans="3:10" x14ac:dyDescent="0.25">
      <c r="C121" s="2">
        <f>TrialBalance!C327</f>
        <v>0</v>
      </c>
      <c r="E121" s="115">
        <f>TrialBalance!L327</f>
        <v>0</v>
      </c>
      <c r="G121" s="313" t="s">
        <v>380</v>
      </c>
      <c r="H121" s="165"/>
      <c r="I121" s="165"/>
      <c r="J121" s="165"/>
    </row>
    <row r="122" spans="3:10" x14ac:dyDescent="0.25">
      <c r="E122" s="115"/>
      <c r="G122" s="313" t="s">
        <v>381</v>
      </c>
      <c r="H122" s="165"/>
      <c r="I122" s="165"/>
      <c r="J122" s="165"/>
    </row>
    <row r="123" spans="3:10" x14ac:dyDescent="0.25">
      <c r="E123" s="115"/>
    </row>
    <row r="124" spans="3:10" x14ac:dyDescent="0.25">
      <c r="C124" s="2">
        <f>TrialBalance!C328</f>
        <v>0</v>
      </c>
      <c r="E124" s="115">
        <f>TrialBalance!L328</f>
        <v>0</v>
      </c>
      <c r="G124" s="313" t="s">
        <v>380</v>
      </c>
      <c r="H124" s="165"/>
      <c r="I124" s="165"/>
      <c r="J124" s="165"/>
    </row>
    <row r="125" spans="3:10" x14ac:dyDescent="0.25">
      <c r="E125" s="115"/>
      <c r="G125" s="313" t="s">
        <v>381</v>
      </c>
      <c r="H125" s="165"/>
      <c r="I125" s="165"/>
      <c r="J125" s="165"/>
    </row>
    <row r="126" spans="3:10" x14ac:dyDescent="0.25">
      <c r="E126" s="115"/>
    </row>
    <row r="127" spans="3:10" x14ac:dyDescent="0.25">
      <c r="C127" s="2">
        <f>TrialBalance!C329</f>
        <v>0</v>
      </c>
      <c r="E127" s="115">
        <f>TrialBalance!L329</f>
        <v>0</v>
      </c>
      <c r="G127" s="313" t="s">
        <v>380</v>
      </c>
      <c r="H127" s="165"/>
      <c r="I127" s="165"/>
      <c r="J127" s="165"/>
    </row>
    <row r="128" spans="3:10" x14ac:dyDescent="0.25">
      <c r="E128" s="115"/>
      <c r="G128" s="313" t="s">
        <v>381</v>
      </c>
      <c r="H128" s="165"/>
      <c r="I128" s="165"/>
      <c r="J128" s="165"/>
    </row>
    <row r="129" spans="3:10" x14ac:dyDescent="0.25">
      <c r="E129" s="115"/>
    </row>
    <row r="130" spans="3:10" x14ac:dyDescent="0.25">
      <c r="C130" s="2">
        <f>TrialBalance!C330</f>
        <v>0</v>
      </c>
      <c r="E130" s="115">
        <f>TrialBalance!L330</f>
        <v>0</v>
      </c>
      <c r="G130" s="313" t="s">
        <v>380</v>
      </c>
      <c r="H130" s="165"/>
      <c r="I130" s="165"/>
      <c r="J130" s="165"/>
    </row>
    <row r="131" spans="3:10" x14ac:dyDescent="0.25">
      <c r="E131" s="115"/>
      <c r="G131" s="313" t="s">
        <v>381</v>
      </c>
      <c r="H131" s="165"/>
      <c r="I131" s="165"/>
      <c r="J131" s="165"/>
    </row>
    <row r="132" spans="3:10" x14ac:dyDescent="0.25">
      <c r="E132" s="115"/>
    </row>
    <row r="133" spans="3:10" x14ac:dyDescent="0.25">
      <c r="C133" s="2">
        <f>TrialBalance!C338</f>
        <v>0</v>
      </c>
      <c r="E133" s="115">
        <f>TrialBalance!L338</f>
        <v>0</v>
      </c>
      <c r="G133" s="313" t="s">
        <v>380</v>
      </c>
      <c r="H133" s="165"/>
      <c r="I133" s="165"/>
      <c r="J133" s="165"/>
    </row>
    <row r="134" spans="3:10" x14ac:dyDescent="0.25">
      <c r="E134" s="115"/>
      <c r="G134" s="313" t="s">
        <v>381</v>
      </c>
      <c r="H134" s="165"/>
      <c r="I134" s="165"/>
      <c r="J134" s="165"/>
    </row>
    <row r="135" spans="3:10" x14ac:dyDescent="0.25">
      <c r="E135" s="115"/>
    </row>
    <row r="136" spans="3:10" x14ac:dyDescent="0.25">
      <c r="C136" s="2">
        <f>TrialBalance!C339</f>
        <v>0</v>
      </c>
      <c r="E136" s="115">
        <f>TrialBalance!L339</f>
        <v>0</v>
      </c>
      <c r="G136" s="313" t="s">
        <v>380</v>
      </c>
      <c r="H136" s="165"/>
      <c r="I136" s="165"/>
      <c r="J136" s="165"/>
    </row>
    <row r="137" spans="3:10" x14ac:dyDescent="0.25">
      <c r="E137" s="115"/>
      <c r="G137" s="313" t="s">
        <v>381</v>
      </c>
      <c r="H137" s="165"/>
      <c r="I137" s="165"/>
      <c r="J137" s="165"/>
    </row>
    <row r="138" spans="3:10" x14ac:dyDescent="0.25">
      <c r="E138" s="115"/>
    </row>
    <row r="139" spans="3:10" x14ac:dyDescent="0.25">
      <c r="C139" s="2">
        <f>TrialBalance!C340</f>
        <v>0</v>
      </c>
      <c r="E139" s="115">
        <f>TrialBalance!L340</f>
        <v>0</v>
      </c>
      <c r="G139" s="313" t="s">
        <v>380</v>
      </c>
      <c r="H139" s="165"/>
      <c r="I139" s="165"/>
      <c r="J139" s="165"/>
    </row>
    <row r="140" spans="3:10" x14ac:dyDescent="0.25">
      <c r="E140" s="115"/>
      <c r="G140" s="313" t="s">
        <v>381</v>
      </c>
      <c r="H140" s="165"/>
      <c r="I140" s="165"/>
      <c r="J140" s="165"/>
    </row>
    <row r="141" spans="3:10" x14ac:dyDescent="0.25">
      <c r="E141" s="115"/>
    </row>
    <row r="142" spans="3:10" x14ac:dyDescent="0.25">
      <c r="C142" s="2">
        <f>TrialBalance!C341</f>
        <v>0</v>
      </c>
      <c r="E142" s="115">
        <f>TrialBalance!L341</f>
        <v>0</v>
      </c>
      <c r="G142" s="313" t="s">
        <v>380</v>
      </c>
      <c r="H142" s="165"/>
      <c r="I142" s="165"/>
      <c r="J142" s="165"/>
    </row>
    <row r="143" spans="3:10" x14ac:dyDescent="0.25">
      <c r="E143" s="115"/>
      <c r="G143" s="313" t="s">
        <v>381</v>
      </c>
      <c r="H143" s="165"/>
      <c r="I143" s="165"/>
      <c r="J143" s="165"/>
    </row>
    <row r="145" spans="3:9" x14ac:dyDescent="0.25">
      <c r="C145" s="18" t="s">
        <v>731</v>
      </c>
    </row>
    <row r="147" spans="3:9" x14ac:dyDescent="0.25">
      <c r="C147" s="2" t="s">
        <v>751</v>
      </c>
      <c r="G147" s="299" t="s">
        <v>96</v>
      </c>
    </row>
    <row r="149" spans="3:9" x14ac:dyDescent="0.25">
      <c r="F149" s="2" t="s">
        <v>97</v>
      </c>
      <c r="G149" s="313" t="s">
        <v>752</v>
      </c>
      <c r="H149" s="165"/>
      <c r="I149" s="165"/>
    </row>
    <row r="150" spans="3:9" x14ac:dyDescent="0.25">
      <c r="G150" s="313"/>
      <c r="H150" s="165"/>
      <c r="I150" s="165"/>
    </row>
    <row r="152" spans="3:9" x14ac:dyDescent="0.25">
      <c r="C152" s="18" t="s">
        <v>754</v>
      </c>
      <c r="E152" s="24" t="s">
        <v>98</v>
      </c>
    </row>
    <row r="154" spans="3:9" x14ac:dyDescent="0.25">
      <c r="C154" s="2">
        <f>TrialBalance!C192</f>
        <v>0</v>
      </c>
      <c r="E154" s="115">
        <f>-TrialBalance!L192</f>
        <v>0</v>
      </c>
      <c r="F154" s="313" t="s">
        <v>1141</v>
      </c>
      <c r="G154" s="165"/>
      <c r="H154" s="165"/>
      <c r="I154" s="165"/>
    </row>
    <row r="155" spans="3:9" x14ac:dyDescent="0.25">
      <c r="E155" s="115"/>
      <c r="F155" s="313" t="s">
        <v>1142</v>
      </c>
      <c r="G155" s="165"/>
      <c r="H155" s="165"/>
      <c r="I155" s="165"/>
    </row>
    <row r="156" spans="3:9" x14ac:dyDescent="0.25">
      <c r="E156" s="115"/>
      <c r="F156" s="313" t="s">
        <v>1144</v>
      </c>
      <c r="G156" s="165"/>
      <c r="H156" s="165"/>
      <c r="I156" s="165"/>
    </row>
    <row r="157" spans="3:9" x14ac:dyDescent="0.25">
      <c r="E157" s="115"/>
      <c r="F157" s="313" t="s">
        <v>1143</v>
      </c>
      <c r="G157" s="165"/>
      <c r="H157" s="165"/>
      <c r="I157" s="165"/>
    </row>
    <row r="158" spans="3:9" x14ac:dyDescent="0.25">
      <c r="E158" s="115"/>
    </row>
    <row r="159" spans="3:9" x14ac:dyDescent="0.25">
      <c r="C159" s="2">
        <f>TrialBalance!C193</f>
        <v>0</v>
      </c>
      <c r="E159" s="115">
        <f>-TrialBalance!L193</f>
        <v>0</v>
      </c>
      <c r="F159" s="313" t="s">
        <v>1141</v>
      </c>
      <c r="G159" s="165"/>
      <c r="H159" s="165"/>
      <c r="I159" s="165"/>
    </row>
    <row r="160" spans="3:9" x14ac:dyDescent="0.25">
      <c r="E160" s="115"/>
      <c r="F160" s="313" t="s">
        <v>1142</v>
      </c>
      <c r="G160" s="165"/>
      <c r="H160" s="165"/>
      <c r="I160" s="165"/>
    </row>
    <row r="161" spans="3:9" x14ac:dyDescent="0.25">
      <c r="E161" s="115"/>
      <c r="F161" s="313" t="s">
        <v>1144</v>
      </c>
      <c r="G161" s="165"/>
      <c r="H161" s="165"/>
      <c r="I161" s="165"/>
    </row>
    <row r="162" spans="3:9" x14ac:dyDescent="0.25">
      <c r="E162" s="115"/>
      <c r="F162" s="313" t="s">
        <v>1143</v>
      </c>
      <c r="G162" s="165"/>
      <c r="H162" s="165"/>
      <c r="I162" s="165"/>
    </row>
    <row r="163" spans="3:9" x14ac:dyDescent="0.25">
      <c r="E163" s="115"/>
    </row>
    <row r="164" spans="3:9" x14ac:dyDescent="0.25">
      <c r="C164" s="2">
        <f>TrialBalance!C194</f>
        <v>0</v>
      </c>
      <c r="E164" s="115">
        <f>-TrialBalance!L194</f>
        <v>0</v>
      </c>
      <c r="F164" s="313" t="s">
        <v>1141</v>
      </c>
      <c r="G164" s="165"/>
      <c r="H164" s="165"/>
      <c r="I164" s="165"/>
    </row>
    <row r="165" spans="3:9" x14ac:dyDescent="0.25">
      <c r="E165" s="115"/>
      <c r="F165" s="313" t="s">
        <v>1142</v>
      </c>
      <c r="G165" s="165"/>
      <c r="H165" s="165"/>
      <c r="I165" s="165"/>
    </row>
    <row r="166" spans="3:9" x14ac:dyDescent="0.25">
      <c r="E166" s="115"/>
      <c r="F166" s="313" t="s">
        <v>1144</v>
      </c>
      <c r="G166" s="165"/>
      <c r="H166" s="165"/>
      <c r="I166" s="165"/>
    </row>
    <row r="167" spans="3:9" x14ac:dyDescent="0.25">
      <c r="E167" s="115"/>
      <c r="F167" s="313" t="s">
        <v>1143</v>
      </c>
      <c r="G167" s="165"/>
      <c r="H167" s="165"/>
      <c r="I167" s="165"/>
    </row>
    <row r="168" spans="3:9" x14ac:dyDescent="0.25">
      <c r="E168" s="115"/>
    </row>
    <row r="169" spans="3:9" x14ac:dyDescent="0.25">
      <c r="C169" s="2">
        <f>TrialBalance!C195</f>
        <v>0</v>
      </c>
      <c r="E169" s="115">
        <f>-TrialBalance!L195</f>
        <v>0</v>
      </c>
      <c r="F169" s="313" t="s">
        <v>1141</v>
      </c>
      <c r="G169" s="165"/>
      <c r="H169" s="165"/>
      <c r="I169" s="165"/>
    </row>
    <row r="170" spans="3:9" x14ac:dyDescent="0.25">
      <c r="E170" s="115"/>
      <c r="F170" s="313" t="s">
        <v>1142</v>
      </c>
      <c r="G170" s="165"/>
      <c r="H170" s="165"/>
      <c r="I170" s="165"/>
    </row>
    <row r="171" spans="3:9" x14ac:dyDescent="0.25">
      <c r="E171" s="115"/>
      <c r="F171" s="313" t="s">
        <v>1144</v>
      </c>
      <c r="G171" s="165"/>
      <c r="H171" s="165"/>
      <c r="I171" s="165"/>
    </row>
    <row r="172" spans="3:9" x14ac:dyDescent="0.25">
      <c r="E172" s="115"/>
      <c r="F172" s="313" t="s">
        <v>1143</v>
      </c>
      <c r="G172" s="165"/>
      <c r="H172" s="165"/>
      <c r="I172" s="165"/>
    </row>
    <row r="173" spans="3:9" x14ac:dyDescent="0.25">
      <c r="E173" s="115"/>
    </row>
    <row r="174" spans="3:9" x14ac:dyDescent="0.25">
      <c r="C174" s="2">
        <f>TrialBalance!C196</f>
        <v>0</v>
      </c>
      <c r="E174" s="115">
        <f>-TrialBalance!L196</f>
        <v>0</v>
      </c>
      <c r="F174" s="313" t="s">
        <v>1141</v>
      </c>
      <c r="G174" s="165"/>
      <c r="H174" s="165"/>
      <c r="I174" s="165"/>
    </row>
    <row r="175" spans="3:9" x14ac:dyDescent="0.25">
      <c r="E175" s="115"/>
      <c r="F175" s="313" t="s">
        <v>1142</v>
      </c>
      <c r="G175" s="165"/>
      <c r="H175" s="165"/>
      <c r="I175" s="165"/>
    </row>
    <row r="176" spans="3:9" x14ac:dyDescent="0.25">
      <c r="E176" s="115"/>
      <c r="F176" s="313" t="s">
        <v>1144</v>
      </c>
      <c r="G176" s="165"/>
      <c r="H176" s="165"/>
      <c r="I176" s="165"/>
    </row>
    <row r="177" spans="3:9" x14ac:dyDescent="0.25">
      <c r="E177" s="115"/>
      <c r="F177" s="313" t="s">
        <v>1143</v>
      </c>
      <c r="G177" s="165"/>
      <c r="H177" s="165"/>
      <c r="I177" s="165"/>
    </row>
    <row r="178" spans="3:9" x14ac:dyDescent="0.25">
      <c r="E178" s="115"/>
    </row>
    <row r="179" spans="3:9" x14ac:dyDescent="0.25">
      <c r="C179" s="2">
        <f>TrialBalance!C197</f>
        <v>0</v>
      </c>
      <c r="E179" s="115">
        <f>-TrialBalance!L197</f>
        <v>0</v>
      </c>
      <c r="F179" s="313" t="s">
        <v>1141</v>
      </c>
      <c r="G179" s="165"/>
      <c r="H179" s="165"/>
      <c r="I179" s="165"/>
    </row>
    <row r="180" spans="3:9" x14ac:dyDescent="0.25">
      <c r="E180" s="115"/>
      <c r="F180" s="313" t="s">
        <v>1142</v>
      </c>
      <c r="G180" s="165"/>
      <c r="H180" s="165"/>
      <c r="I180" s="165"/>
    </row>
    <row r="181" spans="3:9" x14ac:dyDescent="0.25">
      <c r="E181" s="115"/>
      <c r="F181" s="313" t="s">
        <v>1144</v>
      </c>
      <c r="G181" s="165"/>
      <c r="H181" s="165"/>
      <c r="I181" s="165"/>
    </row>
    <row r="182" spans="3:9" x14ac:dyDescent="0.25">
      <c r="E182" s="115"/>
      <c r="F182" s="313" t="s">
        <v>1143</v>
      </c>
      <c r="G182" s="165"/>
      <c r="H182" s="165"/>
      <c r="I182" s="165"/>
    </row>
    <row r="183" spans="3:9" x14ac:dyDescent="0.25">
      <c r="E183" s="115"/>
    </row>
    <row r="184" spans="3:9" x14ac:dyDescent="0.25">
      <c r="C184" s="2">
        <f>TrialBalance!C198</f>
        <v>0</v>
      </c>
      <c r="E184" s="115">
        <f>-TrialBalance!L198</f>
        <v>0</v>
      </c>
      <c r="F184" s="313" t="s">
        <v>1141</v>
      </c>
      <c r="G184" s="165"/>
      <c r="H184" s="165"/>
      <c r="I184" s="165"/>
    </row>
    <row r="185" spans="3:9" x14ac:dyDescent="0.25">
      <c r="E185" s="115"/>
      <c r="F185" s="313" t="s">
        <v>1142</v>
      </c>
      <c r="G185" s="165"/>
      <c r="H185" s="165"/>
      <c r="I185" s="165"/>
    </row>
    <row r="186" spans="3:9" x14ac:dyDescent="0.25">
      <c r="E186" s="115"/>
      <c r="F186" s="313" t="s">
        <v>1144</v>
      </c>
      <c r="G186" s="165"/>
      <c r="H186" s="165"/>
      <c r="I186" s="165"/>
    </row>
    <row r="187" spans="3:9" x14ac:dyDescent="0.25">
      <c r="E187" s="115"/>
      <c r="F187" s="313" t="s">
        <v>1143</v>
      </c>
      <c r="G187" s="165"/>
      <c r="H187" s="165"/>
      <c r="I187" s="165"/>
    </row>
    <row r="188" spans="3:9" x14ac:dyDescent="0.25">
      <c r="E188" s="115"/>
    </row>
    <row r="189" spans="3:9" x14ac:dyDescent="0.25">
      <c r="C189" s="2">
        <f>TrialBalance!C199</f>
        <v>0</v>
      </c>
      <c r="E189" s="115">
        <f>-TrialBalance!L199</f>
        <v>0</v>
      </c>
      <c r="F189" s="313" t="s">
        <v>1141</v>
      </c>
      <c r="G189" s="165"/>
      <c r="H189" s="165"/>
      <c r="I189" s="165"/>
    </row>
    <row r="190" spans="3:9" x14ac:dyDescent="0.25">
      <c r="E190" s="115"/>
      <c r="F190" s="313" t="s">
        <v>1142</v>
      </c>
      <c r="G190" s="165"/>
      <c r="H190" s="165"/>
      <c r="I190" s="165"/>
    </row>
    <row r="191" spans="3:9" x14ac:dyDescent="0.25">
      <c r="E191" s="115"/>
      <c r="F191" s="313" t="s">
        <v>1144</v>
      </c>
      <c r="G191" s="165"/>
      <c r="H191" s="165"/>
      <c r="I191" s="165"/>
    </row>
    <row r="192" spans="3:9" x14ac:dyDescent="0.25">
      <c r="E192" s="115"/>
      <c r="F192" s="313" t="s">
        <v>1143</v>
      </c>
      <c r="G192" s="165"/>
      <c r="H192" s="165"/>
      <c r="I192" s="165"/>
    </row>
    <row r="193" spans="3:9" x14ac:dyDescent="0.25">
      <c r="E193" s="115"/>
    </row>
    <row r="194" spans="3:9" x14ac:dyDescent="0.25">
      <c r="C194" s="2">
        <f>TrialBalance!C200</f>
        <v>0</v>
      </c>
      <c r="E194" s="115">
        <f>-TrialBalance!L200</f>
        <v>0</v>
      </c>
      <c r="F194" s="313" t="s">
        <v>1141</v>
      </c>
      <c r="G194" s="165"/>
      <c r="H194" s="165"/>
      <c r="I194" s="165"/>
    </row>
    <row r="195" spans="3:9" x14ac:dyDescent="0.25">
      <c r="E195" s="115"/>
      <c r="F195" s="313" t="s">
        <v>1142</v>
      </c>
      <c r="G195" s="165"/>
      <c r="H195" s="165"/>
      <c r="I195" s="165"/>
    </row>
    <row r="196" spans="3:9" x14ac:dyDescent="0.25">
      <c r="E196" s="115"/>
      <c r="F196" s="313" t="s">
        <v>1144</v>
      </c>
      <c r="G196" s="165"/>
      <c r="H196" s="165"/>
      <c r="I196" s="165"/>
    </row>
    <row r="197" spans="3:9" x14ac:dyDescent="0.25">
      <c r="E197" s="115"/>
      <c r="F197" s="313" t="s">
        <v>1143</v>
      </c>
      <c r="G197" s="165"/>
      <c r="H197" s="165"/>
      <c r="I197" s="165"/>
    </row>
    <row r="198" spans="3:9" x14ac:dyDescent="0.25">
      <c r="E198" s="115"/>
    </row>
    <row r="199" spans="3:9" x14ac:dyDescent="0.25">
      <c r="C199" s="2">
        <f>TrialBalance!C201</f>
        <v>0</v>
      </c>
      <c r="E199" s="115">
        <f>-TrialBalance!L201</f>
        <v>0</v>
      </c>
      <c r="F199" s="313" t="s">
        <v>1141</v>
      </c>
      <c r="G199" s="165"/>
      <c r="H199" s="165"/>
      <c r="I199" s="165"/>
    </row>
    <row r="200" spans="3:9" x14ac:dyDescent="0.25">
      <c r="E200" s="115"/>
      <c r="F200" s="313" t="s">
        <v>1142</v>
      </c>
      <c r="G200" s="165"/>
      <c r="H200" s="165"/>
      <c r="I200" s="165"/>
    </row>
    <row r="201" spans="3:9" x14ac:dyDescent="0.25">
      <c r="E201" s="115"/>
      <c r="F201" s="313" t="s">
        <v>1144</v>
      </c>
      <c r="G201" s="165"/>
      <c r="H201" s="165"/>
      <c r="I201" s="165"/>
    </row>
    <row r="202" spans="3:9" x14ac:dyDescent="0.25">
      <c r="E202" s="115"/>
      <c r="F202" s="313" t="s">
        <v>1143</v>
      </c>
      <c r="G202" s="165"/>
      <c r="H202" s="165"/>
      <c r="I202" s="165"/>
    </row>
    <row r="203" spans="3:9" x14ac:dyDescent="0.25">
      <c r="E203" s="115"/>
    </row>
    <row r="204" spans="3:9" x14ac:dyDescent="0.25">
      <c r="C204" s="2">
        <f>TrialBalance!C202</f>
        <v>0</v>
      </c>
      <c r="E204" s="115">
        <f>-TrialBalance!L202</f>
        <v>0</v>
      </c>
      <c r="F204" s="313" t="s">
        <v>1141</v>
      </c>
      <c r="G204" s="165"/>
      <c r="H204" s="165"/>
      <c r="I204" s="165"/>
    </row>
    <row r="205" spans="3:9" x14ac:dyDescent="0.25">
      <c r="C205"/>
      <c r="D205"/>
      <c r="E205" s="237"/>
      <c r="F205" s="313" t="s">
        <v>1142</v>
      </c>
      <c r="G205" s="165"/>
      <c r="H205" s="165"/>
      <c r="I205" s="165"/>
    </row>
    <row r="206" spans="3:9" x14ac:dyDescent="0.25">
      <c r="C206"/>
      <c r="D206"/>
      <c r="E206" s="237"/>
      <c r="F206" s="313" t="s">
        <v>1144</v>
      </c>
      <c r="G206" s="165"/>
      <c r="H206" s="165"/>
      <c r="I206" s="165"/>
    </row>
    <row r="207" spans="3:9" x14ac:dyDescent="0.25">
      <c r="E207" s="115"/>
      <c r="F207" s="313" t="s">
        <v>1143</v>
      </c>
      <c r="G207" s="165"/>
      <c r="H207" s="165"/>
      <c r="I207" s="165"/>
    </row>
    <row r="208" spans="3:9" x14ac:dyDescent="0.25">
      <c r="E208" s="115"/>
    </row>
    <row r="209" spans="3:9" x14ac:dyDescent="0.25">
      <c r="C209" s="2">
        <f>TrialBalance!C203</f>
        <v>0</v>
      </c>
      <c r="E209" s="115">
        <f>-TrialBalance!L203</f>
        <v>0</v>
      </c>
      <c r="F209" s="313" t="s">
        <v>1141</v>
      </c>
      <c r="G209" s="165"/>
      <c r="H209" s="165"/>
      <c r="I209" s="165"/>
    </row>
    <row r="210" spans="3:9" x14ac:dyDescent="0.25">
      <c r="C210"/>
      <c r="D210"/>
      <c r="E210" s="237"/>
      <c r="F210" s="313" t="s">
        <v>1142</v>
      </c>
      <c r="G210" s="165"/>
      <c r="H210" s="165"/>
      <c r="I210" s="165"/>
    </row>
    <row r="211" spans="3:9" x14ac:dyDescent="0.25">
      <c r="E211" s="115"/>
      <c r="F211" s="313" t="s">
        <v>1144</v>
      </c>
      <c r="G211" s="165"/>
      <c r="H211" s="165"/>
      <c r="I211" s="165"/>
    </row>
    <row r="212" spans="3:9" x14ac:dyDescent="0.25">
      <c r="E212" s="115"/>
      <c r="F212" s="313" t="s">
        <v>1143</v>
      </c>
      <c r="G212" s="165"/>
      <c r="H212" s="165"/>
      <c r="I212" s="165"/>
    </row>
    <row r="213" spans="3:9" x14ac:dyDescent="0.25">
      <c r="E213" s="115"/>
    </row>
    <row r="214" spans="3:9" x14ac:dyDescent="0.25">
      <c r="C214" s="2">
        <f>TrialBalance!C204</f>
        <v>0</v>
      </c>
      <c r="E214" s="115">
        <f>-TrialBalance!L204</f>
        <v>0</v>
      </c>
      <c r="F214" s="313" t="s">
        <v>1141</v>
      </c>
      <c r="G214" s="165"/>
      <c r="H214" s="165"/>
      <c r="I214" s="165"/>
    </row>
    <row r="215" spans="3:9" x14ac:dyDescent="0.25">
      <c r="E215" s="115"/>
      <c r="F215" s="313" t="s">
        <v>1142</v>
      </c>
      <c r="G215" s="165"/>
      <c r="H215" s="165"/>
      <c r="I215" s="165"/>
    </row>
    <row r="216" spans="3:9" x14ac:dyDescent="0.25">
      <c r="E216" s="115"/>
      <c r="F216" s="313" t="s">
        <v>1144</v>
      </c>
      <c r="G216" s="165"/>
      <c r="H216" s="165"/>
      <c r="I216" s="165"/>
    </row>
    <row r="217" spans="3:9" x14ac:dyDescent="0.25">
      <c r="E217" s="115"/>
      <c r="F217" s="313" t="s">
        <v>1143</v>
      </c>
      <c r="G217" s="165"/>
      <c r="H217" s="165"/>
      <c r="I217" s="165"/>
    </row>
    <row r="218" spans="3:9" x14ac:dyDescent="0.25">
      <c r="E218" s="115"/>
    </row>
    <row r="219" spans="3:9" x14ac:dyDescent="0.25">
      <c r="C219" s="2">
        <f>TrialBalance!C205</f>
        <v>0</v>
      </c>
      <c r="E219" s="115">
        <f>-TrialBalance!L205</f>
        <v>0</v>
      </c>
      <c r="F219" s="313" t="s">
        <v>1141</v>
      </c>
      <c r="G219" s="165"/>
      <c r="H219" s="165"/>
      <c r="I219" s="165"/>
    </row>
    <row r="220" spans="3:9" x14ac:dyDescent="0.25">
      <c r="E220" s="115"/>
      <c r="F220" s="313" t="s">
        <v>1142</v>
      </c>
      <c r="G220" s="165"/>
      <c r="H220" s="165"/>
      <c r="I220" s="165"/>
    </row>
    <row r="221" spans="3:9" x14ac:dyDescent="0.25">
      <c r="E221" s="115"/>
      <c r="F221" s="313" t="s">
        <v>1144</v>
      </c>
      <c r="G221" s="165"/>
      <c r="H221" s="165"/>
      <c r="I221" s="165"/>
    </row>
    <row r="222" spans="3:9" x14ac:dyDescent="0.25">
      <c r="E222" s="115"/>
      <c r="F222" s="313" t="s">
        <v>1143</v>
      </c>
      <c r="G222" s="165"/>
      <c r="H222" s="165"/>
      <c r="I222" s="165"/>
    </row>
    <row r="223" spans="3:9" x14ac:dyDescent="0.25">
      <c r="E223" s="115"/>
    </row>
    <row r="224" spans="3:9" x14ac:dyDescent="0.25">
      <c r="C224" s="2">
        <f>TrialBalance!C206</f>
        <v>0</v>
      </c>
      <c r="E224" s="115">
        <f>-TrialBalance!L206</f>
        <v>0</v>
      </c>
      <c r="F224" s="313" t="s">
        <v>1141</v>
      </c>
      <c r="G224" s="165"/>
      <c r="H224" s="165"/>
      <c r="I224" s="165"/>
    </row>
    <row r="225" spans="3:16" x14ac:dyDescent="0.25">
      <c r="E225" s="115"/>
      <c r="F225" s="313" t="s">
        <v>1142</v>
      </c>
      <c r="G225" s="165"/>
      <c r="H225" s="165"/>
      <c r="I225" s="165"/>
    </row>
    <row r="226" spans="3:16" x14ac:dyDescent="0.25">
      <c r="E226" s="115"/>
      <c r="F226" s="313" t="s">
        <v>1144</v>
      </c>
      <c r="G226" s="165"/>
      <c r="H226" s="165"/>
      <c r="I226" s="165"/>
    </row>
    <row r="227" spans="3:16" x14ac:dyDescent="0.25">
      <c r="E227" s="115"/>
      <c r="F227" s="313" t="s">
        <v>1143</v>
      </c>
      <c r="G227" s="165"/>
      <c r="H227" s="165"/>
      <c r="I227" s="165"/>
    </row>
    <row r="229" spans="3:16" ht="19.5" x14ac:dyDescent="0.35">
      <c r="C229" s="159" t="s">
        <v>620</v>
      </c>
      <c r="F229" s="142"/>
      <c r="I229"/>
      <c r="J229"/>
    </row>
    <row r="230" spans="3:16" x14ac:dyDescent="0.25">
      <c r="G230" s="25">
        <f>E22</f>
        <v>2024</v>
      </c>
      <c r="K230" s="115"/>
      <c r="P230" s="237"/>
    </row>
    <row r="231" spans="3:16" x14ac:dyDescent="0.25">
      <c r="J231" s="15"/>
      <c r="K231" s="115"/>
      <c r="P231" s="31"/>
    </row>
    <row r="232" spans="3:16" x14ac:dyDescent="0.25">
      <c r="C232" s="2" t="s">
        <v>755</v>
      </c>
      <c r="G232" s="314"/>
      <c r="J232" s="115"/>
      <c r="K232" s="115"/>
      <c r="P232" s="31"/>
    </row>
    <row r="233" spans="3:16" x14ac:dyDescent="0.25">
      <c r="C233" s="2" t="s">
        <v>756</v>
      </c>
      <c r="G233" s="314"/>
      <c r="K233" s="115"/>
      <c r="P233" s="31"/>
    </row>
    <row r="235" spans="3:16" x14ac:dyDescent="0.25">
      <c r="C235" s="2" t="s">
        <v>698</v>
      </c>
    </row>
    <row r="236" spans="3:16" x14ac:dyDescent="0.25">
      <c r="C236" s="2" t="s">
        <v>700</v>
      </c>
      <c r="G236" s="314">
        <f>ROUND(TARegister!Q15,0)</f>
        <v>0</v>
      </c>
    </row>
    <row r="237" spans="3:16" x14ac:dyDescent="0.25">
      <c r="C237" s="314"/>
      <c r="D237" s="314"/>
      <c r="E237" s="314"/>
      <c r="G237" s="314"/>
    </row>
    <row r="238" spans="3:16" x14ac:dyDescent="0.25">
      <c r="C238" s="314"/>
      <c r="D238" s="314"/>
      <c r="E238" s="314"/>
      <c r="G238" s="314"/>
    </row>
    <row r="239" spans="3:16" x14ac:dyDescent="0.25">
      <c r="C239" s="314"/>
      <c r="D239" s="314"/>
      <c r="E239" s="314"/>
      <c r="G239" s="314"/>
    </row>
    <row r="240" spans="3:16" x14ac:dyDescent="0.25">
      <c r="C240" s="314"/>
      <c r="D240" s="314"/>
      <c r="E240" s="314"/>
      <c r="G240" s="314"/>
    </row>
    <row r="241" spans="3:8" x14ac:dyDescent="0.25">
      <c r="C241" s="2" t="s">
        <v>699</v>
      </c>
    </row>
    <row r="242" spans="3:8" x14ac:dyDescent="0.25">
      <c r="C242" s="2" t="s">
        <v>701</v>
      </c>
      <c r="G242" s="314">
        <f>ROUND(SUM(TARegister!T11:T14),0)</f>
        <v>0</v>
      </c>
    </row>
    <row r="243" spans="3:8" x14ac:dyDescent="0.25">
      <c r="C243" s="2" t="s">
        <v>732</v>
      </c>
      <c r="F243" s="8"/>
      <c r="G243" s="314">
        <f>ROUND(TARegister!T10,0)</f>
        <v>0</v>
      </c>
    </row>
    <row r="244" spans="3:8" x14ac:dyDescent="0.25">
      <c r="C244" s="2" t="s">
        <v>704</v>
      </c>
      <c r="G244" s="314">
        <f>ROUND(TARegister!R15,0)</f>
        <v>0</v>
      </c>
    </row>
    <row r="245" spans="3:8" x14ac:dyDescent="0.25">
      <c r="C245" s="314"/>
      <c r="D245" s="314"/>
      <c r="E245" s="314"/>
      <c r="G245" s="314"/>
    </row>
    <row r="246" spans="3:8" x14ac:dyDescent="0.25">
      <c r="C246" s="314"/>
      <c r="D246" s="314"/>
      <c r="E246" s="314"/>
      <c r="G246" s="314"/>
    </row>
    <row r="248" spans="3:8" x14ac:dyDescent="0.25">
      <c r="G248" s="5" t="s">
        <v>328</v>
      </c>
      <c r="H248" s="5" t="s">
        <v>329</v>
      </c>
    </row>
    <row r="249" spans="3:8" x14ac:dyDescent="0.25">
      <c r="C249" s="2" t="s">
        <v>757</v>
      </c>
      <c r="G249" s="314">
        <f>ROUND(IF(TARegister!S15&gt;0,TARegister!S15,0),0)</f>
        <v>0</v>
      </c>
      <c r="H249" s="314">
        <f>ROUND(IF(TARegister!S15&lt;0,-TARegister!S15,0),0)</f>
        <v>0</v>
      </c>
    </row>
    <row r="251" spans="3:8" x14ac:dyDescent="0.25">
      <c r="C251" s="2" t="s">
        <v>1171</v>
      </c>
      <c r="G251" s="314"/>
    </row>
    <row r="253" spans="3:8" ht="16.5" thickBot="1" x14ac:dyDescent="0.3">
      <c r="C253" s="2" t="s">
        <v>1170</v>
      </c>
      <c r="G253" s="496">
        <f>G249-G251</f>
        <v>0</v>
      </c>
    </row>
    <row r="254" spans="3:8" ht="16.5" thickTop="1" x14ac:dyDescent="0.25"/>
    <row r="255" spans="3:8" x14ac:dyDescent="0.25">
      <c r="C255" s="2" t="s">
        <v>520</v>
      </c>
      <c r="G255" s="497">
        <f>IF(TrialBalance!L81&lt;0,-TrialBalance!L81,0)+IF(TrialBalanceA!I81&lt;0,-TrialBalanceA!I81,0)+IF(TrialBalanceB!I81&lt;0,-TrialBalanceB!I81,0)+IF(TrialBalanceC!I81&lt;0,-TrialBalanceC!I81,0)</f>
        <v>0</v>
      </c>
    </row>
    <row r="257" spans="3:7" x14ac:dyDescent="0.25">
      <c r="C257" s="2" t="s">
        <v>1171</v>
      </c>
      <c r="G257" s="115">
        <f>G251</f>
        <v>0</v>
      </c>
    </row>
    <row r="259" spans="3:7" ht="16.5" thickBot="1" x14ac:dyDescent="0.3">
      <c r="C259" s="2" t="s">
        <v>1172</v>
      </c>
      <c r="G259" s="496">
        <f>G255-G257</f>
        <v>0</v>
      </c>
    </row>
    <row r="260" spans="3:7" ht="16.5" thickTop="1" x14ac:dyDescent="0.25"/>
  </sheetData>
  <sheetProtection algorithmName="SHA-512" hashValue="2sYjMd7K7WnVojjhOjZc9QMM2BH5RRPEq3byU0n2wH2+IhRU+W5qURpRjmD76yZxfirAtHXW+/QTlBT7ou8iwg==" saltValue="7XLlIFjxYyFvGjubMZw2Zg==" spinCount="100000" sheet="1" objects="1" scenarios="1" selectLockedCells="1"/>
  <mergeCells count="8">
    <mergeCell ref="A62:J62"/>
    <mergeCell ref="E11:G11"/>
    <mergeCell ref="E9:G9"/>
    <mergeCell ref="E10:G10"/>
    <mergeCell ref="E13:G13"/>
    <mergeCell ref="E14:G14"/>
    <mergeCell ref="E15:G15"/>
    <mergeCell ref="E16:G16"/>
  </mergeCells>
  <phoneticPr fontId="0" type="noConversion"/>
  <dataValidations count="1">
    <dataValidation type="list" allowBlank="1" showInputMessage="1" showErrorMessage="1" sqref="E24 F69 G147" xr:uid="{00000000-0002-0000-0300-00000D000000}">
      <formula1>$F$25:$G$25</formula1>
    </dataValidation>
  </dataValidations>
  <hyperlinks>
    <hyperlink ref="E3" r:id="rId1" xr:uid="{A79E2011-1565-4795-9AE7-8DEA94E53F27}"/>
    <hyperlink ref="E4" r:id="rId2" xr:uid="{80D8E11E-6C2A-4519-B530-7363E8BD7500}"/>
  </hyperlinks>
  <pageMargins left="0.75" right="0.75" top="1" bottom="1" header="0.5" footer="0.5"/>
  <pageSetup paperSize="9" orientation="portrait" r:id="rId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8958D-382E-41B3-811C-95AA971F2895}">
  <sheetPr>
    <pageSetUpPr fitToPage="1"/>
  </sheetPr>
  <dimension ref="A1:AI2268"/>
  <sheetViews>
    <sheetView view="pageBreakPreview" zoomScale="60" zoomScaleNormal="100" workbookViewId="0">
      <selection activeCell="R15" sqref="R15"/>
    </sheetView>
  </sheetViews>
  <sheetFormatPr defaultRowHeight="31.5" x14ac:dyDescent="0.45"/>
  <cols>
    <col min="1" max="1" width="4.28515625" style="368" customWidth="1"/>
    <col min="2" max="2" width="6.140625" style="368" customWidth="1"/>
    <col min="3" max="3" width="9.7109375" style="368" customWidth="1"/>
    <col min="4" max="4" width="10.28515625" style="368" customWidth="1"/>
    <col min="5" max="5" width="9.7109375" style="368" customWidth="1"/>
    <col min="6" max="6" width="5.140625" style="368" customWidth="1"/>
    <col min="7" max="7" width="17.5703125" style="368" customWidth="1"/>
    <col min="8" max="8" width="21.85546875" style="368" customWidth="1"/>
    <col min="9" max="9" width="4.85546875" style="368" customWidth="1"/>
    <col min="10" max="10" width="22" style="368" customWidth="1"/>
    <col min="11" max="11" width="21.85546875" style="368" customWidth="1"/>
    <col min="12" max="12" width="3.28515625" style="368" customWidth="1"/>
    <col min="13" max="13" width="26.5703125" style="467" customWidth="1"/>
    <col min="14" max="14" width="3.7109375" style="468" customWidth="1"/>
    <col min="15" max="15" width="26.5703125" style="467" customWidth="1"/>
    <col min="16" max="16" width="3.42578125" style="468" customWidth="1"/>
    <col min="17" max="17" width="6.42578125" style="368" customWidth="1"/>
    <col min="18" max="18" width="17.42578125" style="416" customWidth="1"/>
    <col min="19" max="19" width="20.85546875" style="417" bestFit="1" customWidth="1"/>
    <col min="20" max="20" width="4.85546875" style="417" customWidth="1"/>
    <col min="21" max="21" width="18.7109375" style="417" bestFit="1" customWidth="1"/>
    <col min="22" max="22" width="6.28515625" style="417" customWidth="1"/>
    <col min="23" max="23" width="12" style="417" bestFit="1" customWidth="1"/>
    <col min="24" max="24" width="21.85546875" style="417" bestFit="1" customWidth="1"/>
    <col min="25" max="26" width="8.85546875" style="418" customWidth="1"/>
    <col min="27" max="35" width="9.140625" style="418"/>
    <col min="36" max="16384" width="9.140625" style="372"/>
  </cols>
  <sheetData>
    <row r="1" spans="6:22" ht="31.5" customHeight="1" x14ac:dyDescent="0.45">
      <c r="T1" s="507" t="s">
        <v>662</v>
      </c>
      <c r="U1" s="507"/>
      <c r="V1" s="507"/>
    </row>
    <row r="2" spans="6:22" ht="31.5" customHeight="1" x14ac:dyDescent="0.45">
      <c r="T2" s="278"/>
      <c r="U2" s="427" t="str">
        <f>IF(COUNTIF(U3:U2268,"FALSE")&gt;0,"NO","YES")</f>
        <v>YES</v>
      </c>
      <c r="V2" s="278"/>
    </row>
    <row r="3" spans="6:22" ht="31.5" customHeight="1" x14ac:dyDescent="0.45"/>
    <row r="4" spans="6:22" ht="31.5" customHeight="1" x14ac:dyDescent="0.45">
      <c r="H4" s="469"/>
      <c r="J4" s="469"/>
      <c r="K4" s="469"/>
    </row>
    <row r="5" spans="6:22" ht="31.5" customHeight="1" x14ac:dyDescent="0.45"/>
    <row r="6" spans="6:22" ht="31.5" customHeight="1" x14ac:dyDescent="0.45"/>
    <row r="7" spans="6:22" ht="31.5" customHeight="1" x14ac:dyDescent="0.45"/>
    <row r="8" spans="6:22" ht="31.5" customHeight="1" x14ac:dyDescent="0.45"/>
    <row r="9" spans="6:22" ht="31.5" customHeight="1" x14ac:dyDescent="0.45"/>
    <row r="10" spans="6:22" ht="31.5" customHeight="1" x14ac:dyDescent="0.45"/>
    <row r="11" spans="6:22" ht="31.5" customHeight="1" x14ac:dyDescent="0.45"/>
    <row r="12" spans="6:22" ht="31.5" customHeight="1" x14ac:dyDescent="0.45"/>
    <row r="13" spans="6:22" ht="31.5" customHeight="1" x14ac:dyDescent="0.45"/>
    <row r="14" spans="6:22" ht="31.5" customHeight="1" thickBot="1" x14ac:dyDescent="0.5"/>
    <row r="15" spans="6:22" ht="31.5" customHeight="1" x14ac:dyDescent="0.45">
      <c r="F15" s="373"/>
      <c r="G15" s="374"/>
      <c r="H15" s="374"/>
      <c r="I15" s="374"/>
      <c r="J15" s="374"/>
      <c r="K15" s="374"/>
      <c r="L15" s="374"/>
      <c r="M15" s="470"/>
    </row>
    <row r="16" spans="6:22" ht="31.5" customHeight="1" x14ac:dyDescent="0.45">
      <c r="F16" s="500" t="str">
        <f>Criteria!E9</f>
        <v>ABC TRUST</v>
      </c>
      <c r="G16" s="501"/>
      <c r="H16" s="501"/>
      <c r="I16" s="501"/>
      <c r="J16" s="501"/>
      <c r="K16" s="501"/>
      <c r="L16" s="501"/>
      <c r="M16" s="502"/>
      <c r="N16" s="371"/>
    </row>
    <row r="17" spans="6:14" ht="31.5" customHeight="1" x14ac:dyDescent="0.45">
      <c r="F17" s="375"/>
      <c r="G17" s="371"/>
      <c r="H17" s="371"/>
      <c r="I17" s="371"/>
      <c r="J17" s="371"/>
      <c r="K17" s="371"/>
      <c r="L17" s="371"/>
      <c r="M17" s="428"/>
    </row>
    <row r="18" spans="6:14" ht="31.5" customHeight="1" x14ac:dyDescent="0.45">
      <c r="F18" s="500" t="s">
        <v>171</v>
      </c>
      <c r="G18" s="501"/>
      <c r="H18" s="501"/>
      <c r="I18" s="501"/>
      <c r="J18" s="501"/>
      <c r="K18" s="501"/>
      <c r="L18" s="501"/>
      <c r="M18" s="502"/>
      <c r="N18" s="371"/>
    </row>
    <row r="19" spans="6:14" ht="31.5" customHeight="1" x14ac:dyDescent="0.45">
      <c r="F19" s="375"/>
      <c r="G19" s="371"/>
      <c r="H19" s="371"/>
      <c r="I19" s="371"/>
      <c r="J19" s="371"/>
      <c r="K19" s="371"/>
      <c r="L19" s="371"/>
      <c r="M19" s="428"/>
      <c r="N19" s="371"/>
    </row>
    <row r="20" spans="6:14" ht="31.5" customHeight="1" x14ac:dyDescent="0.45">
      <c r="F20" s="500" t="str">
        <f>Criteria!E20</f>
        <v>29 FEBRUARY 2024</v>
      </c>
      <c r="G20" s="501"/>
      <c r="H20" s="501"/>
      <c r="I20" s="501"/>
      <c r="J20" s="501"/>
      <c r="K20" s="501"/>
      <c r="L20" s="501"/>
      <c r="M20" s="502"/>
      <c r="N20" s="371"/>
    </row>
    <row r="21" spans="6:14" ht="31.5" customHeight="1" thickBot="1" x14ac:dyDescent="0.5">
      <c r="F21" s="376"/>
      <c r="G21" s="377"/>
      <c r="H21" s="377"/>
      <c r="I21" s="377"/>
      <c r="J21" s="377"/>
      <c r="K21" s="377"/>
      <c r="L21" s="377"/>
      <c r="M21" s="471"/>
    </row>
    <row r="22" spans="6:14" ht="31.5" customHeight="1" x14ac:dyDescent="0.45"/>
    <row r="23" spans="6:14" ht="31.5" customHeight="1" x14ac:dyDescent="0.45"/>
    <row r="24" spans="6:14" ht="31.5" customHeight="1" x14ac:dyDescent="0.45"/>
    <row r="25" spans="6:14" ht="31.5" customHeight="1" x14ac:dyDescent="0.45"/>
    <row r="26" spans="6:14" ht="31.5" customHeight="1" x14ac:dyDescent="0.45"/>
    <row r="27" spans="6:14" ht="31.5" customHeight="1" x14ac:dyDescent="0.45"/>
    <row r="28" spans="6:14" ht="31.5" customHeight="1" x14ac:dyDescent="0.45"/>
    <row r="29" spans="6:14" ht="31.5" customHeight="1" x14ac:dyDescent="0.45"/>
    <row r="30" spans="6:14" ht="31.5" customHeight="1" x14ac:dyDescent="0.45"/>
    <row r="31" spans="6:14" ht="31.5" customHeight="1" x14ac:dyDescent="0.45"/>
    <row r="32" spans="6:14" ht="31.5" customHeight="1" x14ac:dyDescent="0.45"/>
    <row r="33" ht="31.5" customHeight="1" x14ac:dyDescent="0.45"/>
    <row r="34" ht="31.5" customHeight="1" x14ac:dyDescent="0.45"/>
    <row r="35" ht="31.5" customHeight="1" x14ac:dyDescent="0.45"/>
    <row r="36" ht="31.5" customHeight="1" x14ac:dyDescent="0.45"/>
    <row r="37" ht="31.5" customHeight="1" x14ac:dyDescent="0.45"/>
    <row r="38" ht="31.5" customHeight="1" x14ac:dyDescent="0.45"/>
    <row r="39" ht="31.5" customHeight="1" x14ac:dyDescent="0.45"/>
    <row r="40" ht="31.5" customHeight="1" x14ac:dyDescent="0.45"/>
    <row r="41" ht="31.5" customHeight="1" x14ac:dyDescent="0.45"/>
    <row r="42" ht="31.5" customHeight="1" x14ac:dyDescent="0.45"/>
    <row r="43" ht="31.5" customHeight="1" x14ac:dyDescent="0.45"/>
    <row r="44" ht="31.5" customHeight="1" x14ac:dyDescent="0.45"/>
    <row r="45" ht="31.5" customHeight="1" x14ac:dyDescent="0.45"/>
    <row r="46" ht="31.5" customHeight="1" x14ac:dyDescent="0.45"/>
    <row r="47" ht="31.5" customHeight="1" x14ac:dyDescent="0.45"/>
    <row r="48" ht="31.5" customHeight="1" x14ac:dyDescent="0.45"/>
    <row r="49" spans="4:18" ht="31.5" customHeight="1" x14ac:dyDescent="0.45"/>
    <row r="50" spans="4:18" ht="31.5" customHeight="1" x14ac:dyDescent="0.45"/>
    <row r="51" spans="4:18" ht="31.5" customHeight="1" x14ac:dyDescent="0.45"/>
    <row r="52" spans="4:18" ht="31.5" customHeight="1" x14ac:dyDescent="0.45"/>
    <row r="53" spans="4:18" ht="31.5" customHeight="1" x14ac:dyDescent="0.45"/>
    <row r="54" spans="4:18" ht="31.5" customHeight="1" x14ac:dyDescent="0.45"/>
    <row r="55" spans="4:18" ht="31.5" customHeight="1" x14ac:dyDescent="0.45"/>
    <row r="56" spans="4:18" ht="31.5" customHeight="1" x14ac:dyDescent="0.45"/>
    <row r="57" spans="4:18" ht="31.5" customHeight="1" x14ac:dyDescent="0.45"/>
    <row r="58" spans="4:18" ht="31.5" customHeight="1" x14ac:dyDescent="0.45">
      <c r="D58" s="369" t="str">
        <f>Criteria!E9</f>
        <v>ABC TRUST</v>
      </c>
    </row>
    <row r="59" spans="4:18" ht="31.5" customHeight="1" x14ac:dyDescent="0.45">
      <c r="D59" s="369" t="str">
        <f>Criteria!E10</f>
        <v>T/A RENTAL PROPERTIES, SEAFRONT RESTAURANT AND SURF SHOP</v>
      </c>
      <c r="R59" s="416" t="str">
        <f>IF(D59=0,"DELETE"," ")</f>
        <v xml:space="preserve"> </v>
      </c>
    </row>
    <row r="60" spans="4:18" ht="31.5" customHeight="1" x14ac:dyDescent="0.45">
      <c r="D60" s="369" t="str">
        <f>Criteria!E18</f>
        <v>IT83/2021</v>
      </c>
    </row>
    <row r="61" spans="4:18" ht="31.5" customHeight="1" x14ac:dyDescent="0.45">
      <c r="D61" s="369"/>
    </row>
    <row r="62" spans="4:18" ht="31.5" customHeight="1" x14ac:dyDescent="0.45">
      <c r="D62" s="369" t="s">
        <v>172</v>
      </c>
    </row>
    <row r="63" spans="4:18" ht="31.5" customHeight="1" x14ac:dyDescent="0.45">
      <c r="D63" s="369" t="str">
        <f>Criteria!E20</f>
        <v>29 FEBRUARY 2024</v>
      </c>
    </row>
    <row r="64" spans="4:18" ht="31.5" customHeight="1" x14ac:dyDescent="0.45"/>
    <row r="65" spans="4:15" ht="31.5" customHeight="1" x14ac:dyDescent="0.45"/>
    <row r="66" spans="4:15" ht="31.5" customHeight="1" x14ac:dyDescent="0.5">
      <c r="D66" s="460" t="s">
        <v>1021</v>
      </c>
    </row>
    <row r="67" spans="4:15" ht="31.5" customHeight="1" x14ac:dyDescent="0.5">
      <c r="D67" s="460" t="str">
        <f>IF(MAX(Criteria!I38:I42)=1,"presented to the Trustee:","presented to the Trustees:")</f>
        <v>presented to the Trustees:</v>
      </c>
    </row>
    <row r="68" spans="4:15" ht="31.5" customHeight="1" x14ac:dyDescent="0.45"/>
    <row r="69" spans="4:15" ht="31.5" customHeight="1" x14ac:dyDescent="0.45">
      <c r="D69" s="369" t="s">
        <v>173</v>
      </c>
      <c r="N69" s="378"/>
      <c r="O69" s="429" t="s">
        <v>174</v>
      </c>
    </row>
    <row r="70" spans="4:15" ht="31.5" customHeight="1" x14ac:dyDescent="0.45"/>
    <row r="71" spans="4:15" ht="31.5" customHeight="1" x14ac:dyDescent="0.45">
      <c r="D71" s="368" t="s">
        <v>175</v>
      </c>
      <c r="N71" s="379"/>
      <c r="O71" s="430">
        <f>Q114</f>
        <v>1</v>
      </c>
    </row>
    <row r="72" spans="4:15" ht="31.5" customHeight="1" x14ac:dyDescent="0.45">
      <c r="N72" s="379"/>
      <c r="O72" s="430"/>
    </row>
    <row r="73" spans="4:15" ht="31.5" customHeight="1" x14ac:dyDescent="0.45">
      <c r="D73" s="368" t="str">
        <f>IF(MAX(Criteria!I38:I42)&gt;1,"TRUSTEES' RESPONSIBILITY STATEMENT","TRUSTEE'S RESPONSIBILITY STATEMENT")</f>
        <v>TRUSTEES' RESPONSIBILITY STATEMENT</v>
      </c>
      <c r="N73" s="379"/>
      <c r="O73" s="430">
        <f>Q170</f>
        <v>2</v>
      </c>
    </row>
    <row r="74" spans="4:15" ht="31.5" customHeight="1" x14ac:dyDescent="0.45">
      <c r="N74" s="379"/>
      <c r="O74" s="430"/>
    </row>
    <row r="75" spans="4:15" ht="31.5" customHeight="1" x14ac:dyDescent="0.45">
      <c r="D75" s="368" t="s">
        <v>1006</v>
      </c>
      <c r="N75" s="379"/>
      <c r="O75" s="430">
        <f>MAX($Q$114:Q281)</f>
        <v>3</v>
      </c>
    </row>
    <row r="76" spans="4:15" ht="31.5" customHeight="1" x14ac:dyDescent="0.45">
      <c r="M76" s="372"/>
      <c r="N76" s="379"/>
      <c r="O76" s="430"/>
    </row>
    <row r="77" spans="4:15" ht="31.5" customHeight="1" x14ac:dyDescent="0.45">
      <c r="D77" s="368" t="s">
        <v>646</v>
      </c>
      <c r="M77" s="372"/>
      <c r="N77" s="379"/>
      <c r="O77" s="430">
        <f>Q282</f>
        <v>4</v>
      </c>
    </row>
    <row r="78" spans="4:15" ht="31.5" customHeight="1" x14ac:dyDescent="0.45">
      <c r="M78" s="372"/>
      <c r="N78" s="379"/>
      <c r="O78" s="430"/>
    </row>
    <row r="79" spans="4:15" ht="31.5" customHeight="1" x14ac:dyDescent="0.45">
      <c r="D79" s="368" t="s">
        <v>645</v>
      </c>
      <c r="M79" s="372"/>
      <c r="N79" s="379"/>
      <c r="O79" s="430">
        <f>Q348</f>
        <v>5</v>
      </c>
    </row>
    <row r="80" spans="4:15" ht="31.5" customHeight="1" x14ac:dyDescent="0.45">
      <c r="M80" s="372"/>
      <c r="N80" s="379"/>
      <c r="O80" s="430"/>
    </row>
    <row r="81" spans="4:18" ht="31.5" customHeight="1" x14ac:dyDescent="0.45">
      <c r="D81" s="368" t="s">
        <v>102</v>
      </c>
      <c r="M81" s="372"/>
      <c r="N81" s="379"/>
      <c r="O81" s="430" t="str">
        <f>IF(Q430&lt;MAX(Q430:Q1490),CONCATENATE(Q430," - ",MAX(Q430:Q1490)),Q430)</f>
        <v>6 - 33</v>
      </c>
    </row>
    <row r="82" spans="4:18" ht="31.5" customHeight="1" x14ac:dyDescent="0.45">
      <c r="M82" s="372"/>
      <c r="N82" s="379"/>
      <c r="O82" s="430"/>
    </row>
    <row r="83" spans="4:18" ht="31.5" customHeight="1" x14ac:dyDescent="0.45">
      <c r="D83" s="368" t="str">
        <f>IF(Criteria!E13=0,"DETAILED INCOME STATEMENT",CONCATENATE("DETAILED INCOME STATEMENT - ",Criteria!E13))</f>
        <v>DETAILED INCOME STATEMENT - RENTAL PROPERTIES</v>
      </c>
      <c r="M83" s="372"/>
      <c r="N83" s="379"/>
      <c r="O83" s="430" t="str">
        <f>IF(Q1491&lt;MAX(Q1491:Q1648),CONCATENATE(Q1491," - ",MAX(Q1491:Q1648)),Q1491)</f>
        <v>34 - 35</v>
      </c>
    </row>
    <row r="84" spans="4:18" ht="31.5" customHeight="1" x14ac:dyDescent="0.45">
      <c r="M84" s="372"/>
      <c r="N84" s="379"/>
      <c r="O84" s="430"/>
    </row>
    <row r="85" spans="4:18" ht="31.5" customHeight="1" x14ac:dyDescent="0.45">
      <c r="D85" s="368" t="s">
        <v>103</v>
      </c>
      <c r="M85" s="372"/>
      <c r="N85" s="379"/>
      <c r="O85" s="430">
        <f>Q1649</f>
        <v>36</v>
      </c>
    </row>
    <row r="86" spans="4:18" ht="31.5" customHeight="1" x14ac:dyDescent="0.45">
      <c r="M86" s="372"/>
      <c r="N86" s="379"/>
      <c r="O86" s="430"/>
    </row>
    <row r="87" spans="4:18" ht="31.5" customHeight="1" x14ac:dyDescent="0.45">
      <c r="D87" s="368" t="s">
        <v>293</v>
      </c>
      <c r="M87" s="372"/>
      <c r="N87" s="379"/>
      <c r="O87" s="430">
        <f>Q1722</f>
        <v>37</v>
      </c>
      <c r="R87" s="416" t="str">
        <f>R1721</f>
        <v>DELETE</v>
      </c>
    </row>
    <row r="88" spans="4:18" ht="31.5" customHeight="1" x14ac:dyDescent="0.45"/>
    <row r="89" spans="4:18" ht="31.5" customHeight="1" x14ac:dyDescent="0.45">
      <c r="D89" s="368" t="s">
        <v>486</v>
      </c>
      <c r="R89" s="416" t="str">
        <f>IF(Criteria!E14=0,"DELETE"," ")</f>
        <v xml:space="preserve"> </v>
      </c>
    </row>
    <row r="90" spans="4:18" ht="31.5" customHeight="1" x14ac:dyDescent="0.45">
      <c r="E90" s="368" t="s">
        <v>26</v>
      </c>
      <c r="F90" s="368" t="str">
        <f>CONCATENATE("DETAILED INCOME STATEMENT"," - ",Criteria!E14)</f>
        <v>DETAILED INCOME STATEMENT - SEAFRONT RESTAURANT</v>
      </c>
      <c r="R90" s="416" t="str">
        <f>IF(Criteria!E14=0,"DELETE"," ")</f>
        <v xml:space="preserve"> </v>
      </c>
    </row>
    <row r="91" spans="4:18" ht="31.5" customHeight="1" x14ac:dyDescent="0.45">
      <c r="E91" s="368" t="s">
        <v>615</v>
      </c>
      <c r="F91" s="368" t="str">
        <f>CONCATENATE("DETAILED INCOME STATEMENT"," - ",Criteria!E15)</f>
        <v>DETAILED INCOME STATEMENT - SURF SHOP</v>
      </c>
      <c r="R91" s="416" t="str">
        <f>IF(Criteria!E15=0,"DELETE"," ")</f>
        <v xml:space="preserve"> </v>
      </c>
    </row>
    <row r="92" spans="4:18" ht="31.5" customHeight="1" x14ac:dyDescent="0.45">
      <c r="E92" s="368" t="s">
        <v>617</v>
      </c>
      <c r="F92" s="368" t="str">
        <f>CONCATENATE("DETAILED INCOME STATEMENT"," - ",Criteria!E16)</f>
        <v xml:space="preserve">DETAILED INCOME STATEMENT - </v>
      </c>
      <c r="R92" s="416" t="str">
        <f>IF(Criteria!E16=0,"DELETE"," ")</f>
        <v>DELETE</v>
      </c>
    </row>
    <row r="93" spans="4:18" ht="31.5" customHeight="1" x14ac:dyDescent="0.45"/>
    <row r="94" spans="4:18" ht="31.5" customHeight="1" x14ac:dyDescent="0.45">
      <c r="D94" s="369"/>
    </row>
    <row r="95" spans="4:18" ht="31.5" customHeight="1" x14ac:dyDescent="0.45"/>
    <row r="96" spans="4:18" ht="31.5" customHeight="1" x14ac:dyDescent="0.45"/>
    <row r="97" spans="4:16" ht="31.5" customHeight="1" x14ac:dyDescent="0.45"/>
    <row r="98" spans="4:16" ht="31.5" customHeight="1" x14ac:dyDescent="0.45"/>
    <row r="99" spans="4:16" ht="31.5" customHeight="1" x14ac:dyDescent="0.45"/>
    <row r="100" spans="4:16" ht="31.5" customHeight="1" x14ac:dyDescent="0.45"/>
    <row r="101" spans="4:16" ht="31.5" customHeight="1" x14ac:dyDescent="0.45">
      <c r="D101" s="372"/>
      <c r="E101" s="372"/>
      <c r="F101" s="372"/>
      <c r="G101" s="372"/>
      <c r="H101" s="372"/>
      <c r="I101" s="372"/>
      <c r="J101" s="372"/>
      <c r="K101" s="372"/>
      <c r="L101" s="372"/>
      <c r="M101" s="37"/>
      <c r="N101" s="372"/>
      <c r="O101" s="37"/>
      <c r="P101" s="372"/>
    </row>
    <row r="102" spans="4:16" ht="31.5" customHeight="1" x14ac:dyDescent="0.45">
      <c r="D102" s="372"/>
      <c r="E102" s="372"/>
      <c r="F102" s="372"/>
      <c r="G102" s="372"/>
      <c r="H102" s="372"/>
      <c r="I102" s="372"/>
      <c r="J102" s="372"/>
      <c r="K102" s="372"/>
      <c r="L102" s="372"/>
      <c r="M102" s="37"/>
      <c r="N102" s="372"/>
      <c r="O102" s="37"/>
      <c r="P102" s="372"/>
    </row>
    <row r="103" spans="4:16" ht="31.5" customHeight="1" x14ac:dyDescent="0.45">
      <c r="D103" s="372"/>
      <c r="E103" s="372"/>
      <c r="F103" s="372"/>
      <c r="G103" s="372"/>
      <c r="H103" s="372"/>
      <c r="I103" s="372"/>
      <c r="J103" s="372"/>
      <c r="K103" s="372"/>
      <c r="L103" s="372"/>
      <c r="M103" s="37"/>
      <c r="N103" s="372"/>
      <c r="O103" s="37"/>
      <c r="P103" s="372"/>
    </row>
    <row r="104" spans="4:16" ht="31.5" customHeight="1" x14ac:dyDescent="0.45">
      <c r="D104" s="372"/>
      <c r="E104" s="372"/>
      <c r="F104" s="372"/>
      <c r="G104" s="372"/>
      <c r="H104" s="372"/>
      <c r="I104" s="372"/>
      <c r="J104" s="372"/>
      <c r="K104" s="372"/>
      <c r="L104" s="372"/>
      <c r="M104" s="37"/>
      <c r="N104" s="372"/>
      <c r="O104" s="37"/>
      <c r="P104" s="372"/>
    </row>
    <row r="105" spans="4:16" ht="31.5" customHeight="1" x14ac:dyDescent="0.45">
      <c r="D105" s="372"/>
      <c r="E105" s="372"/>
      <c r="F105" s="372"/>
      <c r="G105" s="372"/>
      <c r="H105" s="372"/>
      <c r="I105" s="372"/>
      <c r="J105" s="372"/>
      <c r="K105" s="372"/>
      <c r="L105" s="372"/>
      <c r="M105" s="37"/>
      <c r="N105" s="372"/>
      <c r="O105" s="37"/>
      <c r="P105" s="372"/>
    </row>
    <row r="106" spans="4:16" ht="31.5" customHeight="1" x14ac:dyDescent="0.45">
      <c r="D106" s="372"/>
      <c r="E106" s="372"/>
      <c r="F106" s="372"/>
      <c r="G106" s="372"/>
      <c r="H106" s="372"/>
      <c r="I106" s="372"/>
      <c r="J106" s="372"/>
      <c r="K106" s="372"/>
      <c r="L106" s="372"/>
      <c r="M106" s="37"/>
      <c r="N106" s="372"/>
      <c r="O106" s="37"/>
      <c r="P106" s="372"/>
    </row>
    <row r="107" spans="4:16" ht="31.5" customHeight="1" x14ac:dyDescent="0.45">
      <c r="D107" s="372"/>
      <c r="E107" s="372"/>
      <c r="F107" s="372"/>
      <c r="G107" s="372"/>
      <c r="H107" s="372"/>
      <c r="I107" s="372"/>
      <c r="J107" s="372"/>
      <c r="K107" s="372"/>
      <c r="L107" s="372"/>
      <c r="M107" s="37"/>
      <c r="N107" s="372"/>
      <c r="O107" s="37"/>
      <c r="P107" s="372"/>
    </row>
    <row r="108" spans="4:16" ht="31.5" customHeight="1" x14ac:dyDescent="0.45">
      <c r="D108" s="372"/>
      <c r="E108" s="372"/>
      <c r="F108" s="372"/>
      <c r="G108" s="372"/>
      <c r="H108" s="372"/>
      <c r="I108" s="372"/>
      <c r="J108" s="372"/>
      <c r="K108" s="372"/>
      <c r="L108" s="372"/>
      <c r="M108" s="37"/>
      <c r="N108" s="372"/>
      <c r="O108" s="37"/>
      <c r="P108" s="372"/>
    </row>
    <row r="109" spans="4:16" ht="31.5" customHeight="1" x14ac:dyDescent="0.45">
      <c r="D109" s="372"/>
      <c r="E109" s="372"/>
      <c r="F109" s="372"/>
      <c r="G109" s="372"/>
      <c r="H109" s="372"/>
      <c r="I109" s="372"/>
      <c r="J109" s="372"/>
      <c r="K109" s="372"/>
      <c r="L109" s="372"/>
      <c r="M109" s="37"/>
      <c r="N109" s="372"/>
      <c r="O109" s="37"/>
      <c r="P109" s="372"/>
    </row>
    <row r="110" spans="4:16" ht="31.5" customHeight="1" x14ac:dyDescent="0.45">
      <c r="D110" s="372"/>
      <c r="E110" s="372"/>
      <c r="F110" s="372"/>
      <c r="G110" s="372"/>
      <c r="H110" s="372"/>
      <c r="I110" s="372"/>
      <c r="J110" s="372"/>
      <c r="K110" s="372"/>
      <c r="L110" s="372"/>
      <c r="M110" s="37"/>
      <c r="N110" s="372"/>
      <c r="O110" s="37"/>
      <c r="P110" s="372"/>
    </row>
    <row r="111" spans="4:16" ht="31.5" customHeight="1" x14ac:dyDescent="0.45"/>
    <row r="112" spans="4:16" ht="31.5" customHeight="1" x14ac:dyDescent="0.45"/>
    <row r="113" spans="4:18" ht="31.5" customHeight="1" x14ac:dyDescent="0.45"/>
    <row r="114" spans="4:18" ht="31.5" customHeight="1" x14ac:dyDescent="0.45">
      <c r="D114" s="369" t="str">
        <f>Criteria!E9</f>
        <v>ABC TRUST</v>
      </c>
      <c r="O114" s="433" t="s">
        <v>105</v>
      </c>
      <c r="P114" s="380"/>
      <c r="Q114" s="370">
        <v>1</v>
      </c>
    </row>
    <row r="115" spans="4:18" ht="31.5" customHeight="1" x14ac:dyDescent="0.45">
      <c r="D115" s="369" t="str">
        <f>Criteria!E10</f>
        <v>T/A RENTAL PROPERTIES, SEAFRONT RESTAURANT AND SURF SHOP</v>
      </c>
      <c r="R115" s="416" t="str">
        <f>IF(D115=0,"DELETE"," ")</f>
        <v xml:space="preserve"> </v>
      </c>
    </row>
    <row r="116" spans="4:18" ht="31.5" customHeight="1" x14ac:dyDescent="0.45"/>
    <row r="117" spans="4:18" ht="31.5" customHeight="1" x14ac:dyDescent="0.45"/>
    <row r="118" spans="4:18" ht="31.5" customHeight="1" x14ac:dyDescent="0.45">
      <c r="D118" s="369" t="s">
        <v>175</v>
      </c>
    </row>
    <row r="119" spans="4:18" ht="31.5" customHeight="1" x14ac:dyDescent="0.45"/>
    <row r="120" spans="4:18" ht="31.5" customHeight="1" x14ac:dyDescent="0.45"/>
    <row r="121" spans="4:18" ht="31.5" customHeight="1" x14ac:dyDescent="0.45">
      <c r="D121" s="368" t="s">
        <v>1022</v>
      </c>
    </row>
    <row r="122" spans="4:18" ht="31.5" customHeight="1" x14ac:dyDescent="0.45">
      <c r="D122" s="368" t="s">
        <v>1023</v>
      </c>
      <c r="J122" s="368" t="s">
        <v>618</v>
      </c>
    </row>
    <row r="123" spans="4:18" ht="31.5" customHeight="1" x14ac:dyDescent="0.45"/>
    <row r="124" spans="4:18" ht="31.5" customHeight="1" x14ac:dyDescent="0.45">
      <c r="D124" s="368" t="s">
        <v>727</v>
      </c>
      <c r="J124" s="368" t="s">
        <v>728</v>
      </c>
    </row>
    <row r="125" spans="4:18" ht="31.5" customHeight="1" x14ac:dyDescent="0.45"/>
    <row r="126" spans="4:18" ht="31.5" customHeight="1" x14ac:dyDescent="0.45">
      <c r="D126" s="368" t="s">
        <v>106</v>
      </c>
      <c r="J126" s="368" t="str">
        <f>Criteria!E33</f>
        <v>Investment in immovable property</v>
      </c>
    </row>
    <row r="127" spans="4:18" ht="31.5" customHeight="1" x14ac:dyDescent="0.45">
      <c r="J127" s="368">
        <f>Criteria!E34</f>
        <v>0</v>
      </c>
      <c r="R127" s="416" t="str">
        <f>IF(J127=0,"DELETE"," ")</f>
        <v>DELETE</v>
      </c>
    </row>
    <row r="128" spans="4:18" ht="31.5" customHeight="1" x14ac:dyDescent="0.45">
      <c r="J128" s="368">
        <f>Criteria!E35</f>
        <v>0</v>
      </c>
      <c r="R128" s="416" t="str">
        <f>IF(J128=0,"DELETE"," ")</f>
        <v>DELETE</v>
      </c>
    </row>
    <row r="129" spans="4:18" ht="31.5" customHeight="1" x14ac:dyDescent="0.45">
      <c r="J129" s="368">
        <f>Criteria!E36</f>
        <v>0</v>
      </c>
      <c r="R129" s="416" t="str">
        <f>IF(J129=0,"DELETE"," ")</f>
        <v>DELETE</v>
      </c>
    </row>
    <row r="130" spans="4:18" ht="31.5" customHeight="1" x14ac:dyDescent="0.45"/>
    <row r="131" spans="4:18" ht="31.5" customHeight="1" x14ac:dyDescent="0.45">
      <c r="D131" s="368" t="str">
        <f>IF(MAX(Criteria!I38:I42)&gt;1,"Trustees","Trustee")</f>
        <v>Trustees</v>
      </c>
      <c r="J131" s="368" t="str">
        <f>Criteria!E38</f>
        <v>A Trustee</v>
      </c>
    </row>
    <row r="132" spans="4:18" ht="31.5" customHeight="1" x14ac:dyDescent="0.45">
      <c r="J132" s="368" t="str">
        <f>Criteria!E39</f>
        <v>C Trustee</v>
      </c>
      <c r="R132" s="416" t="str">
        <f>IF(J132=0,"DELETE"," ")</f>
        <v xml:space="preserve"> </v>
      </c>
    </row>
    <row r="133" spans="4:18" ht="31.5" customHeight="1" x14ac:dyDescent="0.45">
      <c r="J133" s="368">
        <f>Criteria!E40</f>
        <v>0</v>
      </c>
      <c r="R133" s="416" t="str">
        <f>IF(J133=0,"DELETE"," ")</f>
        <v>DELETE</v>
      </c>
    </row>
    <row r="134" spans="4:18" ht="31.5" customHeight="1" x14ac:dyDescent="0.45">
      <c r="J134" s="368">
        <f>Criteria!E41</f>
        <v>0</v>
      </c>
      <c r="R134" s="416" t="str">
        <f>IF(J134=0,"DELETE"," ")</f>
        <v>DELETE</v>
      </c>
    </row>
    <row r="135" spans="4:18" ht="31.5" customHeight="1" x14ac:dyDescent="0.45">
      <c r="J135" s="368">
        <f>Criteria!E42</f>
        <v>0</v>
      </c>
      <c r="R135" s="416" t="str">
        <f>IF(J135=0,"DELETE"," ")</f>
        <v>DELETE</v>
      </c>
    </row>
    <row r="136" spans="4:18" ht="31.5" customHeight="1" x14ac:dyDescent="0.45"/>
    <row r="137" spans="4:18" ht="31.5" customHeight="1" x14ac:dyDescent="0.45">
      <c r="D137" s="368" t="s">
        <v>107</v>
      </c>
      <c r="J137" s="368">
        <f>Criteria!E47</f>
        <v>0</v>
      </c>
    </row>
    <row r="138" spans="4:18" ht="31.5" customHeight="1" x14ac:dyDescent="0.45">
      <c r="J138" s="368">
        <f>Criteria!E48</f>
        <v>0</v>
      </c>
    </row>
    <row r="139" spans="4:18" ht="31.5" customHeight="1" x14ac:dyDescent="0.45">
      <c r="J139" s="381">
        <f>Criteria!E49</f>
        <v>0</v>
      </c>
      <c r="R139" s="416" t="str">
        <f>IF(J139=0,"DELETE"," ")</f>
        <v>DELETE</v>
      </c>
    </row>
    <row r="140" spans="4:18" ht="31.5" customHeight="1" x14ac:dyDescent="0.45">
      <c r="J140" s="381">
        <f>Criteria!E50</f>
        <v>0</v>
      </c>
      <c r="R140" s="416" t="str">
        <f>IF(J140=0,"DELETE"," ")</f>
        <v>DELETE</v>
      </c>
    </row>
    <row r="141" spans="4:18" ht="31.5" customHeight="1" x14ac:dyDescent="0.45">
      <c r="J141" s="381"/>
    </row>
    <row r="142" spans="4:18" ht="31.5" customHeight="1" x14ac:dyDescent="0.45">
      <c r="D142" s="368" t="s">
        <v>108</v>
      </c>
      <c r="J142" s="368">
        <f>Criteria!E52</f>
        <v>0</v>
      </c>
      <c r="R142" s="416" t="str">
        <f>IF(J142=0,"DELETE"," ")</f>
        <v>DELETE</v>
      </c>
    </row>
    <row r="143" spans="4:18" ht="31.5" customHeight="1" x14ac:dyDescent="0.45">
      <c r="J143" s="368">
        <f>Criteria!E53</f>
        <v>0</v>
      </c>
      <c r="R143" s="416" t="str">
        <f>IF(J143=0,"DELETE"," ")</f>
        <v>DELETE</v>
      </c>
    </row>
    <row r="144" spans="4:18" ht="31.5" customHeight="1" x14ac:dyDescent="0.45">
      <c r="J144" s="381">
        <f>Criteria!E54</f>
        <v>0</v>
      </c>
      <c r="R144" s="416" t="str">
        <f>IF(J144=0,"DELETE"," ")</f>
        <v>DELETE</v>
      </c>
    </row>
    <row r="145" spans="4:18" ht="31.5" customHeight="1" x14ac:dyDescent="0.45">
      <c r="J145" s="381">
        <f>Criteria!E55</f>
        <v>0</v>
      </c>
      <c r="R145" s="416" t="str">
        <f>IF(J145=0,"DELETE"," ")</f>
        <v>DELETE</v>
      </c>
    </row>
    <row r="146" spans="4:18" ht="31.5" customHeight="1" x14ac:dyDescent="0.45">
      <c r="J146" s="381"/>
    </row>
    <row r="147" spans="4:18" ht="31.5" customHeight="1" x14ac:dyDescent="0.45">
      <c r="D147" s="368" t="s">
        <v>726</v>
      </c>
      <c r="J147" s="368">
        <f>Criteria!E57</f>
        <v>0</v>
      </c>
      <c r="R147" s="416" t="str">
        <f t="shared" ref="R147:R149" si="0">IF(J147=0,"DELETE"," ")</f>
        <v>DELETE</v>
      </c>
    </row>
    <row r="148" spans="4:18" ht="31.5" customHeight="1" x14ac:dyDescent="0.45">
      <c r="J148" s="368">
        <f>Criteria!E58</f>
        <v>0</v>
      </c>
      <c r="R148" s="416" t="str">
        <f t="shared" si="0"/>
        <v>DELETE</v>
      </c>
    </row>
    <row r="149" spans="4:18" ht="31.5" customHeight="1" x14ac:dyDescent="0.45">
      <c r="J149" s="368">
        <f>Criteria!E59</f>
        <v>0</v>
      </c>
      <c r="R149" s="416" t="str">
        <f t="shared" si="0"/>
        <v>DELETE</v>
      </c>
    </row>
    <row r="150" spans="4:18" ht="31.5" customHeight="1" x14ac:dyDescent="0.45"/>
    <row r="151" spans="4:18" ht="31.5" customHeight="1" x14ac:dyDescent="0.45">
      <c r="D151" s="368" t="s">
        <v>748</v>
      </c>
      <c r="J151" s="368" t="str">
        <f>Criteria!E18</f>
        <v>IT83/2021</v>
      </c>
    </row>
    <row r="152" spans="4:18" ht="31.5" customHeight="1" x14ac:dyDescent="0.45"/>
    <row r="153" spans="4:18" ht="31.5" customHeight="1" x14ac:dyDescent="0.45">
      <c r="D153" s="368" t="s">
        <v>1007</v>
      </c>
      <c r="J153" s="382">
        <f>FS!J153</f>
        <v>0</v>
      </c>
    </row>
    <row r="154" spans="4:18" ht="31.5" customHeight="1" x14ac:dyDescent="0.45">
      <c r="J154" s="382">
        <f>FS!J154</f>
        <v>0</v>
      </c>
      <c r="R154" s="416" t="str">
        <f>IF(J154=0,"DELETE"," ")</f>
        <v>DELETE</v>
      </c>
    </row>
    <row r="155" spans="4:18" ht="31.5" customHeight="1" x14ac:dyDescent="0.45">
      <c r="J155" s="382">
        <f>FS!J155</f>
        <v>0</v>
      </c>
      <c r="R155" s="416" t="str">
        <f t="shared" ref="R155:R158" si="1">IF(J155=0,"DELETE"," ")</f>
        <v>DELETE</v>
      </c>
    </row>
    <row r="156" spans="4:18" ht="31.5" customHeight="1" x14ac:dyDescent="0.45">
      <c r="J156" s="382">
        <f>FS!J156</f>
        <v>0</v>
      </c>
      <c r="R156" s="416" t="str">
        <f t="shared" si="1"/>
        <v>DELETE</v>
      </c>
    </row>
    <row r="157" spans="4:18" ht="31.5" customHeight="1" x14ac:dyDescent="0.45">
      <c r="J157" s="382">
        <f>FS!J157</f>
        <v>0</v>
      </c>
      <c r="R157" s="416" t="str">
        <f t="shared" si="1"/>
        <v>DELETE</v>
      </c>
    </row>
    <row r="158" spans="4:18" ht="31.5" customHeight="1" x14ac:dyDescent="0.45">
      <c r="J158" s="382">
        <f>FS!J158</f>
        <v>0</v>
      </c>
      <c r="R158" s="416" t="str">
        <f t="shared" si="1"/>
        <v>DELETE</v>
      </c>
    </row>
    <row r="159" spans="4:18" ht="31.5" customHeight="1" x14ac:dyDescent="0.45"/>
    <row r="160" spans="4:18" ht="31.5" customHeight="1" x14ac:dyDescent="0.45"/>
    <row r="161" spans="4:18" ht="31.5" customHeight="1" x14ac:dyDescent="0.45"/>
    <row r="162" spans="4:18" ht="31.5" customHeight="1" x14ac:dyDescent="0.45"/>
    <row r="163" spans="4:18" ht="31.5" customHeight="1" x14ac:dyDescent="0.45"/>
    <row r="164" spans="4:18" ht="31.5" customHeight="1" x14ac:dyDescent="0.45"/>
    <row r="165" spans="4:18" ht="31.5" customHeight="1" x14ac:dyDescent="0.45"/>
    <row r="166" spans="4:18" ht="31.5" customHeight="1" x14ac:dyDescent="0.45"/>
    <row r="167" spans="4:18" ht="31.5" customHeight="1" x14ac:dyDescent="0.45"/>
    <row r="168" spans="4:18" ht="31.5" customHeight="1" x14ac:dyDescent="0.45"/>
    <row r="169" spans="4:18" ht="31.5" customHeight="1" x14ac:dyDescent="0.45"/>
    <row r="170" spans="4:18" ht="31.5" customHeight="1" x14ac:dyDescent="0.45">
      <c r="D170" s="369" t="str">
        <f>Criteria!E9</f>
        <v>ABC TRUST</v>
      </c>
      <c r="O170" s="433" t="s">
        <v>105</v>
      </c>
      <c r="P170" s="380"/>
      <c r="Q170" s="370">
        <f>MAX($Q$114:Q$169)+1</f>
        <v>2</v>
      </c>
    </row>
    <row r="171" spans="4:18" ht="31.5" customHeight="1" x14ac:dyDescent="0.45">
      <c r="D171" s="369" t="str">
        <f>Criteria!E10</f>
        <v>T/A RENTAL PROPERTIES, SEAFRONT RESTAURANT AND SURF SHOP</v>
      </c>
      <c r="R171" s="416" t="str">
        <f>IF(D171=0,"DELETE"," ")</f>
        <v xml:space="preserve"> </v>
      </c>
    </row>
    <row r="172" spans="4:18" ht="31.5" customHeight="1" x14ac:dyDescent="0.45"/>
    <row r="173" spans="4:18" ht="31.5" customHeight="1" x14ac:dyDescent="0.45">
      <c r="D173" s="369" t="str">
        <f>IF(MAX(Criteria!I38:I42)&gt;1,"TRUSTEES' RESPONSIBILITY STATEMENT AND APPROVAL","TRUSTEE'S RESPONSIBILITY STATEMENT AND APPROVAL")</f>
        <v>TRUSTEES' RESPONSIBILITY STATEMENT AND APPROVAL</v>
      </c>
    </row>
    <row r="174" spans="4:18" ht="31.5" customHeight="1" x14ac:dyDescent="0.45">
      <c r="D174" s="383"/>
      <c r="E174" s="383"/>
      <c r="F174" s="383"/>
      <c r="G174" s="383"/>
      <c r="H174" s="383"/>
      <c r="I174" s="383"/>
      <c r="J174" s="383"/>
      <c r="K174" s="383"/>
      <c r="L174" s="383"/>
      <c r="M174" s="472"/>
      <c r="N174" s="473"/>
      <c r="O174" s="474"/>
      <c r="P174" s="475"/>
      <c r="Q174" s="383"/>
    </row>
    <row r="175" spans="4:18" ht="31.5" customHeight="1" x14ac:dyDescent="0.45"/>
    <row r="176" spans="4:18" ht="31.5" customHeight="1" x14ac:dyDescent="0.45"/>
    <row r="177" spans="4:4" ht="31.5" customHeight="1" x14ac:dyDescent="0.45">
      <c r="D177" s="369" t="str">
        <f>IF(MAX(Criteria!I38:I42)&gt;1,"TRUSTEES' RESPONSIBILITY STATEMENT","TRUSTEE'S RESPONSIBILITY STATEMENT")</f>
        <v>TRUSTEES' RESPONSIBILITY STATEMENT</v>
      </c>
    </row>
    <row r="178" spans="4:4" ht="31.5" customHeight="1" x14ac:dyDescent="0.45"/>
    <row r="179" spans="4:4" ht="31.5" customHeight="1" x14ac:dyDescent="0.45">
      <c r="D179" s="368" t="str">
        <f>CONCATENATE("The ",IF(MAX(Criteria!I38:I42)&gt;1,"trustees are ","trustee is "),"responsible for the preparation and fair presentation of the annual Financial")</f>
        <v>The trustees are responsible for the preparation and fair presentation of the annual Financial</v>
      </c>
    </row>
    <row r="180" spans="4:4" ht="31.5" customHeight="1" x14ac:dyDescent="0.45">
      <c r="D180" s="368" t="str">
        <f>CONCATENATE("Statements of ",Criteria!E11,", comprising the statement of")</f>
        <v>Statements of ABC Trust, comprising the statement of</v>
      </c>
    </row>
    <row r="181" spans="4:4" ht="31.5" customHeight="1" x14ac:dyDescent="0.45">
      <c r="D181" s="368" t="str">
        <f>CONCATENATE("financial position as at ",Criteria!G24,", statement of comprehensive income for the year then")</f>
        <v>financial position as at 29 February 2024, statement of comprehensive income for the year then</v>
      </c>
    </row>
    <row r="182" spans="4:4" ht="31.5" customHeight="1" x14ac:dyDescent="0.45">
      <c r="D182" s="368" t="s">
        <v>1024</v>
      </c>
    </row>
    <row r="183" spans="4:4" ht="31.5" customHeight="1" x14ac:dyDescent="0.45"/>
    <row r="184" spans="4:4" ht="31.5" customHeight="1" x14ac:dyDescent="0.45">
      <c r="D184" s="368" t="str">
        <f>CONCATENATE("The ",IF(MAX(Criteria!I38:I42)&gt;1,"trustees are ","trustee is "),"also responsible for such internal control as ",IF(MAX(Criteria!I38:I42)&gt;1,"they determine is ","is determined "),"necessary to")</f>
        <v>The trustees are also responsible for such internal control as they determine is necessary to</v>
      </c>
    </row>
    <row r="185" spans="4:4" ht="31.5" customHeight="1" x14ac:dyDescent="0.45">
      <c r="D185" s="368" t="s">
        <v>1025</v>
      </c>
    </row>
    <row r="186" spans="4:4" ht="31.5" customHeight="1" x14ac:dyDescent="0.45">
      <c r="D186" s="368" t="s">
        <v>1027</v>
      </c>
    </row>
    <row r="187" spans="4:4" ht="31.5" customHeight="1" x14ac:dyDescent="0.45">
      <c r="D187" s="368" t="s">
        <v>1026</v>
      </c>
    </row>
    <row r="188" spans="4:4" ht="31.5" customHeight="1" x14ac:dyDescent="0.45"/>
    <row r="189" spans="4:4" ht="31.5" customHeight="1" x14ac:dyDescent="0.45">
      <c r="D189" s="369" t="s">
        <v>705</v>
      </c>
    </row>
    <row r="190" spans="4:4" ht="31.5" customHeight="1" x14ac:dyDescent="0.45"/>
    <row r="191" spans="4:4" ht="31.5" customHeight="1" x14ac:dyDescent="0.45">
      <c r="D191" s="368" t="str">
        <f>CONCATENATE("The annual Financial Statements of ",Criteria!E11,", as identified")</f>
        <v>The annual Financial Statements of ABC Trust, as identified</v>
      </c>
    </row>
    <row r="192" spans="4:4" ht="31.5" customHeight="1" x14ac:dyDescent="0.45">
      <c r="D192" s="368" t="str">
        <f>CONCATENATE("in the first paragraph, ",IF(MAX(Criteria!I38:I42)&gt;1,"were approved by the Trustees and signed on their behalf by:","was approved by the Trustee and signed accordingly:"))</f>
        <v>in the first paragraph, were approved by the Trustees and signed on their behalf by:</v>
      </c>
    </row>
    <row r="193" spans="4:13" ht="31.5" customHeight="1" x14ac:dyDescent="0.45"/>
    <row r="194" spans="4:13" ht="31.5" customHeight="1" x14ac:dyDescent="0.45"/>
    <row r="195" spans="4:13" ht="31.5" customHeight="1" x14ac:dyDescent="0.45"/>
    <row r="196" spans="4:13" ht="31.5" customHeight="1" x14ac:dyDescent="0.45"/>
    <row r="197" spans="4:13" ht="31.5" customHeight="1" x14ac:dyDescent="0.45"/>
    <row r="198" spans="4:13" ht="31.5" customHeight="1" x14ac:dyDescent="0.45"/>
    <row r="199" spans="4:13" ht="31.5" customHeight="1" x14ac:dyDescent="0.45"/>
    <row r="200" spans="4:13" ht="31.5" customHeight="1" x14ac:dyDescent="0.45"/>
    <row r="201" spans="4:13" ht="31.5" customHeight="1" x14ac:dyDescent="0.45"/>
    <row r="202" spans="4:13" ht="31.5" customHeight="1" x14ac:dyDescent="0.45">
      <c r="D202" s="368" t="s">
        <v>156</v>
      </c>
      <c r="M202" s="467" t="str">
        <f>IF(Criteria!F39="Signature",D202," ")</f>
        <v>. . . . . . . . . . . . . . . . . . . . . . .</v>
      </c>
    </row>
    <row r="203" spans="4:13" ht="31.5" customHeight="1" x14ac:dyDescent="0.45">
      <c r="D203" s="368" t="str">
        <f>Criteria!E38</f>
        <v>A Trustee</v>
      </c>
      <c r="M203" s="467" t="str">
        <f>IF(Criteria!F39="Signature",Criteria!E39," ")</f>
        <v>C Trustee</v>
      </c>
    </row>
    <row r="204" spans="4:13" ht="31.5" customHeight="1" x14ac:dyDescent="0.45"/>
    <row r="205" spans="4:13" ht="31.5" customHeight="1" x14ac:dyDescent="0.45"/>
    <row r="206" spans="4:13" ht="31.5" customHeight="1" x14ac:dyDescent="0.45">
      <c r="D206" s="368" t="str">
        <f>Criteria!F29</f>
        <v>Johannesburg</v>
      </c>
      <c r="H206" s="368" t="s">
        <v>110</v>
      </c>
      <c r="J206" s="498"/>
      <c r="K206" s="498"/>
    </row>
    <row r="207" spans="4:13" ht="14.25" customHeight="1" x14ac:dyDescent="0.45">
      <c r="J207" s="368" t="s">
        <v>808</v>
      </c>
    </row>
    <row r="208" spans="4:13" ht="31.5" customHeight="1" x14ac:dyDescent="0.45"/>
    <row r="209" ht="31.5" customHeight="1" x14ac:dyDescent="0.45"/>
    <row r="210" ht="31.5" customHeight="1" x14ac:dyDescent="0.45"/>
    <row r="211" ht="31.5" customHeight="1" x14ac:dyDescent="0.45"/>
    <row r="212" ht="31.5" customHeight="1" x14ac:dyDescent="0.45"/>
    <row r="213" ht="31.5" customHeight="1" x14ac:dyDescent="0.45"/>
    <row r="214" ht="31.5" customHeight="1" x14ac:dyDescent="0.45"/>
    <row r="215" ht="31.5" customHeight="1" x14ac:dyDescent="0.45"/>
    <row r="216" ht="31.5" customHeight="1" x14ac:dyDescent="0.45"/>
    <row r="217" ht="31.5" customHeight="1" x14ac:dyDescent="0.45"/>
    <row r="218" ht="31.5" customHeight="1" x14ac:dyDescent="0.45"/>
    <row r="219" ht="31.5" customHeight="1" x14ac:dyDescent="0.45"/>
    <row r="220" ht="31.5" customHeight="1" x14ac:dyDescent="0.45"/>
    <row r="221" ht="31.5" customHeight="1" x14ac:dyDescent="0.45"/>
    <row r="222" ht="31.5" customHeight="1" x14ac:dyDescent="0.45"/>
    <row r="223" ht="31.5" customHeight="1" x14ac:dyDescent="0.45"/>
    <row r="224" ht="31.5" customHeight="1" x14ac:dyDescent="0.45"/>
    <row r="225" spans="4:17" ht="31.5" customHeight="1" x14ac:dyDescent="0.45">
      <c r="O225" s="433"/>
      <c r="P225" s="380"/>
      <c r="Q225" s="370"/>
    </row>
    <row r="226" spans="4:17" ht="31.5" customHeight="1" x14ac:dyDescent="0.45">
      <c r="K226" s="372"/>
      <c r="L226" s="372"/>
      <c r="M226" s="37"/>
      <c r="N226" s="372"/>
      <c r="O226" s="433" t="s">
        <v>105</v>
      </c>
      <c r="Q226" s="370">
        <f>MAX($Q$114:Q225)+1</f>
        <v>3</v>
      </c>
    </row>
    <row r="227" spans="4:17" ht="31.5" customHeight="1" x14ac:dyDescent="0.45">
      <c r="M227" s="431"/>
      <c r="O227" s="431"/>
    </row>
    <row r="228" spans="4:17" ht="31.5" customHeight="1" x14ac:dyDescent="0.45">
      <c r="L228" s="372"/>
      <c r="M228" s="37"/>
      <c r="O228" s="476"/>
    </row>
    <row r="229" spans="4:17" ht="31.5" customHeight="1" x14ac:dyDescent="0.45">
      <c r="L229" s="372"/>
      <c r="M229" s="37"/>
      <c r="O229" s="476"/>
    </row>
    <row r="230" spans="4:17" ht="31.5" customHeight="1" x14ac:dyDescent="0.45">
      <c r="L230" s="372"/>
      <c r="M230" s="431"/>
      <c r="O230" s="431"/>
    </row>
    <row r="231" spans="4:17" ht="31.5" customHeight="1" x14ac:dyDescent="0.45">
      <c r="L231" s="372"/>
      <c r="M231" s="432"/>
    </row>
    <row r="232" spans="4:17" ht="31.5" customHeight="1" x14ac:dyDescent="0.45">
      <c r="L232" s="372"/>
    </row>
    <row r="233" spans="4:17" ht="31.5" customHeight="1" x14ac:dyDescent="0.45">
      <c r="M233" s="477"/>
      <c r="N233" s="478"/>
      <c r="O233" s="477"/>
      <c r="P233" s="478"/>
    </row>
    <row r="234" spans="4:17" ht="31.5" customHeight="1" x14ac:dyDescent="0.45"/>
    <row r="235" spans="4:17" ht="31.5" customHeight="1" x14ac:dyDescent="0.45"/>
    <row r="236" spans="4:17" ht="31.5" customHeight="1" x14ac:dyDescent="0.45">
      <c r="D236" s="369" t="str">
        <f>IF(MAX(Criteria!I38:I42)&gt;1,"ACCOUNTANT'S COMPILATION REPORT TO THE TRUSTEES OF","ACCOUNTANT'S COMPILATION REPORT TO THE TRUSTEE OF")</f>
        <v>ACCOUNTANT'S COMPILATION REPORT TO THE TRUSTEES OF</v>
      </c>
    </row>
    <row r="237" spans="4:17" ht="31.5" customHeight="1" x14ac:dyDescent="0.45">
      <c r="D237" s="369" t="str">
        <f>Criteria!E9</f>
        <v>ABC TRUST</v>
      </c>
    </row>
    <row r="238" spans="4:17" ht="31.5" customHeight="1" x14ac:dyDescent="0.45"/>
    <row r="239" spans="4:17" ht="31.5" customHeight="1" x14ac:dyDescent="0.45">
      <c r="D239" s="368" t="str">
        <f>CONCATENATE("We have compiled the accompanying Financial Statements of ",Criteria!E11,",")</f>
        <v>We have compiled the accompanying Financial Statements of ABC Trust,</v>
      </c>
    </row>
    <row r="240" spans="4:17" ht="31.5" customHeight="1" x14ac:dyDescent="0.45">
      <c r="D240" s="368" t="str">
        <f>CONCATENATE("as set out on pages ",Q282," to ",MAX(Q282:Q1490),", based on information you have provided. These Financial Statements")</f>
        <v>as set out on pages 4 to 33, based on information you have provided. These Financial Statements</v>
      </c>
    </row>
    <row r="241" spans="4:4" ht="31.5" customHeight="1" x14ac:dyDescent="0.45">
      <c r="D241" s="368" t="str">
        <f>CONCATENATE("comprise the statement of financial position of ",Criteria!E11," as at")</f>
        <v>comprise the statement of financial position of ABC Trust as at</v>
      </c>
    </row>
    <row r="242" spans="4:4" ht="31.5" customHeight="1" x14ac:dyDescent="0.45">
      <c r="D242" s="368" t="str">
        <f>CONCATENATE(Criteria!G24,", the statement of comprehensive income for the year then ended and notes")</f>
        <v>29 February 2024, the statement of comprehensive income for the year then ended and notes</v>
      </c>
    </row>
    <row r="243" spans="4:4" ht="31.5" customHeight="1" x14ac:dyDescent="0.45">
      <c r="D243" s="368" t="s">
        <v>1177</v>
      </c>
    </row>
    <row r="244" spans="4:4" ht="31.5" customHeight="1" x14ac:dyDescent="0.45"/>
    <row r="245" spans="4:4" ht="31.5" customHeight="1" x14ac:dyDescent="0.45">
      <c r="D245" s="368" t="s">
        <v>1029</v>
      </c>
    </row>
    <row r="246" spans="4:4" ht="31.5" customHeight="1" x14ac:dyDescent="0.45">
      <c r="D246" s="368" t="s">
        <v>1028</v>
      </c>
    </row>
    <row r="247" spans="4:4" ht="31.5" customHeight="1" x14ac:dyDescent="0.45"/>
    <row r="248" spans="4:4" ht="31.5" customHeight="1" x14ac:dyDescent="0.45">
      <c r="D248" s="368" t="s">
        <v>1030</v>
      </c>
    </row>
    <row r="249" spans="4:4" ht="31.5" customHeight="1" x14ac:dyDescent="0.45">
      <c r="D249" s="368" t="s">
        <v>1031</v>
      </c>
    </row>
    <row r="250" spans="4:4" ht="31.5" customHeight="1" x14ac:dyDescent="0.45">
      <c r="D250" s="368" t="s">
        <v>1033</v>
      </c>
    </row>
    <row r="251" spans="4:4" ht="31.5" customHeight="1" x14ac:dyDescent="0.45">
      <c r="D251" s="368" t="s">
        <v>1032</v>
      </c>
    </row>
    <row r="252" spans="4:4" ht="31.5" customHeight="1" x14ac:dyDescent="0.45"/>
    <row r="253" spans="4:4" ht="31.5" customHeight="1" x14ac:dyDescent="0.45">
      <c r="D253" s="368" t="s">
        <v>1035</v>
      </c>
    </row>
    <row r="254" spans="4:4" ht="31.5" customHeight="1" x14ac:dyDescent="0.45">
      <c r="D254" s="368" t="s">
        <v>1034</v>
      </c>
    </row>
    <row r="255" spans="4:4" ht="31.5" customHeight="1" x14ac:dyDescent="0.45"/>
    <row r="256" spans="4:4" ht="31.5" customHeight="1" x14ac:dyDescent="0.45">
      <c r="D256" s="368" t="s">
        <v>1036</v>
      </c>
    </row>
    <row r="257" spans="4:8" ht="31.5" customHeight="1" x14ac:dyDescent="0.45">
      <c r="D257" s="368" t="s">
        <v>1037</v>
      </c>
    </row>
    <row r="258" spans="4:8" ht="31.5" customHeight="1" x14ac:dyDescent="0.45">
      <c r="D258" s="368" t="s">
        <v>1042</v>
      </c>
    </row>
    <row r="259" spans="4:8" ht="31.5" customHeight="1" x14ac:dyDescent="0.45"/>
    <row r="260" spans="4:8" ht="31.5" customHeight="1" x14ac:dyDescent="0.45"/>
    <row r="261" spans="4:8" ht="31.5" customHeight="1" x14ac:dyDescent="0.45"/>
    <row r="262" spans="4:8" ht="31.5" customHeight="1" x14ac:dyDescent="0.45">
      <c r="D262" s="368" t="s">
        <v>134</v>
      </c>
    </row>
    <row r="263" spans="4:8" ht="31.5" customHeight="1" x14ac:dyDescent="0.45">
      <c r="D263" s="498" t="s">
        <v>1007</v>
      </c>
      <c r="E263" s="498"/>
      <c r="F263" s="498"/>
      <c r="G263" s="498"/>
      <c r="H263" s="498"/>
    </row>
    <row r="264" spans="4:8" ht="31.5" customHeight="1" x14ac:dyDescent="0.45"/>
    <row r="265" spans="4:8" ht="31.5" customHeight="1" x14ac:dyDescent="0.45"/>
    <row r="266" spans="4:8" ht="31.5" customHeight="1" x14ac:dyDescent="0.45"/>
    <row r="267" spans="4:8" ht="31.5" customHeight="1" x14ac:dyDescent="0.45">
      <c r="D267" s="368" t="s">
        <v>110</v>
      </c>
      <c r="E267" s="498"/>
      <c r="F267" s="498"/>
      <c r="G267" s="498"/>
      <c r="H267" s="498"/>
    </row>
    <row r="268" spans="4:8" ht="14.25" customHeight="1" x14ac:dyDescent="0.45">
      <c r="E268" s="368" t="s">
        <v>135</v>
      </c>
    </row>
    <row r="269" spans="4:8" ht="31.5" customHeight="1" x14ac:dyDescent="0.45"/>
    <row r="270" spans="4:8" ht="31.5" customHeight="1" x14ac:dyDescent="0.45">
      <c r="D270" s="368" t="str">
        <f>Criteria!F29</f>
        <v>Johannesburg</v>
      </c>
    </row>
    <row r="271" spans="4:8" ht="31.5" customHeight="1" x14ac:dyDescent="0.45"/>
    <row r="272" spans="4:8" ht="31.5" customHeight="1" x14ac:dyDescent="0.45"/>
    <row r="273" spans="2:18" ht="31.5" customHeight="1" x14ac:dyDescent="0.45"/>
    <row r="274" spans="2:18" ht="31.5" customHeight="1" x14ac:dyDescent="0.45">
      <c r="H274" s="469"/>
      <c r="J274" s="469"/>
      <c r="K274" s="469"/>
      <c r="M274" s="479"/>
      <c r="O274" s="479"/>
    </row>
    <row r="275" spans="2:18" ht="31.5" customHeight="1" x14ac:dyDescent="0.45"/>
    <row r="276" spans="2:18" ht="31.5" customHeight="1" x14ac:dyDescent="0.45">
      <c r="M276" s="477"/>
      <c r="N276" s="478"/>
      <c r="O276" s="477"/>
      <c r="P276" s="478"/>
    </row>
    <row r="277" spans="2:18" ht="31.5" customHeight="1" x14ac:dyDescent="0.45">
      <c r="M277" s="477"/>
      <c r="N277" s="478"/>
      <c r="O277" s="477"/>
      <c r="P277" s="478"/>
    </row>
    <row r="278" spans="2:18" ht="31.5" customHeight="1" x14ac:dyDescent="0.45">
      <c r="M278" s="477"/>
      <c r="N278" s="478"/>
      <c r="O278" s="477"/>
      <c r="P278" s="478"/>
    </row>
    <row r="279" spans="2:18" ht="31.5" customHeight="1" x14ac:dyDescent="0.45">
      <c r="M279" s="431"/>
      <c r="N279" s="368"/>
      <c r="O279" s="431"/>
      <c r="P279" s="368"/>
    </row>
    <row r="280" spans="2:18" ht="31.5" customHeight="1" x14ac:dyDescent="0.45"/>
    <row r="281" spans="2:18" ht="31.5" customHeight="1" x14ac:dyDescent="0.45"/>
    <row r="282" spans="2:18" ht="31.5" customHeight="1" x14ac:dyDescent="0.45">
      <c r="D282" s="369" t="str">
        <f>Criteria!E9</f>
        <v>ABC TRUST</v>
      </c>
      <c r="O282" s="433" t="s">
        <v>105</v>
      </c>
      <c r="Q282" s="370">
        <f>MAX($Q$114:Q281)+1</f>
        <v>4</v>
      </c>
    </row>
    <row r="283" spans="2:18" ht="31.5" customHeight="1" x14ac:dyDescent="0.45">
      <c r="D283" s="369" t="str">
        <f>Criteria!E10</f>
        <v>T/A RENTAL PROPERTIES, SEAFRONT RESTAURANT AND SURF SHOP</v>
      </c>
      <c r="R283" s="416" t="str">
        <f>IF(D283=0,"DELETE"," ")</f>
        <v xml:space="preserve"> </v>
      </c>
    </row>
    <row r="284" spans="2:18" ht="31.5" customHeight="1" x14ac:dyDescent="0.45"/>
    <row r="285" spans="2:18" ht="31.5" customHeight="1" x14ac:dyDescent="0.45">
      <c r="D285" s="369" t="s">
        <v>647</v>
      </c>
    </row>
    <row r="286" spans="2:18" ht="31.5" customHeight="1" x14ac:dyDescent="0.45">
      <c r="D286" s="369" t="str">
        <f>Criteria!E20</f>
        <v>29 FEBRUARY 2024</v>
      </c>
    </row>
    <row r="287" spans="2:18" ht="31.5" customHeight="1" x14ac:dyDescent="0.45">
      <c r="K287" s="383"/>
      <c r="L287" s="383"/>
      <c r="M287" s="474"/>
      <c r="N287" s="475"/>
      <c r="O287" s="474"/>
    </row>
    <row r="288" spans="2:18" ht="31.5" customHeight="1" x14ac:dyDescent="0.45">
      <c r="B288" s="385"/>
      <c r="C288" s="386"/>
      <c r="D288" s="386"/>
      <c r="E288" s="386"/>
      <c r="F288" s="386"/>
      <c r="G288" s="386"/>
      <c r="H288" s="386"/>
      <c r="I288" s="386"/>
      <c r="J288" s="386"/>
      <c r="K288" s="370"/>
      <c r="L288" s="370"/>
      <c r="M288" s="430"/>
      <c r="N288" s="379"/>
      <c r="O288" s="430"/>
      <c r="P288" s="399"/>
      <c r="Q288" s="387"/>
    </row>
    <row r="289" spans="2:21" ht="31.5" customHeight="1" x14ac:dyDescent="0.45">
      <c r="B289" s="388"/>
      <c r="K289" s="370" t="s">
        <v>113</v>
      </c>
      <c r="L289" s="370"/>
      <c r="M289" s="37"/>
      <c r="N289" s="379"/>
      <c r="O289" s="430">
        <f>Criteria!E22</f>
        <v>2024</v>
      </c>
      <c r="P289" s="379"/>
      <c r="Q289" s="389"/>
    </row>
    <row r="290" spans="2:21" ht="31.5" customHeight="1" x14ac:dyDescent="0.45">
      <c r="B290" s="388"/>
      <c r="K290" s="370"/>
      <c r="L290" s="370"/>
      <c r="M290" s="433"/>
      <c r="N290" s="380"/>
      <c r="O290" s="433"/>
      <c r="P290" s="380"/>
      <c r="Q290" s="389"/>
    </row>
    <row r="291" spans="2:21" ht="31.5" customHeight="1" x14ac:dyDescent="0.45">
      <c r="B291" s="388"/>
      <c r="D291" s="368" t="s">
        <v>995</v>
      </c>
      <c r="K291" s="370"/>
      <c r="L291" s="372"/>
      <c r="M291" s="37"/>
      <c r="N291" s="370"/>
      <c r="O291" s="441">
        <f>SUM(O292:O297)</f>
        <v>0</v>
      </c>
      <c r="P291" s="401"/>
      <c r="Q291" s="389"/>
      <c r="S291" s="421">
        <f>O291</f>
        <v>0</v>
      </c>
      <c r="T291" s="421"/>
    </row>
    <row r="292" spans="2:21" ht="9" customHeight="1" x14ac:dyDescent="0.45">
      <c r="B292" s="388"/>
      <c r="K292" s="370"/>
      <c r="L292" s="372"/>
      <c r="M292" s="37"/>
      <c r="N292" s="370"/>
      <c r="O292" s="441"/>
      <c r="P292" s="401"/>
      <c r="Q292" s="389"/>
    </row>
    <row r="293" spans="2:21" ht="9" customHeight="1" x14ac:dyDescent="0.45">
      <c r="B293" s="388"/>
      <c r="K293" s="370"/>
      <c r="L293" s="372"/>
      <c r="M293" s="37"/>
      <c r="N293" s="370"/>
      <c r="O293" s="455"/>
      <c r="P293" s="401"/>
      <c r="Q293" s="389"/>
      <c r="R293" s="416" t="str">
        <f>IF(SUM(O294:O296)=0,"DELETE"," ")</f>
        <v>DELETE</v>
      </c>
    </row>
    <row r="294" spans="2:21" ht="31.5" customHeight="1" x14ac:dyDescent="0.45">
      <c r="B294" s="388"/>
      <c r="D294" s="368" t="s">
        <v>658</v>
      </c>
      <c r="K294" s="370">
        <f>B439</f>
        <v>1</v>
      </c>
      <c r="L294" s="372"/>
      <c r="M294" s="37"/>
      <c r="N294" s="370"/>
      <c r="O294" s="456">
        <f>-SUM(TrialBalance!L144:L151)-SUM(TrialBalanceA!I144:I151)-SUM(TrialBalanceB!I144:I151)-SUM(TrialBalanceC!I144:I151)</f>
        <v>0</v>
      </c>
      <c r="P294" s="401"/>
      <c r="Q294" s="389"/>
      <c r="R294" s="416" t="str">
        <f t="shared" ref="R294:R296" si="2">IF(O294=0,"DELETE"," ")</f>
        <v>DELETE</v>
      </c>
      <c r="S294" s="421"/>
      <c r="T294" s="421"/>
      <c r="U294" s="417" t="b">
        <f>O294=O474</f>
        <v>1</v>
      </c>
    </row>
    <row r="295" spans="2:21" ht="31.5" customHeight="1" x14ac:dyDescent="0.45">
      <c r="B295" s="388"/>
      <c r="D295" s="368" t="s">
        <v>503</v>
      </c>
      <c r="K295" s="370">
        <f>B478</f>
        <v>2</v>
      </c>
      <c r="L295" s="372"/>
      <c r="M295" s="37"/>
      <c r="N295" s="370"/>
      <c r="O295" s="456">
        <f>-SUM(TrialBalance!L153:L154)-SUM(TrialBalanceA!I153:I154)-SUM(TrialBalanceB!I153:I154)-SUM(TrialBalanceC!I153:I154)</f>
        <v>0</v>
      </c>
      <c r="P295" s="401"/>
      <c r="Q295" s="389"/>
      <c r="R295" s="416" t="str">
        <f t="shared" si="2"/>
        <v>DELETE</v>
      </c>
      <c r="U295" s="417" t="b">
        <f>O295=O483</f>
        <v>1</v>
      </c>
    </row>
    <row r="296" spans="2:21" ht="31.5" customHeight="1" x14ac:dyDescent="0.45">
      <c r="B296" s="388"/>
      <c r="D296" s="368" t="s">
        <v>210</v>
      </c>
      <c r="K296" s="370">
        <f>B500</f>
        <v>3</v>
      </c>
      <c r="L296" s="372"/>
      <c r="M296" s="37"/>
      <c r="N296" s="370"/>
      <c r="O296" s="458">
        <f>-SUM(TrialBalance!L156:L165)-SUM(TrialBalanceA!I156:I165)-SUM(TrialBalanceB!I156:I165)-SUM(TrialBalanceC!I156:I165)</f>
        <v>0</v>
      </c>
      <c r="P296" s="401"/>
      <c r="Q296" s="389"/>
      <c r="R296" s="416" t="str">
        <f t="shared" si="2"/>
        <v>DELETE</v>
      </c>
      <c r="S296" s="421"/>
      <c r="T296" s="421"/>
      <c r="U296" s="417" t="b">
        <f>O296=O543</f>
        <v>1</v>
      </c>
    </row>
    <row r="297" spans="2:21" ht="9" customHeight="1" x14ac:dyDescent="0.45">
      <c r="B297" s="388"/>
      <c r="K297" s="370"/>
      <c r="L297" s="372"/>
      <c r="M297" s="37"/>
      <c r="N297" s="370"/>
      <c r="O297" s="457"/>
      <c r="P297" s="401"/>
      <c r="Q297" s="389"/>
      <c r="R297" s="416" t="str">
        <f>IF(SUM(O294:O296)=0,"DELETE"," ")</f>
        <v>DELETE</v>
      </c>
    </row>
    <row r="298" spans="2:21" ht="9" customHeight="1" x14ac:dyDescent="0.45">
      <c r="B298" s="388"/>
      <c r="K298" s="370"/>
      <c r="L298" s="372"/>
      <c r="M298" s="37"/>
      <c r="N298" s="370"/>
      <c r="O298" s="441"/>
      <c r="P298" s="401"/>
      <c r="Q298" s="389"/>
      <c r="R298" s="416" t="str">
        <f>IF(SUM(O294:O296)=0,"DELETE"," ")</f>
        <v>DELETE</v>
      </c>
    </row>
    <row r="299" spans="2:21" ht="31.5" customHeight="1" x14ac:dyDescent="0.45">
      <c r="B299" s="388"/>
      <c r="K299" s="370"/>
      <c r="L299" s="372"/>
      <c r="M299" s="37"/>
      <c r="N299" s="370"/>
      <c r="O299" s="434"/>
      <c r="P299" s="380"/>
      <c r="Q299" s="389"/>
      <c r="S299" s="421"/>
      <c r="T299" s="421"/>
    </row>
    <row r="300" spans="2:21" ht="31.5" customHeight="1" x14ac:dyDescent="0.45">
      <c r="B300" s="388"/>
      <c r="D300" s="368" t="s">
        <v>996</v>
      </c>
      <c r="K300" s="370">
        <f>B560</f>
        <v>4</v>
      </c>
      <c r="L300" s="372"/>
      <c r="M300" s="37"/>
      <c r="N300" s="370"/>
      <c r="O300" s="441">
        <f>SUM(TrialBalance!L167:L171)+SUM(TrialBalanceA!I167:I171)+SUM(TrialBalanceB!I167:I171)+SUM(TrialBalanceC!I167:I171)</f>
        <v>0</v>
      </c>
      <c r="P300" s="380"/>
      <c r="Q300" s="389"/>
      <c r="R300" s="416" t="str">
        <f t="shared" ref="R300" si="3">IF(O300=0,"DELETE"," ")</f>
        <v>DELETE</v>
      </c>
      <c r="S300" s="421">
        <f>-O300</f>
        <v>0</v>
      </c>
      <c r="T300" s="421"/>
      <c r="U300" s="417" t="b">
        <f>O300=O583</f>
        <v>1</v>
      </c>
    </row>
    <row r="301" spans="2:21" ht="9" customHeight="1" x14ac:dyDescent="0.45">
      <c r="B301" s="388"/>
      <c r="K301" s="370"/>
      <c r="L301" s="372"/>
      <c r="M301" s="37"/>
      <c r="N301" s="370"/>
      <c r="O301" s="438"/>
      <c r="P301" s="380"/>
      <c r="Q301" s="389"/>
      <c r="R301" s="416" t="str">
        <f>R300</f>
        <v>DELETE</v>
      </c>
    </row>
    <row r="302" spans="2:21" ht="9" customHeight="1" x14ac:dyDescent="0.45">
      <c r="B302" s="388"/>
      <c r="K302" s="370"/>
      <c r="L302" s="372"/>
      <c r="M302" s="37"/>
      <c r="N302" s="370"/>
      <c r="O302" s="434"/>
      <c r="P302" s="380"/>
      <c r="Q302" s="389"/>
      <c r="R302" s="416" t="str">
        <f>R300</f>
        <v>DELETE</v>
      </c>
    </row>
    <row r="303" spans="2:21" ht="31.5" customHeight="1" x14ac:dyDescent="0.45">
      <c r="B303" s="388"/>
      <c r="K303" s="370"/>
      <c r="L303" s="372"/>
      <c r="M303" s="37"/>
      <c r="N303" s="370"/>
      <c r="O303" s="434">
        <f>SUM(S291:S300)</f>
        <v>0</v>
      </c>
      <c r="P303" s="380"/>
      <c r="Q303" s="389"/>
      <c r="R303" s="416" t="str">
        <f>R300</f>
        <v>DELETE</v>
      </c>
    </row>
    <row r="304" spans="2:21" ht="31.5" customHeight="1" x14ac:dyDescent="0.45">
      <c r="B304" s="388"/>
      <c r="K304" s="370"/>
      <c r="L304" s="372"/>
      <c r="M304" s="37"/>
      <c r="N304" s="370"/>
      <c r="O304" s="434"/>
      <c r="P304" s="380"/>
      <c r="Q304" s="389"/>
      <c r="R304" s="416" t="str">
        <f>R303</f>
        <v>DELETE</v>
      </c>
    </row>
    <row r="305" spans="2:23" ht="31.5" customHeight="1" x14ac:dyDescent="0.45">
      <c r="B305" s="388"/>
      <c r="D305" s="384" t="str">
        <f>IF((W305=2),CONCATENATE("Net profit - ",Criteria!H13),CONCATENATE("Net loss - ",Criteria!H13))</f>
        <v>Net profit - Rental Properties</v>
      </c>
      <c r="K305" s="370"/>
      <c r="L305" s="372"/>
      <c r="M305" s="37"/>
      <c r="N305" s="370"/>
      <c r="O305" s="434">
        <f>-SUM(TrialBalance!L6:L30)-SUM(TrialBalance!L36:L141)</f>
        <v>0</v>
      </c>
      <c r="P305" s="380"/>
      <c r="Q305" s="389"/>
      <c r="R305" s="416" t="str">
        <f t="shared" ref="R305" si="4">IF(O305=0,"DELETE"," ")</f>
        <v>DELETE</v>
      </c>
      <c r="S305" s="421">
        <f>O305</f>
        <v>0</v>
      </c>
      <c r="U305" s="417" t="b">
        <f>O305=O1642</f>
        <v>1</v>
      </c>
      <c r="W305" s="417">
        <f>IF(O305&lt;0,1,2)</f>
        <v>2</v>
      </c>
    </row>
    <row r="306" spans="2:23" ht="31.5" customHeight="1" x14ac:dyDescent="0.45">
      <c r="B306" s="388"/>
      <c r="D306" s="384"/>
      <c r="K306" s="370"/>
      <c r="L306" s="372"/>
      <c r="M306" s="37"/>
      <c r="N306" s="370"/>
      <c r="O306" s="434"/>
      <c r="P306" s="380"/>
      <c r="Q306" s="389"/>
      <c r="R306" s="416" t="str">
        <f>R305</f>
        <v>DELETE</v>
      </c>
    </row>
    <row r="307" spans="2:23" ht="31.5" customHeight="1" x14ac:dyDescent="0.45">
      <c r="B307" s="388"/>
      <c r="D307" s="384" t="str">
        <f>IF((W307=2),CONCATENATE("Net profit - ",Criteria!H14),CONCATENATE("Net loss - ",Criteria!H14))</f>
        <v>Net profit - Seafront Restaurant</v>
      </c>
      <c r="K307" s="370"/>
      <c r="L307" s="372"/>
      <c r="M307" s="37"/>
      <c r="N307" s="370"/>
      <c r="O307" s="434">
        <f>-SUM(TrialBalanceA!I6:I141)</f>
        <v>0</v>
      </c>
      <c r="P307" s="380"/>
      <c r="Q307" s="389"/>
      <c r="R307" s="416" t="str">
        <f>IF(O307=0,"DELETE"," ")</f>
        <v>DELETE</v>
      </c>
      <c r="S307" s="421">
        <f>O307</f>
        <v>0</v>
      </c>
      <c r="U307" s="417" t="b">
        <f>O307=O1942</f>
        <v>1</v>
      </c>
      <c r="W307" s="417">
        <f>IF(O307&lt;0,1,2)</f>
        <v>2</v>
      </c>
    </row>
    <row r="308" spans="2:23" ht="31.5" customHeight="1" x14ac:dyDescent="0.45">
      <c r="B308" s="388"/>
      <c r="D308" s="384"/>
      <c r="K308" s="370"/>
      <c r="L308" s="372"/>
      <c r="M308" s="37"/>
      <c r="N308" s="370"/>
      <c r="O308" s="434"/>
      <c r="P308" s="380"/>
      <c r="Q308" s="389"/>
      <c r="R308" s="416" t="str">
        <f>R307</f>
        <v>DELETE</v>
      </c>
    </row>
    <row r="309" spans="2:23" ht="31.5" customHeight="1" x14ac:dyDescent="0.45">
      <c r="B309" s="388"/>
      <c r="D309" s="384" t="str">
        <f>IF((W309=2),CONCATENATE("Net profit - ",Criteria!H15),CONCATENATE("Net loss - ",Criteria!H15))</f>
        <v>Net profit - Surf Shop</v>
      </c>
      <c r="K309" s="370"/>
      <c r="L309" s="372"/>
      <c r="M309" s="37"/>
      <c r="N309" s="370"/>
      <c r="O309" s="434">
        <f>-SUM(TrialBalanceB!I6:I141)</f>
        <v>0</v>
      </c>
      <c r="P309" s="380"/>
      <c r="Q309" s="389"/>
      <c r="R309" s="416" t="str">
        <f>IF(O309=0,"DELETE"," ")</f>
        <v>DELETE</v>
      </c>
      <c r="S309" s="421">
        <f>O309</f>
        <v>0</v>
      </c>
      <c r="U309" s="417" t="b">
        <f>O309=O2102</f>
        <v>1</v>
      </c>
      <c r="W309" s="417">
        <f>IF(O309&lt;0,1,2)</f>
        <v>2</v>
      </c>
    </row>
    <row r="310" spans="2:23" ht="31.5" customHeight="1" x14ac:dyDescent="0.45">
      <c r="B310" s="388"/>
      <c r="D310" s="384"/>
      <c r="K310" s="370"/>
      <c r="L310" s="372"/>
      <c r="M310" s="37"/>
      <c r="N310" s="370"/>
      <c r="O310" s="434"/>
      <c r="P310" s="380"/>
      <c r="Q310" s="389"/>
      <c r="R310" s="416" t="str">
        <f>R309</f>
        <v>DELETE</v>
      </c>
    </row>
    <row r="311" spans="2:23" ht="31.5" customHeight="1" x14ac:dyDescent="0.45">
      <c r="B311" s="388"/>
      <c r="D311" s="384" t="str">
        <f>IF((W311=2),CONCATENATE("Net profit - ",Criteria!H16),CONCATENATE("Net loss - ",Criteria!H16))</f>
        <v xml:space="preserve">Net profit - </v>
      </c>
      <c r="K311" s="370"/>
      <c r="L311" s="372"/>
      <c r="M311" s="37"/>
      <c r="N311" s="370"/>
      <c r="O311" s="434">
        <f>-SUM(TrialBalanceC!I6:I141)</f>
        <v>0</v>
      </c>
      <c r="P311" s="380"/>
      <c r="Q311" s="389"/>
      <c r="R311" s="416" t="str">
        <f>IF(O311=0,"DELETE"," ")</f>
        <v>DELETE</v>
      </c>
      <c r="S311" s="421">
        <f>O311</f>
        <v>0</v>
      </c>
      <c r="U311" s="417" t="b">
        <f>O311=O2262</f>
        <v>1</v>
      </c>
      <c r="W311" s="417">
        <f>IF(O311&lt;0,1,2)</f>
        <v>2</v>
      </c>
    </row>
    <row r="312" spans="2:23" ht="31.5" customHeight="1" x14ac:dyDescent="0.45">
      <c r="B312" s="388"/>
      <c r="K312" s="370"/>
      <c r="L312" s="372"/>
      <c r="M312" s="37"/>
      <c r="N312" s="370"/>
      <c r="O312" s="434"/>
      <c r="P312" s="380"/>
      <c r="Q312" s="389"/>
      <c r="R312" s="416" t="str">
        <f>R311</f>
        <v>DELETE</v>
      </c>
    </row>
    <row r="313" spans="2:23" ht="9" customHeight="1" x14ac:dyDescent="0.45">
      <c r="B313" s="388"/>
      <c r="K313" s="370"/>
      <c r="L313" s="372"/>
      <c r="M313" s="37"/>
      <c r="N313" s="370"/>
      <c r="O313" s="438"/>
      <c r="P313" s="380"/>
      <c r="Q313" s="389"/>
    </row>
    <row r="314" spans="2:23" ht="9" customHeight="1" x14ac:dyDescent="0.45">
      <c r="B314" s="388"/>
      <c r="K314" s="370"/>
      <c r="L314" s="372"/>
      <c r="M314" s="37"/>
      <c r="N314" s="370"/>
      <c r="O314" s="434"/>
      <c r="P314" s="380"/>
      <c r="Q314" s="389"/>
    </row>
    <row r="315" spans="2:23" ht="31.5" customHeight="1" x14ac:dyDescent="0.45">
      <c r="B315" s="388"/>
      <c r="D315" s="384" t="str">
        <f>IF((W315=2),"NET PROFIT BEFORE DISTRIBUTIONS","NET LOSS BEFORE DISTRIBUTIONS")</f>
        <v>NET PROFIT BEFORE DISTRIBUTIONS</v>
      </c>
      <c r="K315" s="370">
        <f>B683</f>
        <v>6</v>
      </c>
      <c r="L315" s="372"/>
      <c r="M315" s="37"/>
      <c r="N315" s="370"/>
      <c r="O315" s="434">
        <f>SUM(S291:S312)</f>
        <v>0</v>
      </c>
      <c r="P315" s="380"/>
      <c r="Q315" s="389"/>
      <c r="W315" s="417">
        <f>IF(O315&lt;0,1,2)</f>
        <v>2</v>
      </c>
    </row>
    <row r="316" spans="2:23" ht="31.5" customHeight="1" x14ac:dyDescent="0.45">
      <c r="B316" s="388"/>
      <c r="D316" s="384"/>
      <c r="K316" s="370"/>
      <c r="L316" s="372"/>
      <c r="M316" s="37"/>
      <c r="N316" s="370"/>
      <c r="O316" s="434"/>
      <c r="P316" s="380"/>
      <c r="Q316" s="389"/>
    </row>
    <row r="317" spans="2:23" ht="31.5" customHeight="1" x14ac:dyDescent="0.45">
      <c r="B317" s="388"/>
      <c r="D317" s="384" t="s">
        <v>903</v>
      </c>
      <c r="K317" s="370"/>
      <c r="L317" s="372"/>
      <c r="M317" s="37"/>
      <c r="N317" s="370"/>
      <c r="O317" s="434">
        <f>-TrialBalance!L175</f>
        <v>0</v>
      </c>
      <c r="P317" s="380"/>
      <c r="Q317" s="389"/>
    </row>
    <row r="318" spans="2:23" ht="31.5" customHeight="1" x14ac:dyDescent="0.45">
      <c r="B318" s="388"/>
      <c r="D318" s="384"/>
      <c r="K318" s="370"/>
      <c r="L318" s="372"/>
      <c r="M318" s="37"/>
      <c r="N318" s="370"/>
      <c r="O318" s="434"/>
      <c r="P318" s="380"/>
      <c r="Q318" s="389"/>
    </row>
    <row r="319" spans="2:23" ht="9" customHeight="1" x14ac:dyDescent="0.45">
      <c r="B319" s="388"/>
      <c r="D319" s="384"/>
      <c r="K319" s="370"/>
      <c r="L319" s="372"/>
      <c r="M319" s="37"/>
      <c r="N319" s="370"/>
      <c r="O319" s="438"/>
      <c r="P319" s="380"/>
      <c r="Q319" s="389"/>
    </row>
    <row r="320" spans="2:23" ht="9" customHeight="1" x14ac:dyDescent="0.45">
      <c r="B320" s="388"/>
      <c r="D320" s="384"/>
      <c r="K320" s="370"/>
      <c r="L320" s="372"/>
      <c r="M320" s="37"/>
      <c r="N320" s="370"/>
      <c r="O320" s="434"/>
      <c r="P320" s="380"/>
      <c r="Q320" s="389"/>
    </row>
    <row r="321" spans="2:23" ht="31.5" customHeight="1" x14ac:dyDescent="0.45">
      <c r="B321" s="388"/>
      <c r="D321" s="384" t="str">
        <f>IF((W321=2),"NET PROFIT BEFORE TAXATION","NET LOSS BEFORE TAXATION")</f>
        <v>NET PROFIT BEFORE TAXATION</v>
      </c>
      <c r="K321" s="370"/>
      <c r="L321" s="372"/>
      <c r="M321" s="37"/>
      <c r="N321" s="370"/>
      <c r="O321" s="434">
        <f>SUM(O314:O319)</f>
        <v>0</v>
      </c>
      <c r="P321" s="380"/>
      <c r="Q321" s="389"/>
      <c r="W321" s="417">
        <f>IF(O321&lt;0,1,2)</f>
        <v>2</v>
      </c>
    </row>
    <row r="322" spans="2:23" ht="31.5" customHeight="1" x14ac:dyDescent="0.45">
      <c r="B322" s="388"/>
      <c r="K322" s="370"/>
      <c r="L322" s="372"/>
      <c r="M322" s="37"/>
      <c r="N322" s="370"/>
      <c r="O322" s="434"/>
      <c r="P322" s="380"/>
      <c r="Q322" s="389"/>
    </row>
    <row r="323" spans="2:23" ht="31.5" customHeight="1" x14ac:dyDescent="0.45">
      <c r="B323" s="388"/>
      <c r="D323" s="368" t="s">
        <v>124</v>
      </c>
      <c r="K323" s="370">
        <f>B770</f>
        <v>7</v>
      </c>
      <c r="L323" s="372"/>
      <c r="M323" s="37"/>
      <c r="N323" s="370"/>
      <c r="O323" s="443">
        <f>-SUM(TrialBalance!L172:L174)</f>
        <v>0</v>
      </c>
      <c r="P323" s="380"/>
      <c r="Q323" s="389"/>
      <c r="U323" s="417" t="b">
        <f>-O323=O780</f>
        <v>1</v>
      </c>
    </row>
    <row r="324" spans="2:23" ht="9" customHeight="1" x14ac:dyDescent="0.45">
      <c r="B324" s="388"/>
      <c r="K324" s="370"/>
      <c r="L324" s="372"/>
      <c r="M324" s="37"/>
      <c r="N324" s="370"/>
      <c r="O324" s="438"/>
      <c r="P324" s="380"/>
      <c r="Q324" s="389"/>
      <c r="U324" s="425"/>
      <c r="V324" s="425"/>
    </row>
    <row r="325" spans="2:23" ht="9" customHeight="1" x14ac:dyDescent="0.45">
      <c r="B325" s="388"/>
      <c r="K325" s="370"/>
      <c r="L325" s="372"/>
      <c r="M325" s="37"/>
      <c r="N325" s="370"/>
      <c r="O325" s="434"/>
      <c r="P325" s="380"/>
      <c r="Q325" s="389"/>
    </row>
    <row r="326" spans="2:23" ht="31.5" customHeight="1" x14ac:dyDescent="0.45">
      <c r="B326" s="388"/>
      <c r="D326" s="384" t="str">
        <f>IF((W326=2),"NET PROFIT FOR THE YEAR AFTER TAXATION","NET LOSS FOR THE YEAR AFTER TAXATION")</f>
        <v>NET PROFIT FOR THE YEAR AFTER TAXATION</v>
      </c>
      <c r="K326" s="370"/>
      <c r="L326" s="372"/>
      <c r="M326" s="37"/>
      <c r="N326" s="370"/>
      <c r="O326" s="434">
        <f>SUM(O320:O324)</f>
        <v>0</v>
      </c>
      <c r="P326" s="380"/>
      <c r="Q326" s="389"/>
      <c r="U326" s="417" t="b">
        <f>O326=-TrialBalance!P3</f>
        <v>1</v>
      </c>
      <c r="W326" s="417">
        <f>IF(O326&lt;0,1,2)</f>
        <v>2</v>
      </c>
    </row>
    <row r="327" spans="2:23" ht="31.5" customHeight="1" x14ac:dyDescent="0.45">
      <c r="B327" s="388"/>
      <c r="D327" s="384"/>
      <c r="K327" s="370"/>
      <c r="L327" s="372"/>
      <c r="M327" s="37"/>
      <c r="N327" s="370"/>
      <c r="O327" s="434"/>
      <c r="P327" s="380"/>
      <c r="Q327" s="389"/>
    </row>
    <row r="328" spans="2:23" ht="31.5" customHeight="1" x14ac:dyDescent="0.45">
      <c r="B328" s="388"/>
      <c r="D328" s="384" t="str">
        <f>IF((W329=2),"RETAINED INCOME","ACCUMULATED LOSS")</f>
        <v>RETAINED INCOME</v>
      </c>
      <c r="K328" s="370"/>
      <c r="L328" s="372"/>
      <c r="M328" s="37"/>
      <c r="N328" s="370"/>
      <c r="O328" s="434"/>
      <c r="P328" s="380"/>
      <c r="Q328" s="389"/>
    </row>
    <row r="329" spans="2:23" ht="31.5" customHeight="1" x14ac:dyDescent="0.45">
      <c r="B329" s="388"/>
      <c r="D329" s="384" t="s">
        <v>180</v>
      </c>
      <c r="K329" s="370"/>
      <c r="L329" s="372"/>
      <c r="M329" s="37"/>
      <c r="N329" s="370"/>
      <c r="O329" s="434">
        <f>-TrialBalance!L190</f>
        <v>0</v>
      </c>
      <c r="P329" s="380"/>
      <c r="Q329" s="389"/>
      <c r="W329" s="417">
        <f>IF(O329&lt;0,1,2)</f>
        <v>2</v>
      </c>
    </row>
    <row r="330" spans="2:23" ht="9" customHeight="1" x14ac:dyDescent="0.45">
      <c r="B330" s="388"/>
      <c r="D330" s="384"/>
      <c r="K330" s="370"/>
      <c r="L330" s="372"/>
      <c r="M330" s="37"/>
      <c r="N330" s="370"/>
      <c r="O330" s="438"/>
      <c r="P330" s="380"/>
      <c r="Q330" s="389"/>
    </row>
    <row r="331" spans="2:23" ht="9" customHeight="1" x14ac:dyDescent="0.45">
      <c r="B331" s="388"/>
      <c r="D331" s="384"/>
      <c r="K331" s="370"/>
      <c r="L331" s="372"/>
      <c r="M331" s="37"/>
      <c r="N331" s="370"/>
      <c r="O331" s="434"/>
      <c r="P331" s="380"/>
      <c r="Q331" s="389"/>
    </row>
    <row r="332" spans="2:23" ht="31.5" customHeight="1" x14ac:dyDescent="0.45">
      <c r="B332" s="388"/>
      <c r="D332" s="384" t="str">
        <f>IF((W333=2),"RETAINED INCOME","ACCUMULATED LOSS")</f>
        <v>RETAINED INCOME</v>
      </c>
      <c r="K332" s="370"/>
      <c r="L332" s="372"/>
      <c r="M332" s="37"/>
      <c r="N332" s="370"/>
      <c r="O332" s="434"/>
      <c r="P332" s="380"/>
      <c r="Q332" s="389"/>
    </row>
    <row r="333" spans="2:23" ht="31.5" customHeight="1" x14ac:dyDescent="0.45">
      <c r="B333" s="388"/>
      <c r="D333" s="384" t="s">
        <v>181</v>
      </c>
      <c r="K333" s="370"/>
      <c r="L333" s="372"/>
      <c r="M333" s="37"/>
      <c r="N333" s="370"/>
      <c r="O333" s="434">
        <f>SUM(O325:O330)</f>
        <v>0</v>
      </c>
      <c r="P333" s="380"/>
      <c r="Q333" s="389"/>
      <c r="W333" s="417">
        <f>IF(O333&lt;0,1,2)</f>
        <v>2</v>
      </c>
    </row>
    <row r="334" spans="2:23" ht="9" customHeight="1" thickBot="1" x14ac:dyDescent="0.5">
      <c r="B334" s="388"/>
      <c r="K334" s="370"/>
      <c r="L334" s="372"/>
      <c r="M334" s="37"/>
      <c r="N334" s="370"/>
      <c r="O334" s="439"/>
      <c r="P334" s="380"/>
      <c r="Q334" s="389"/>
    </row>
    <row r="335" spans="2:23" ht="9" customHeight="1" thickTop="1" x14ac:dyDescent="0.45">
      <c r="B335" s="388"/>
      <c r="K335" s="370"/>
      <c r="L335" s="372"/>
      <c r="M335" s="37"/>
      <c r="N335" s="370"/>
      <c r="O335" s="434"/>
      <c r="P335" s="380"/>
      <c r="Q335" s="389"/>
    </row>
    <row r="336" spans="2:23" ht="31.5" customHeight="1" x14ac:dyDescent="0.45">
      <c r="B336" s="388"/>
      <c r="K336" s="370"/>
      <c r="L336" s="372"/>
      <c r="M336" s="37"/>
      <c r="N336" s="370"/>
      <c r="O336" s="433"/>
      <c r="P336" s="380"/>
      <c r="Q336" s="389"/>
    </row>
    <row r="337" spans="2:22" ht="31.5" customHeight="1" x14ac:dyDescent="0.45">
      <c r="B337" s="388"/>
      <c r="K337" s="370"/>
      <c r="L337" s="370"/>
      <c r="M337" s="433"/>
      <c r="N337" s="380"/>
      <c r="O337" s="433"/>
      <c r="P337" s="380"/>
      <c r="Q337" s="389"/>
    </row>
    <row r="338" spans="2:22" ht="31.5" customHeight="1" x14ac:dyDescent="0.45">
      <c r="B338" s="388"/>
      <c r="K338" s="370"/>
      <c r="L338" s="370"/>
      <c r="M338" s="433"/>
      <c r="N338" s="380"/>
      <c r="O338" s="433"/>
      <c r="P338" s="380"/>
      <c r="Q338" s="389"/>
    </row>
    <row r="339" spans="2:22" ht="31.5" customHeight="1" x14ac:dyDescent="0.45">
      <c r="B339" s="388"/>
      <c r="K339" s="370"/>
      <c r="L339" s="370"/>
      <c r="M339" s="433"/>
      <c r="N339" s="380"/>
      <c r="O339" s="433"/>
      <c r="P339" s="380"/>
      <c r="Q339" s="389"/>
    </row>
    <row r="340" spans="2:22" ht="31.5" customHeight="1" x14ac:dyDescent="0.45">
      <c r="B340" s="388"/>
      <c r="K340" s="370"/>
      <c r="L340" s="370"/>
      <c r="M340" s="433"/>
      <c r="N340" s="380"/>
      <c r="O340" s="433"/>
      <c r="P340" s="380"/>
      <c r="Q340" s="389"/>
    </row>
    <row r="341" spans="2:22" ht="31.5" customHeight="1" x14ac:dyDescent="0.45">
      <c r="B341" s="388"/>
      <c r="K341" s="370"/>
      <c r="L341" s="370"/>
      <c r="M341" s="433"/>
      <c r="N341" s="380"/>
      <c r="O341" s="433"/>
      <c r="P341" s="380"/>
      <c r="Q341" s="389"/>
    </row>
    <row r="342" spans="2:22" ht="31.5" customHeight="1" x14ac:dyDescent="0.45">
      <c r="B342" s="388"/>
      <c r="K342" s="370"/>
      <c r="L342" s="370"/>
      <c r="M342" s="433"/>
      <c r="N342" s="380"/>
      <c r="O342" s="433"/>
      <c r="P342" s="380"/>
      <c r="Q342" s="389"/>
    </row>
    <row r="343" spans="2:22" ht="31.5" customHeight="1" x14ac:dyDescent="0.45">
      <c r="B343" s="388"/>
      <c r="K343" s="370"/>
      <c r="L343" s="370"/>
      <c r="M343" s="433"/>
      <c r="N343" s="380"/>
      <c r="O343" s="433"/>
      <c r="P343" s="380"/>
      <c r="Q343" s="389"/>
    </row>
    <row r="344" spans="2:22" ht="31.5" customHeight="1" x14ac:dyDescent="0.45">
      <c r="B344" s="388"/>
      <c r="K344" s="370"/>
      <c r="L344" s="370"/>
      <c r="M344" s="433"/>
      <c r="N344" s="380"/>
      <c r="O344" s="433"/>
      <c r="P344" s="380"/>
      <c r="Q344" s="389"/>
    </row>
    <row r="345" spans="2:22" ht="31.5" customHeight="1" x14ac:dyDescent="0.45">
      <c r="B345" s="396"/>
      <c r="C345" s="383"/>
      <c r="D345" s="383"/>
      <c r="E345" s="383"/>
      <c r="F345" s="383"/>
      <c r="G345" s="383"/>
      <c r="H345" s="383"/>
      <c r="I345" s="383"/>
      <c r="J345" s="383"/>
      <c r="K345" s="403"/>
      <c r="L345" s="403"/>
      <c r="M345" s="444"/>
      <c r="N345" s="404"/>
      <c r="O345" s="444"/>
      <c r="P345" s="404"/>
      <c r="Q345" s="398"/>
    </row>
    <row r="346" spans="2:22" ht="31.5" customHeight="1" x14ac:dyDescent="0.45"/>
    <row r="347" spans="2:22" ht="31.5" customHeight="1" x14ac:dyDescent="0.45"/>
    <row r="348" spans="2:22" ht="31.5" customHeight="1" x14ac:dyDescent="0.45">
      <c r="D348" s="369" t="str">
        <f>Criteria!E9</f>
        <v>ABC TRUST</v>
      </c>
      <c r="O348" s="433" t="s">
        <v>105</v>
      </c>
      <c r="Q348" s="370">
        <f>MAX($Q$114:Q347)+1</f>
        <v>5</v>
      </c>
      <c r="S348" s="420"/>
      <c r="T348" s="420"/>
      <c r="U348" s="420"/>
      <c r="V348" s="420"/>
    </row>
    <row r="349" spans="2:22" ht="31.5" customHeight="1" x14ac:dyDescent="0.45">
      <c r="D349" s="369" t="str">
        <f>Criteria!E10</f>
        <v>T/A RENTAL PROPERTIES, SEAFRONT RESTAURANT AND SURF SHOP</v>
      </c>
      <c r="R349" s="416" t="str">
        <f>IF(D349=0,"DELETE"," ")</f>
        <v xml:space="preserve"> </v>
      </c>
      <c r="S349" s="420"/>
      <c r="T349" s="420"/>
      <c r="U349" s="420"/>
      <c r="V349" s="420"/>
    </row>
    <row r="350" spans="2:22" ht="31.5" customHeight="1" x14ac:dyDescent="0.45">
      <c r="S350" s="420"/>
      <c r="T350" s="420"/>
      <c r="U350" s="420"/>
      <c r="V350" s="420"/>
    </row>
    <row r="351" spans="2:22" ht="31.5" customHeight="1" x14ac:dyDescent="0.45">
      <c r="D351" s="369" t="str">
        <f>CONCATENATE("STATEMENT OF FINANCIAL POSITION AS AT ",Criteria!E20)</f>
        <v>STATEMENT OF FINANCIAL POSITION AS AT 29 FEBRUARY 2024</v>
      </c>
      <c r="H351" s="369"/>
    </row>
    <row r="352" spans="2:22" ht="31.5" customHeight="1" x14ac:dyDescent="0.45"/>
    <row r="353" spans="2:24" ht="31.5" customHeight="1" x14ac:dyDescent="0.45">
      <c r="B353" s="385"/>
      <c r="C353" s="386"/>
      <c r="D353" s="386"/>
      <c r="E353" s="386"/>
      <c r="F353" s="386"/>
      <c r="G353" s="386"/>
      <c r="H353" s="386"/>
      <c r="I353" s="386"/>
      <c r="J353" s="386"/>
      <c r="K353" s="386"/>
      <c r="L353" s="386"/>
      <c r="M353" s="480"/>
      <c r="N353" s="481"/>
      <c r="O353" s="480"/>
      <c r="P353" s="481"/>
      <c r="Q353" s="387"/>
    </row>
    <row r="354" spans="2:24" ht="31.5" customHeight="1" x14ac:dyDescent="0.45">
      <c r="B354" s="388"/>
      <c r="K354" s="370" t="s">
        <v>113</v>
      </c>
      <c r="L354" s="372"/>
      <c r="M354" s="37"/>
      <c r="N354" s="370"/>
      <c r="O354" s="430">
        <f>Criteria!E22</f>
        <v>2024</v>
      </c>
      <c r="P354" s="379"/>
      <c r="Q354" s="389"/>
    </row>
    <row r="355" spans="2:24" ht="31.5" customHeight="1" x14ac:dyDescent="0.45">
      <c r="B355" s="388"/>
      <c r="K355" s="370"/>
      <c r="L355" s="372"/>
      <c r="M355" s="37"/>
      <c r="N355" s="370"/>
      <c r="O355" s="433"/>
      <c r="P355" s="380"/>
      <c r="Q355" s="389"/>
    </row>
    <row r="356" spans="2:24" ht="31.5" customHeight="1" x14ac:dyDescent="0.45">
      <c r="B356" s="388"/>
      <c r="C356" s="369" t="s">
        <v>114</v>
      </c>
      <c r="K356" s="370"/>
      <c r="L356" s="372"/>
      <c r="M356" s="37"/>
      <c r="N356" s="370"/>
      <c r="O356" s="433"/>
      <c r="P356" s="380"/>
      <c r="Q356" s="389"/>
    </row>
    <row r="357" spans="2:24" ht="31.5" customHeight="1" x14ac:dyDescent="0.45">
      <c r="B357" s="388"/>
      <c r="C357" s="369"/>
      <c r="K357" s="370"/>
      <c r="L357" s="372"/>
      <c r="M357" s="37"/>
      <c r="N357" s="370"/>
      <c r="O357" s="433"/>
      <c r="P357" s="380"/>
      <c r="Q357" s="389"/>
    </row>
    <row r="358" spans="2:24" ht="31.5" customHeight="1" x14ac:dyDescent="0.45">
      <c r="B358" s="388"/>
      <c r="D358" s="368" t="s">
        <v>13</v>
      </c>
      <c r="K358" s="370"/>
      <c r="L358" s="372"/>
      <c r="M358" s="37"/>
      <c r="N358" s="370"/>
      <c r="O358" s="434">
        <f>SUM(O360:O368)</f>
        <v>0</v>
      </c>
      <c r="P358" s="380"/>
      <c r="Q358" s="389"/>
      <c r="R358" s="416" t="str">
        <f>IF(O358=0,"DELETE"," ")</f>
        <v>DELETE</v>
      </c>
      <c r="S358" s="421">
        <f>O358</f>
        <v>0</v>
      </c>
      <c r="T358" s="421"/>
      <c r="U358" s="421"/>
      <c r="V358" s="421"/>
    </row>
    <row r="359" spans="2:24" ht="9" customHeight="1" x14ac:dyDescent="0.45">
      <c r="B359" s="388"/>
      <c r="D359" s="369"/>
      <c r="K359" s="370"/>
      <c r="L359" s="372"/>
      <c r="M359" s="37"/>
      <c r="N359" s="370"/>
      <c r="O359" s="434"/>
      <c r="P359" s="380"/>
      <c r="Q359" s="389"/>
      <c r="R359" s="416" t="str">
        <f>R358</f>
        <v>DELETE</v>
      </c>
    </row>
    <row r="360" spans="2:24" ht="9" customHeight="1" x14ac:dyDescent="0.45">
      <c r="B360" s="388"/>
      <c r="D360" s="369"/>
      <c r="K360" s="370"/>
      <c r="L360" s="372"/>
      <c r="M360" s="37"/>
      <c r="N360" s="370"/>
      <c r="O360" s="455"/>
      <c r="P360" s="380"/>
      <c r="Q360" s="389"/>
      <c r="R360" s="416" t="str">
        <f>R358</f>
        <v>DELETE</v>
      </c>
    </row>
    <row r="361" spans="2:24" ht="31.5" customHeight="1" x14ac:dyDescent="0.45">
      <c r="B361" s="388"/>
      <c r="D361" s="368" t="s">
        <v>1052</v>
      </c>
      <c r="K361" s="370">
        <f>B800</f>
        <v>8</v>
      </c>
      <c r="L361" s="372"/>
      <c r="M361" s="37"/>
      <c r="N361" s="370"/>
      <c r="O361" s="456">
        <f>SUM(TrialBalance!L226:L238)</f>
        <v>0</v>
      </c>
      <c r="P361" s="380"/>
      <c r="Q361" s="389"/>
      <c r="R361" s="416" t="str">
        <f t="shared" ref="R361:R367" si="5">IF(O361=0,"DELETE"," ")</f>
        <v>DELETE</v>
      </c>
      <c r="U361" s="417" t="b">
        <f>O361=O826</f>
        <v>1</v>
      </c>
    </row>
    <row r="362" spans="2:24" ht="31.5" customHeight="1" x14ac:dyDescent="0.45">
      <c r="B362" s="388"/>
      <c r="D362" s="368" t="s">
        <v>739</v>
      </c>
      <c r="K362" s="370">
        <f>B907</f>
        <v>9</v>
      </c>
      <c r="L362" s="372"/>
      <c r="M362" s="37"/>
      <c r="N362" s="370"/>
      <c r="O362" s="456">
        <f>SUM(TrialBalance!L239:L270)</f>
        <v>0</v>
      </c>
      <c r="P362" s="380"/>
      <c r="Q362" s="389"/>
      <c r="R362" s="416" t="str">
        <f t="shared" si="5"/>
        <v>DELETE</v>
      </c>
      <c r="U362" s="422" t="b">
        <f>O362=O935</f>
        <v>1</v>
      </c>
      <c r="V362" s="422"/>
      <c r="X362" s="422"/>
    </row>
    <row r="363" spans="2:24" ht="31.5" customHeight="1" x14ac:dyDescent="0.45">
      <c r="B363" s="388"/>
      <c r="D363" s="368" t="s">
        <v>1117</v>
      </c>
      <c r="K363" s="370">
        <f>B955</f>
        <v>10</v>
      </c>
      <c r="L363" s="372"/>
      <c r="M363" s="37"/>
      <c r="N363" s="370"/>
      <c r="O363" s="456">
        <f>SUM(TrialBalance!L273:L289)</f>
        <v>0</v>
      </c>
      <c r="P363" s="380"/>
      <c r="Q363" s="389"/>
      <c r="R363" s="416" t="str">
        <f>IF(O363=0,"DELETE"," ")</f>
        <v>DELETE</v>
      </c>
      <c r="U363" s="422" t="b">
        <f>O363=O1020</f>
        <v>1</v>
      </c>
      <c r="V363" s="422"/>
      <c r="X363" s="422"/>
    </row>
    <row r="364" spans="2:24" ht="31.5" customHeight="1" x14ac:dyDescent="0.45">
      <c r="B364" s="388"/>
      <c r="D364" s="368" t="str">
        <f>IF(COUNTIF(TrialBalance!L292:L296,"&gt;0")&gt;1,"Listed investments","Listed investment")</f>
        <v>Listed investment</v>
      </c>
      <c r="K364" s="370">
        <f>B1037</f>
        <v>11</v>
      </c>
      <c r="L364" s="372"/>
      <c r="M364" s="37"/>
      <c r="N364" s="370"/>
      <c r="O364" s="456">
        <f>SUM(TrialBalance!L292:L296)</f>
        <v>0</v>
      </c>
      <c r="P364" s="380"/>
      <c r="Q364" s="389"/>
      <c r="R364" s="416" t="str">
        <f t="shared" si="5"/>
        <v>DELETE</v>
      </c>
      <c r="U364" s="422" t="b">
        <f>O364=O1045</f>
        <v>1</v>
      </c>
      <c r="V364" s="422"/>
      <c r="X364" s="422"/>
    </row>
    <row r="365" spans="2:24" ht="31.5" customHeight="1" x14ac:dyDescent="0.45">
      <c r="B365" s="388"/>
      <c r="D365" s="368" t="str">
        <f>IF(COUNTIF(TrialBalance!L298:L324,"&gt;0")&gt;1,"Other investments","Other investment")</f>
        <v>Other investment</v>
      </c>
      <c r="K365" s="370">
        <f>B1063</f>
        <v>12</v>
      </c>
      <c r="L365" s="372"/>
      <c r="M365" s="37"/>
      <c r="N365" s="370"/>
      <c r="O365" s="456">
        <f>SUM(TrialBalance!L297:L324)</f>
        <v>0</v>
      </c>
      <c r="P365" s="380"/>
      <c r="Q365" s="389"/>
      <c r="R365" s="416" t="str">
        <f t="shared" si="5"/>
        <v>DELETE</v>
      </c>
      <c r="U365" s="422" t="b">
        <f>O365=O1105</f>
        <v>1</v>
      </c>
      <c r="V365" s="422"/>
      <c r="X365" s="422"/>
    </row>
    <row r="366" spans="2:24" ht="31.5" customHeight="1" x14ac:dyDescent="0.45">
      <c r="B366" s="388"/>
      <c r="D366" s="368" t="s">
        <v>1038</v>
      </c>
      <c r="K366" s="370">
        <f>B1123</f>
        <v>13</v>
      </c>
      <c r="L366" s="372"/>
      <c r="M366" s="37"/>
      <c r="N366" s="370"/>
      <c r="O366" s="456">
        <f>SUM(TrialBalance!L349:L351)</f>
        <v>0</v>
      </c>
      <c r="P366" s="380"/>
      <c r="Q366" s="389"/>
      <c r="R366" s="416" t="str">
        <f t="shared" si="5"/>
        <v>DELETE</v>
      </c>
      <c r="U366" s="422" t="b">
        <f>O366=O1129</f>
        <v>1</v>
      </c>
      <c r="V366" s="422"/>
      <c r="X366" s="422"/>
    </row>
    <row r="367" spans="2:24" ht="31.5" customHeight="1" x14ac:dyDescent="0.45">
      <c r="B367" s="388"/>
      <c r="D367" s="368" t="str">
        <f>IF(COUNTIF(TrialBalance!L325:L347,"&gt;0")&gt;1,"Non - current receivables","Non - current receivable")</f>
        <v>Non - current receivable</v>
      </c>
      <c r="K367" s="370">
        <f>B1146</f>
        <v>14</v>
      </c>
      <c r="L367" s="372"/>
      <c r="M367" s="37"/>
      <c r="N367" s="370"/>
      <c r="O367" s="456">
        <f>SUM(TrialBalance!L325:L347)</f>
        <v>0</v>
      </c>
      <c r="P367" s="380"/>
      <c r="Q367" s="389"/>
      <c r="R367" s="416" t="str">
        <f t="shared" si="5"/>
        <v>DELETE</v>
      </c>
      <c r="U367" s="422" t="b">
        <f>O367=O1175</f>
        <v>1</v>
      </c>
      <c r="V367" s="422"/>
    </row>
    <row r="368" spans="2:24" ht="9" customHeight="1" x14ac:dyDescent="0.45">
      <c r="B368" s="388"/>
      <c r="K368" s="370"/>
      <c r="L368" s="372"/>
      <c r="M368" s="37"/>
      <c r="N368" s="370"/>
      <c r="O368" s="457"/>
      <c r="P368" s="380"/>
      <c r="Q368" s="389"/>
      <c r="R368" s="416" t="str">
        <f>R358</f>
        <v>DELETE</v>
      </c>
    </row>
    <row r="369" spans="2:24" ht="9" customHeight="1" x14ac:dyDescent="0.45">
      <c r="B369" s="388"/>
      <c r="K369" s="370"/>
      <c r="L369" s="372"/>
      <c r="M369" s="37"/>
      <c r="N369" s="370"/>
      <c r="O369" s="434"/>
      <c r="P369" s="380"/>
      <c r="Q369" s="389"/>
      <c r="R369" s="416" t="str">
        <f>R358</f>
        <v>DELETE</v>
      </c>
    </row>
    <row r="370" spans="2:24" ht="31.5" customHeight="1" x14ac:dyDescent="0.45">
      <c r="B370" s="388"/>
      <c r="K370" s="370"/>
      <c r="L370" s="372"/>
      <c r="M370" s="37"/>
      <c r="N370" s="370"/>
      <c r="O370" s="434"/>
      <c r="P370" s="380"/>
      <c r="Q370" s="389"/>
      <c r="R370" s="416" t="str">
        <f>R358</f>
        <v>DELETE</v>
      </c>
    </row>
    <row r="371" spans="2:24" ht="31.5" customHeight="1" x14ac:dyDescent="0.45">
      <c r="B371" s="388"/>
      <c r="D371" s="368" t="s">
        <v>14</v>
      </c>
      <c r="K371" s="370"/>
      <c r="L371" s="372"/>
      <c r="M371" s="37"/>
      <c r="N371" s="370"/>
      <c r="O371" s="434">
        <f>SUM(O374:O378)</f>
        <v>0</v>
      </c>
      <c r="P371" s="380"/>
      <c r="Q371" s="389"/>
      <c r="R371" s="416" t="str">
        <f t="shared" ref="R371" si="6">IF(O371=0,"DELETE"," ")</f>
        <v>DELETE</v>
      </c>
      <c r="S371" s="421">
        <f>O371</f>
        <v>0</v>
      </c>
      <c r="T371" s="421"/>
      <c r="U371" s="421"/>
      <c r="V371" s="421"/>
    </row>
    <row r="372" spans="2:24" ht="9" customHeight="1" x14ac:dyDescent="0.45">
      <c r="B372" s="388"/>
      <c r="K372" s="370"/>
      <c r="L372" s="372"/>
      <c r="M372" s="37"/>
      <c r="N372" s="370"/>
      <c r="O372" s="434"/>
      <c r="P372" s="380"/>
      <c r="Q372" s="389"/>
      <c r="R372" s="416" t="str">
        <f>R371</f>
        <v>DELETE</v>
      </c>
    </row>
    <row r="373" spans="2:24" ht="9" customHeight="1" x14ac:dyDescent="0.45">
      <c r="B373" s="388"/>
      <c r="K373" s="370"/>
      <c r="L373" s="372"/>
      <c r="M373" s="37"/>
      <c r="N373" s="370"/>
      <c r="O373" s="455"/>
      <c r="P373" s="380"/>
      <c r="Q373" s="389"/>
      <c r="R373" s="416" t="str">
        <f>R371</f>
        <v>DELETE</v>
      </c>
    </row>
    <row r="374" spans="2:24" ht="31.5" customHeight="1" x14ac:dyDescent="0.45">
      <c r="B374" s="388"/>
      <c r="D374" s="368" t="s">
        <v>1046</v>
      </c>
      <c r="K374" s="370">
        <f>B1192</f>
        <v>15</v>
      </c>
      <c r="L374" s="372"/>
      <c r="M374" s="37"/>
      <c r="N374" s="370"/>
      <c r="O374" s="456">
        <f>SUM(TrialBalance!L353:L356)</f>
        <v>0</v>
      </c>
      <c r="P374" s="380"/>
      <c r="Q374" s="389"/>
      <c r="R374" s="416" t="str">
        <f t="shared" ref="R374:R377" si="7">IF(O374=0,"DELETE"," ")</f>
        <v>DELETE</v>
      </c>
      <c r="U374" s="422" t="b">
        <f>O374=O1200</f>
        <v>1</v>
      </c>
      <c r="V374" s="422"/>
      <c r="X374" s="422"/>
    </row>
    <row r="375" spans="2:24" ht="31.5" customHeight="1" x14ac:dyDescent="0.45">
      <c r="B375" s="388"/>
      <c r="D375" s="368" t="s">
        <v>731</v>
      </c>
      <c r="K375" s="370">
        <f>B1217</f>
        <v>16</v>
      </c>
      <c r="L375" s="372"/>
      <c r="M375" s="37"/>
      <c r="N375" s="370"/>
      <c r="O375" s="456">
        <f>SUM(TrialBalance!L358:L363)+IF(TrialBalance!L395&gt;0,TrialBalance!L395,0)</f>
        <v>0</v>
      </c>
      <c r="P375" s="380"/>
      <c r="Q375" s="389"/>
      <c r="R375" s="416" t="str">
        <f t="shared" si="7"/>
        <v>DELETE</v>
      </c>
      <c r="U375" s="422" t="b">
        <f>O375=O1230</f>
        <v>1</v>
      </c>
      <c r="V375" s="422"/>
    </row>
    <row r="376" spans="2:24" ht="31.5" customHeight="1" x14ac:dyDescent="0.45">
      <c r="B376" s="388"/>
      <c r="D376" s="368" t="s">
        <v>657</v>
      </c>
      <c r="K376" s="370">
        <f>B1248</f>
        <v>17</v>
      </c>
      <c r="L376" s="372"/>
      <c r="M376" s="37"/>
      <c r="N376" s="370"/>
      <c r="O376" s="456">
        <f>TrialBalance!L371+IF(TrialBalance!L365&gt;0,TrialBalance!L365,0)+IF(TrialBalance!L366&gt;0,TrialBalance!L366,0)+IF(TrialBalance!L367&gt;0,TrialBalance!L367,0)+IF(TrialBalance!L368&gt;0,TrialBalance!L368,0)+IF(TrialBalance!L369&gt;0,TrialBalance!L369,0)+IF(TrialBalance!L370&gt;0,TrialBalance!L370,0)</f>
        <v>0</v>
      </c>
      <c r="P376" s="380"/>
      <c r="Q376" s="389"/>
      <c r="R376" s="416" t="str">
        <f t="shared" si="7"/>
        <v>DELETE</v>
      </c>
      <c r="U376" s="422" t="b">
        <f>O376=O1258</f>
        <v>1</v>
      </c>
      <c r="V376" s="422"/>
    </row>
    <row r="377" spans="2:24" ht="31.5" customHeight="1" x14ac:dyDescent="0.45">
      <c r="B377" s="388"/>
      <c r="D377" s="368" t="s">
        <v>625</v>
      </c>
      <c r="K377" s="370">
        <f>B1473</f>
        <v>25</v>
      </c>
      <c r="L377" s="372"/>
      <c r="M377" s="37"/>
      <c r="N377" s="370"/>
      <c r="O377" s="456">
        <f>IF(SUM(TrialBalance!L384:L390)&gt;0,SUM(TrialBalance!L384:L390),0)</f>
        <v>0</v>
      </c>
      <c r="P377" s="380"/>
      <c r="Q377" s="389"/>
      <c r="R377" s="416" t="str">
        <f t="shared" si="7"/>
        <v>DELETE</v>
      </c>
      <c r="U377" s="422" t="str">
        <f>IF(O377=0,"TRUE",O377=-O1483)</f>
        <v>TRUE</v>
      </c>
      <c r="V377" s="422"/>
    </row>
    <row r="378" spans="2:24" ht="9" customHeight="1" x14ac:dyDescent="0.45">
      <c r="B378" s="388"/>
      <c r="K378" s="370"/>
      <c r="L378" s="372"/>
      <c r="M378" s="37"/>
      <c r="N378" s="370"/>
      <c r="O378" s="457"/>
      <c r="P378" s="380"/>
      <c r="Q378" s="389"/>
      <c r="R378" s="416" t="str">
        <f>R371</f>
        <v>DELETE</v>
      </c>
    </row>
    <row r="379" spans="2:24" ht="9" customHeight="1" x14ac:dyDescent="0.45">
      <c r="B379" s="388"/>
      <c r="K379" s="370"/>
      <c r="L379" s="372"/>
      <c r="M379" s="37"/>
      <c r="N379" s="370"/>
      <c r="O379" s="434"/>
      <c r="P379" s="380"/>
      <c r="Q379" s="389"/>
      <c r="R379" s="416" t="str">
        <f>R371</f>
        <v>DELETE</v>
      </c>
    </row>
    <row r="380" spans="2:24" ht="31.5" customHeight="1" x14ac:dyDescent="0.45">
      <c r="B380" s="388"/>
      <c r="K380" s="370"/>
      <c r="L380" s="372"/>
      <c r="M380" s="37"/>
      <c r="N380" s="370"/>
      <c r="O380" s="434"/>
      <c r="P380" s="380"/>
      <c r="Q380" s="389"/>
      <c r="R380" s="416" t="str">
        <f>R371</f>
        <v>DELETE</v>
      </c>
    </row>
    <row r="381" spans="2:24" ht="9" customHeight="1" x14ac:dyDescent="0.45">
      <c r="B381" s="388"/>
      <c r="K381" s="370"/>
      <c r="L381" s="372"/>
      <c r="M381" s="37"/>
      <c r="N381" s="370"/>
      <c r="O381" s="438"/>
      <c r="P381" s="380"/>
      <c r="Q381" s="389"/>
    </row>
    <row r="382" spans="2:24" ht="9" customHeight="1" x14ac:dyDescent="0.45">
      <c r="B382" s="388"/>
      <c r="K382" s="370"/>
      <c r="L382" s="372"/>
      <c r="M382" s="37"/>
      <c r="N382" s="370"/>
      <c r="O382" s="434"/>
      <c r="P382" s="380"/>
      <c r="Q382" s="389"/>
    </row>
    <row r="383" spans="2:24" ht="31.5" customHeight="1" x14ac:dyDescent="0.45">
      <c r="B383" s="388"/>
      <c r="D383" s="368" t="s">
        <v>115</v>
      </c>
      <c r="K383" s="370"/>
      <c r="L383" s="372"/>
      <c r="M383" s="37"/>
      <c r="N383" s="370"/>
      <c r="O383" s="434">
        <f>SUM(S358:S381)</f>
        <v>0</v>
      </c>
      <c r="P383" s="380"/>
      <c r="Q383" s="389"/>
      <c r="U383" s="423" t="b">
        <f>O383=O421</f>
        <v>1</v>
      </c>
      <c r="V383" s="423"/>
    </row>
    <row r="384" spans="2:24" ht="9" customHeight="1" thickBot="1" x14ac:dyDescent="0.5">
      <c r="B384" s="388"/>
      <c r="K384" s="370"/>
      <c r="L384" s="372"/>
      <c r="M384" s="37"/>
      <c r="N384" s="370"/>
      <c r="O384" s="439"/>
      <c r="P384" s="380"/>
      <c r="Q384" s="389"/>
    </row>
    <row r="385" spans="2:23" ht="9" customHeight="1" thickTop="1" x14ac:dyDescent="0.45">
      <c r="B385" s="388"/>
      <c r="K385" s="370"/>
      <c r="L385" s="372"/>
      <c r="M385" s="37"/>
      <c r="N385" s="370"/>
      <c r="O385" s="434"/>
      <c r="P385" s="380"/>
      <c r="Q385" s="389"/>
    </row>
    <row r="386" spans="2:23" ht="31.5" customHeight="1" x14ac:dyDescent="0.45">
      <c r="B386" s="388"/>
      <c r="K386" s="370"/>
      <c r="L386" s="372"/>
      <c r="M386" s="37"/>
      <c r="N386" s="370"/>
      <c r="O386" s="434"/>
      <c r="P386" s="380"/>
      <c r="Q386" s="389"/>
    </row>
    <row r="387" spans="2:23" ht="31.5" customHeight="1" x14ac:dyDescent="0.45">
      <c r="B387" s="388"/>
      <c r="C387" s="369" t="s">
        <v>116</v>
      </c>
      <c r="K387" s="370"/>
      <c r="L387" s="372"/>
      <c r="M387" s="37"/>
      <c r="N387" s="370"/>
      <c r="O387" s="434"/>
      <c r="P387" s="380"/>
      <c r="Q387" s="389"/>
    </row>
    <row r="388" spans="2:23" ht="31.5" customHeight="1" x14ac:dyDescent="0.45">
      <c r="B388" s="388"/>
      <c r="C388" s="369"/>
      <c r="K388" s="370"/>
      <c r="L388" s="372"/>
      <c r="M388" s="37"/>
      <c r="N388" s="370"/>
      <c r="O388" s="434"/>
      <c r="P388" s="380"/>
      <c r="Q388" s="389"/>
    </row>
    <row r="389" spans="2:23" ht="31.5" customHeight="1" x14ac:dyDescent="0.45">
      <c r="B389" s="388"/>
      <c r="D389" s="368" t="s">
        <v>117</v>
      </c>
      <c r="K389" s="370"/>
      <c r="L389" s="372"/>
      <c r="M389" s="37"/>
      <c r="N389" s="370"/>
      <c r="O389" s="434">
        <f>SUM(O392:O395)</f>
        <v>0</v>
      </c>
      <c r="P389" s="380"/>
      <c r="Q389" s="389"/>
      <c r="S389" s="421">
        <f>O389</f>
        <v>0</v>
      </c>
      <c r="T389" s="421"/>
      <c r="U389" s="421"/>
      <c r="V389" s="421"/>
    </row>
    <row r="390" spans="2:23" ht="9" customHeight="1" x14ac:dyDescent="0.45">
      <c r="B390" s="388"/>
      <c r="K390" s="370"/>
      <c r="L390" s="372"/>
      <c r="M390" s="37"/>
      <c r="N390" s="370"/>
      <c r="O390" s="434"/>
      <c r="P390" s="380"/>
      <c r="Q390" s="389"/>
    </row>
    <row r="391" spans="2:23" ht="9" customHeight="1" x14ac:dyDescent="0.45">
      <c r="B391" s="388"/>
      <c r="K391" s="370"/>
      <c r="L391" s="372"/>
      <c r="M391" s="37"/>
      <c r="N391" s="370"/>
      <c r="O391" s="455"/>
      <c r="P391" s="380"/>
      <c r="Q391" s="389"/>
    </row>
    <row r="392" spans="2:23" ht="31.5" customHeight="1" x14ac:dyDescent="0.45">
      <c r="B392" s="388"/>
      <c r="D392" s="368" t="s">
        <v>901</v>
      </c>
      <c r="K392" s="370"/>
      <c r="L392" s="372"/>
      <c r="M392" s="37"/>
      <c r="N392" s="370"/>
      <c r="O392" s="456">
        <f>-SUM(TrialBalance!L180:L184)</f>
        <v>0</v>
      </c>
      <c r="P392" s="380"/>
      <c r="Q392" s="389"/>
      <c r="U392" s="422"/>
      <c r="V392" s="422"/>
    </row>
    <row r="393" spans="2:23" ht="31.5" customHeight="1" x14ac:dyDescent="0.45">
      <c r="B393" s="388"/>
      <c r="D393" s="368" t="s">
        <v>902</v>
      </c>
      <c r="K393" s="370"/>
      <c r="L393" s="372"/>
      <c r="M393" s="37"/>
      <c r="N393" s="370"/>
      <c r="O393" s="456">
        <f>-TrialBalance!L185</f>
        <v>0</v>
      </c>
      <c r="P393" s="380"/>
      <c r="Q393" s="389"/>
      <c r="R393" s="416" t="str">
        <f>IF(O393=0,"DELETE"," ")</f>
        <v>DELETE</v>
      </c>
      <c r="U393" s="422"/>
      <c r="V393" s="422"/>
    </row>
    <row r="394" spans="2:23" ht="31.5" customHeight="1" x14ac:dyDescent="0.45">
      <c r="B394" s="388"/>
      <c r="D394" s="368" t="s">
        <v>1068</v>
      </c>
      <c r="K394" s="370">
        <f>B1275</f>
        <v>18</v>
      </c>
      <c r="L394" s="372"/>
      <c r="M394" s="37"/>
      <c r="N394" s="370"/>
      <c r="O394" s="456">
        <f>-SUM(TrialBalance!L187:L189)</f>
        <v>0</v>
      </c>
      <c r="P394" s="380"/>
      <c r="Q394" s="389"/>
      <c r="R394" s="416" t="str">
        <f t="shared" ref="R394" si="8">IF(O394=0,"DELETE"," ")</f>
        <v>DELETE</v>
      </c>
      <c r="U394" s="422" t="b">
        <f>O394=O1281</f>
        <v>1</v>
      </c>
      <c r="V394" s="422"/>
    </row>
    <row r="395" spans="2:23" ht="31.5" customHeight="1" x14ac:dyDescent="0.45">
      <c r="B395" s="388"/>
      <c r="D395" s="384" t="str">
        <f>IF((W395=2),"Retained income","Accumulated loss")</f>
        <v>Retained income</v>
      </c>
      <c r="K395" s="370"/>
      <c r="L395" s="372"/>
      <c r="M395" s="37"/>
      <c r="N395" s="370"/>
      <c r="O395" s="459">
        <f>-TrialBalance!L190-SUM(TrialBalance!L6:L176)</f>
        <v>0</v>
      </c>
      <c r="P395" s="380"/>
      <c r="Q395" s="389"/>
      <c r="U395" s="422" t="b">
        <f>O395=O333</f>
        <v>1</v>
      </c>
      <c r="V395" s="422"/>
      <c r="W395" s="417">
        <f>IF(O395&lt;0,1,2)</f>
        <v>2</v>
      </c>
    </row>
    <row r="396" spans="2:23" ht="9" customHeight="1" x14ac:dyDescent="0.45">
      <c r="B396" s="388"/>
      <c r="K396" s="370"/>
      <c r="L396" s="372"/>
      <c r="M396" s="37"/>
      <c r="N396" s="370"/>
      <c r="O396" s="457"/>
      <c r="P396" s="380"/>
      <c r="Q396" s="389"/>
    </row>
    <row r="397" spans="2:23" ht="9" customHeight="1" x14ac:dyDescent="0.45">
      <c r="B397" s="388"/>
      <c r="K397" s="370"/>
      <c r="L397" s="372"/>
      <c r="M397" s="37"/>
      <c r="N397" s="370"/>
      <c r="O397" s="434"/>
      <c r="P397" s="380"/>
      <c r="Q397" s="389"/>
    </row>
    <row r="398" spans="2:23" ht="31.5" customHeight="1" x14ac:dyDescent="0.45">
      <c r="B398" s="388"/>
      <c r="K398" s="370"/>
      <c r="L398" s="372"/>
      <c r="M398" s="37"/>
      <c r="N398" s="370"/>
      <c r="O398" s="434"/>
      <c r="P398" s="380"/>
      <c r="Q398" s="389"/>
      <c r="U398" s="422"/>
    </row>
    <row r="399" spans="2:23" ht="31.5" customHeight="1" x14ac:dyDescent="0.45">
      <c r="B399" s="388"/>
      <c r="D399" s="368" t="s">
        <v>118</v>
      </c>
      <c r="K399" s="370"/>
      <c r="L399" s="372"/>
      <c r="M399" s="37"/>
      <c r="N399" s="370"/>
      <c r="O399" s="434">
        <f>SUM(O402:O404)</f>
        <v>0</v>
      </c>
      <c r="P399" s="380"/>
      <c r="Q399" s="389"/>
      <c r="R399" s="416" t="str">
        <f t="shared" ref="R399" si="9">IF(O399=0,"DELETE"," ")</f>
        <v>DELETE</v>
      </c>
      <c r="S399" s="421">
        <f>O399</f>
        <v>0</v>
      </c>
      <c r="T399" s="421"/>
      <c r="U399" s="421"/>
      <c r="V399" s="421"/>
    </row>
    <row r="400" spans="2:23" ht="9" customHeight="1" x14ac:dyDescent="0.45">
      <c r="B400" s="388"/>
      <c r="K400" s="370"/>
      <c r="L400" s="372"/>
      <c r="M400" s="37"/>
      <c r="N400" s="370"/>
      <c r="O400" s="434"/>
      <c r="P400" s="380"/>
      <c r="Q400" s="389"/>
      <c r="R400" s="416" t="str">
        <f>R399</f>
        <v>DELETE</v>
      </c>
    </row>
    <row r="401" spans="2:22" ht="9" customHeight="1" x14ac:dyDescent="0.45">
      <c r="B401" s="388"/>
      <c r="K401" s="370"/>
      <c r="L401" s="372"/>
      <c r="M401" s="37"/>
      <c r="N401" s="370"/>
      <c r="O401" s="455"/>
      <c r="P401" s="380"/>
      <c r="Q401" s="389"/>
      <c r="R401" s="416" t="str">
        <f>R399</f>
        <v>DELETE</v>
      </c>
    </row>
    <row r="402" spans="2:22" ht="31.5" customHeight="1" x14ac:dyDescent="0.45">
      <c r="B402" s="388"/>
      <c r="D402" s="368" t="str">
        <f>IF(COUNTIF(TrialBalance!L192:L206,"&lt;0")&gt;1,"Interest bearing borrowings","Interest bearing borrowing")</f>
        <v>Interest bearing borrowing</v>
      </c>
      <c r="K402" s="370">
        <f>B1298</f>
        <v>19</v>
      </c>
      <c r="L402" s="372"/>
      <c r="M402" s="37"/>
      <c r="N402" s="370"/>
      <c r="O402" s="456">
        <f>-SUM(TrialBalance!L192:L207)</f>
        <v>0</v>
      </c>
      <c r="P402" s="380"/>
      <c r="Q402" s="389"/>
      <c r="R402" s="416" t="str">
        <f t="shared" ref="R402:R403" si="10">IF(O402=0,"DELETE"," ")</f>
        <v>DELETE</v>
      </c>
      <c r="U402" s="417" t="b">
        <f>O402=O1320</f>
        <v>1</v>
      </c>
    </row>
    <row r="403" spans="2:22" ht="31.5" customHeight="1" x14ac:dyDescent="0.45">
      <c r="B403" s="388"/>
      <c r="D403" s="368" t="str">
        <f>IF(COUNTIF(TrialBalance!L209:L225,"&lt;0")&gt;1,"Interest free borrowings","Interest free borrowing")</f>
        <v>Interest free borrowing</v>
      </c>
      <c r="K403" s="370">
        <f>B1337</f>
        <v>20</v>
      </c>
      <c r="L403" s="372"/>
      <c r="M403" s="37"/>
      <c r="N403" s="370"/>
      <c r="O403" s="456">
        <f>-SUM(TrialBalance!L209:L225)</f>
        <v>0</v>
      </c>
      <c r="P403" s="380"/>
      <c r="Q403" s="389"/>
      <c r="R403" s="416" t="str">
        <f t="shared" si="10"/>
        <v>DELETE</v>
      </c>
      <c r="U403" s="417" t="b">
        <f>O403=O1357</f>
        <v>1</v>
      </c>
    </row>
    <row r="404" spans="2:22" ht="9" customHeight="1" x14ac:dyDescent="0.45">
      <c r="B404" s="388"/>
      <c r="K404" s="370"/>
      <c r="L404" s="372"/>
      <c r="M404" s="37"/>
      <c r="N404" s="370"/>
      <c r="O404" s="457"/>
      <c r="P404" s="380"/>
      <c r="Q404" s="389"/>
      <c r="R404" s="416" t="str">
        <f>R399</f>
        <v>DELETE</v>
      </c>
    </row>
    <row r="405" spans="2:22" ht="9" customHeight="1" x14ac:dyDescent="0.45">
      <c r="B405" s="388"/>
      <c r="K405" s="370"/>
      <c r="L405" s="372"/>
      <c r="M405" s="37"/>
      <c r="N405" s="370"/>
      <c r="O405" s="434"/>
      <c r="P405" s="380"/>
      <c r="Q405" s="389"/>
      <c r="R405" s="416" t="str">
        <f>R399</f>
        <v>DELETE</v>
      </c>
    </row>
    <row r="406" spans="2:22" ht="31.5" customHeight="1" x14ac:dyDescent="0.45">
      <c r="B406" s="388"/>
      <c r="K406" s="370"/>
      <c r="L406" s="372"/>
      <c r="M406" s="37"/>
      <c r="N406" s="370"/>
      <c r="O406" s="434"/>
      <c r="P406" s="380"/>
      <c r="Q406" s="389"/>
      <c r="R406" s="416" t="str">
        <f>R399</f>
        <v>DELETE</v>
      </c>
    </row>
    <row r="407" spans="2:22" ht="31.5" customHeight="1" x14ac:dyDescent="0.45">
      <c r="B407" s="388"/>
      <c r="D407" s="368" t="s">
        <v>119</v>
      </c>
      <c r="K407" s="370"/>
      <c r="L407" s="372"/>
      <c r="M407" s="37"/>
      <c r="N407" s="370"/>
      <c r="O407" s="434">
        <f>SUM(O410:O415)</f>
        <v>0</v>
      </c>
      <c r="P407" s="380"/>
      <c r="Q407" s="389"/>
      <c r="R407" s="416" t="str">
        <f t="shared" ref="R407" si="11">IF(O407=0,"DELETE"," ")</f>
        <v>DELETE</v>
      </c>
      <c r="S407" s="421">
        <f>O407</f>
        <v>0</v>
      </c>
      <c r="T407" s="421"/>
      <c r="U407" s="421"/>
      <c r="V407" s="421"/>
    </row>
    <row r="408" spans="2:22" ht="9" customHeight="1" x14ac:dyDescent="0.45">
      <c r="B408" s="388"/>
      <c r="K408" s="370"/>
      <c r="L408" s="372"/>
      <c r="M408" s="37"/>
      <c r="N408" s="370"/>
      <c r="O408" s="434"/>
      <c r="P408" s="380"/>
      <c r="Q408" s="389"/>
      <c r="R408" s="416" t="str">
        <f>R407</f>
        <v>DELETE</v>
      </c>
    </row>
    <row r="409" spans="2:22" ht="9" customHeight="1" x14ac:dyDescent="0.45">
      <c r="B409" s="388"/>
      <c r="K409" s="370"/>
      <c r="L409" s="372"/>
      <c r="M409" s="37"/>
      <c r="N409" s="370"/>
      <c r="O409" s="455"/>
      <c r="P409" s="380"/>
      <c r="Q409" s="389"/>
      <c r="R409" s="416" t="str">
        <f>R407</f>
        <v>DELETE</v>
      </c>
    </row>
    <row r="410" spans="2:22" ht="31.5" customHeight="1" x14ac:dyDescent="0.45">
      <c r="B410" s="388"/>
      <c r="D410" s="368" t="s">
        <v>740</v>
      </c>
      <c r="K410" s="370">
        <f>B1375</f>
        <v>21</v>
      </c>
      <c r="L410" s="372"/>
      <c r="M410" s="37"/>
      <c r="N410" s="370"/>
      <c r="O410" s="456">
        <f>-SUM(TrialBalance!L377:L382)-IF(TrialBalance!L395&lt;0,TrialBalance!L395,0)</f>
        <v>0</v>
      </c>
      <c r="P410" s="380"/>
      <c r="Q410" s="389"/>
      <c r="R410" s="416" t="str">
        <f t="shared" ref="R410:R415" si="12">IF(O410=0,"DELETE"," ")</f>
        <v>DELETE</v>
      </c>
      <c r="U410" s="417" t="b">
        <f>O410=O1384</f>
        <v>1</v>
      </c>
    </row>
    <row r="411" spans="2:22" ht="31.5" customHeight="1" x14ac:dyDescent="0.45">
      <c r="B411" s="388"/>
      <c r="D411" s="368" t="str">
        <f>IF(COUNTIF(TrialBalance!L365:L370,"&lt;0")&gt;1,"Bank overdrafts","Bank overdraft")</f>
        <v>Bank overdraft</v>
      </c>
      <c r="K411" s="370">
        <f>B1401</f>
        <v>22</v>
      </c>
      <c r="L411" s="372"/>
      <c r="M411" s="37"/>
      <c r="N411" s="370"/>
      <c r="O411" s="456">
        <f>IF(TrialBalance!L365&lt;0,-TrialBalance!L365,0)+IF(TrialBalance!L366&lt;0,-TrialBalance!L366,0)+IF(TrialBalance!L367&lt;0,-TrialBalance!L367,0)+IF(TrialBalance!L368&lt;0,-TrialBalance!L368,0)+IF(TrialBalance!L369&lt;0,-TrialBalance!L369,0)+IF(TrialBalance!L370&lt;0,-TrialBalance!L370,0)</f>
        <v>0</v>
      </c>
      <c r="P411" s="380"/>
      <c r="Q411" s="389"/>
      <c r="R411" s="416" t="str">
        <f t="shared" si="12"/>
        <v>DELETE</v>
      </c>
      <c r="U411" s="417" t="b">
        <f>O411=O1410</f>
        <v>1</v>
      </c>
    </row>
    <row r="412" spans="2:22" ht="31.5" customHeight="1" x14ac:dyDescent="0.45">
      <c r="B412" s="388"/>
      <c r="D412" s="368" t="str">
        <f>IF(COUNTIF(TrialBalance!L373:L375,"&lt;0")&gt;1,"Short term loans","Short term loan")</f>
        <v>Short term loan</v>
      </c>
      <c r="K412" s="370">
        <f>B1427</f>
        <v>23</v>
      </c>
      <c r="L412" s="372"/>
      <c r="M412" s="37"/>
      <c r="N412" s="370"/>
      <c r="O412" s="456">
        <f>-SUM(TrialBalance!L373:L375)</f>
        <v>0</v>
      </c>
      <c r="P412" s="380"/>
      <c r="Q412" s="389"/>
      <c r="R412" s="416" t="str">
        <f t="shared" si="12"/>
        <v>DELETE</v>
      </c>
      <c r="U412" s="417" t="b">
        <f>O412=O1433</f>
        <v>1</v>
      </c>
    </row>
    <row r="413" spans="2:22" ht="31.5" customHeight="1" x14ac:dyDescent="0.45">
      <c r="B413" s="388"/>
      <c r="D413" s="368" t="str">
        <f>IF(COUNTIF(TrialBalance!L192:L206,"&lt;0")&gt;1,"Current portion of interest bearing borrowings","Current portion of interest bearing borrowing")</f>
        <v>Current portion of interest bearing borrowing</v>
      </c>
      <c r="K413" s="370">
        <f>B1298</f>
        <v>19</v>
      </c>
      <c r="L413" s="372"/>
      <c r="M413" s="37"/>
      <c r="N413" s="370"/>
      <c r="O413" s="456">
        <f>-TrialBalance!L376</f>
        <v>0</v>
      </c>
      <c r="P413" s="380"/>
      <c r="Q413" s="389"/>
      <c r="R413" s="416" t="str">
        <f t="shared" si="12"/>
        <v>DELETE</v>
      </c>
      <c r="U413" s="417" t="b">
        <f>O413=O1317</f>
        <v>1</v>
      </c>
    </row>
    <row r="414" spans="2:22" ht="31.5" customHeight="1" x14ac:dyDescent="0.45">
      <c r="B414" s="388"/>
      <c r="D414" s="368" t="str">
        <f>IF(COUNTIF(TrialBalance!L391:L393,"&lt;0")&gt;1,"Provisions","Provision")</f>
        <v>Provision</v>
      </c>
      <c r="K414" s="370">
        <f>B1450</f>
        <v>24</v>
      </c>
      <c r="L414" s="372"/>
      <c r="M414" s="37"/>
      <c r="N414" s="370"/>
      <c r="O414" s="456">
        <f>-SUM(TrialBalance!L391:L393)</f>
        <v>0</v>
      </c>
      <c r="P414" s="380"/>
      <c r="Q414" s="389"/>
      <c r="R414" s="416" t="str">
        <f t="shared" si="12"/>
        <v>DELETE</v>
      </c>
      <c r="U414" s="417" t="b">
        <f>O414=O1456</f>
        <v>1</v>
      </c>
    </row>
    <row r="415" spans="2:22" ht="31.5" customHeight="1" x14ac:dyDescent="0.45">
      <c r="B415" s="388"/>
      <c r="D415" s="368" t="s">
        <v>523</v>
      </c>
      <c r="K415" s="370">
        <f>B1473</f>
        <v>25</v>
      </c>
      <c r="L415" s="372"/>
      <c r="M415" s="37"/>
      <c r="N415" s="370"/>
      <c r="O415" s="456">
        <f>IF(-SUM(TrialBalance!L384:L390)&gt;0,-SUM(TrialBalance!L384:L390),0)</f>
        <v>0</v>
      </c>
      <c r="P415" s="380"/>
      <c r="Q415" s="389"/>
      <c r="R415" s="416" t="str">
        <f t="shared" si="12"/>
        <v>DELETE</v>
      </c>
      <c r="U415" s="422" t="str">
        <f>IF(O415=0,"TRUE",O415=O1483)</f>
        <v>TRUE</v>
      </c>
    </row>
    <row r="416" spans="2:22" ht="9" customHeight="1" x14ac:dyDescent="0.45">
      <c r="B416" s="388"/>
      <c r="K416" s="370"/>
      <c r="L416" s="372"/>
      <c r="M416" s="37"/>
      <c r="N416" s="370"/>
      <c r="O416" s="457"/>
      <c r="P416" s="380"/>
      <c r="Q416" s="389"/>
      <c r="R416" s="416" t="str">
        <f>R407</f>
        <v>DELETE</v>
      </c>
    </row>
    <row r="417" spans="2:18" ht="9" customHeight="1" x14ac:dyDescent="0.45">
      <c r="B417" s="388"/>
      <c r="K417" s="370"/>
      <c r="L417" s="372"/>
      <c r="M417" s="37"/>
      <c r="N417" s="370"/>
      <c r="O417" s="434"/>
      <c r="P417" s="380"/>
      <c r="Q417" s="389"/>
      <c r="R417" s="416" t="str">
        <f>R407</f>
        <v>DELETE</v>
      </c>
    </row>
    <row r="418" spans="2:18" ht="31.5" customHeight="1" x14ac:dyDescent="0.45">
      <c r="B418" s="388"/>
      <c r="K418" s="370"/>
      <c r="L418" s="372"/>
      <c r="M418" s="37"/>
      <c r="N418" s="370"/>
      <c r="O418" s="434"/>
      <c r="P418" s="380"/>
      <c r="Q418" s="389"/>
      <c r="R418" s="416" t="str">
        <f>R407</f>
        <v>DELETE</v>
      </c>
    </row>
    <row r="419" spans="2:18" ht="9" customHeight="1" x14ac:dyDescent="0.45">
      <c r="B419" s="388"/>
      <c r="K419" s="370"/>
      <c r="L419" s="372"/>
      <c r="M419" s="37"/>
      <c r="N419" s="370"/>
      <c r="O419" s="438"/>
      <c r="P419" s="380"/>
      <c r="Q419" s="389"/>
    </row>
    <row r="420" spans="2:18" ht="9" customHeight="1" x14ac:dyDescent="0.45">
      <c r="B420" s="388"/>
      <c r="K420" s="370"/>
      <c r="L420" s="372"/>
      <c r="M420" s="37"/>
      <c r="N420" s="370"/>
      <c r="O420" s="434"/>
      <c r="P420" s="380"/>
      <c r="Q420" s="389"/>
    </row>
    <row r="421" spans="2:18" ht="31.5" customHeight="1" x14ac:dyDescent="0.45">
      <c r="B421" s="388"/>
      <c r="D421" s="368" t="s">
        <v>120</v>
      </c>
      <c r="J421" s="395"/>
      <c r="K421" s="370"/>
      <c r="L421" s="372"/>
      <c r="M421" s="37"/>
      <c r="N421" s="370"/>
      <c r="O421" s="434">
        <f>SUM(S389:S418)</f>
        <v>0</v>
      </c>
      <c r="P421" s="380"/>
      <c r="Q421" s="389"/>
      <c r="R421" s="424"/>
    </row>
    <row r="422" spans="2:18" ht="9" customHeight="1" thickBot="1" x14ac:dyDescent="0.5">
      <c r="B422" s="388"/>
      <c r="J422" s="395"/>
      <c r="K422" s="370"/>
      <c r="L422" s="372"/>
      <c r="M422" s="37"/>
      <c r="N422" s="370"/>
      <c r="O422" s="439"/>
      <c r="P422" s="380"/>
      <c r="Q422" s="389"/>
    </row>
    <row r="423" spans="2:18" ht="9" customHeight="1" thickTop="1" x14ac:dyDescent="0.45">
      <c r="B423" s="388"/>
      <c r="J423" s="395"/>
      <c r="K423" s="370"/>
      <c r="L423" s="372"/>
      <c r="M423" s="37"/>
      <c r="N423" s="370"/>
      <c r="O423" s="434"/>
      <c r="P423" s="380"/>
      <c r="Q423" s="389"/>
    </row>
    <row r="424" spans="2:18" ht="31.5" customHeight="1" x14ac:dyDescent="0.45">
      <c r="B424" s="388"/>
      <c r="J424" s="395"/>
      <c r="K424" s="370"/>
      <c r="L424" s="370"/>
      <c r="M424" s="434"/>
      <c r="N424" s="390"/>
      <c r="O424" s="434"/>
      <c r="P424" s="380"/>
      <c r="Q424" s="389"/>
    </row>
    <row r="425" spans="2:18" ht="31.5" customHeight="1" x14ac:dyDescent="0.45">
      <c r="B425" s="388"/>
      <c r="J425" s="395"/>
      <c r="K425" s="370"/>
      <c r="L425" s="370"/>
      <c r="M425" s="434"/>
      <c r="N425" s="390"/>
      <c r="O425" s="434"/>
      <c r="P425" s="380"/>
      <c r="Q425" s="389"/>
    </row>
    <row r="426" spans="2:18" ht="31.5" customHeight="1" x14ac:dyDescent="0.45">
      <c r="B426" s="388"/>
      <c r="J426" s="395"/>
      <c r="K426" s="370"/>
      <c r="L426" s="370"/>
      <c r="M426" s="434"/>
      <c r="N426" s="390"/>
      <c r="O426" s="434"/>
      <c r="P426" s="380"/>
      <c r="Q426" s="389"/>
    </row>
    <row r="427" spans="2:18" ht="31.5" customHeight="1" x14ac:dyDescent="0.45">
      <c r="B427" s="396"/>
      <c r="C427" s="383"/>
      <c r="D427" s="383"/>
      <c r="E427" s="383"/>
      <c r="F427" s="383"/>
      <c r="G427" s="383"/>
      <c r="H427" s="383"/>
      <c r="I427" s="383"/>
      <c r="J427" s="397"/>
      <c r="K427" s="383"/>
      <c r="L427" s="383"/>
      <c r="M427" s="474"/>
      <c r="N427" s="475"/>
      <c r="O427" s="474"/>
      <c r="P427" s="475"/>
      <c r="Q427" s="398"/>
    </row>
    <row r="428" spans="2:18" ht="31.5" customHeight="1" x14ac:dyDescent="0.45"/>
    <row r="429" spans="2:18" ht="31.5" customHeight="1" x14ac:dyDescent="0.45"/>
    <row r="430" spans="2:18" ht="31.5" customHeight="1" x14ac:dyDescent="0.45">
      <c r="D430" s="369" t="str">
        <f>Criteria!E9</f>
        <v>ABC TRUST</v>
      </c>
      <c r="O430" s="433" t="s">
        <v>105</v>
      </c>
      <c r="Q430" s="370">
        <f>MAX($Q$114:Q429)+1</f>
        <v>6</v>
      </c>
    </row>
    <row r="431" spans="2:18" ht="31.5" customHeight="1" x14ac:dyDescent="0.45">
      <c r="D431" s="369" t="str">
        <f>Criteria!E10</f>
        <v>T/A RENTAL PROPERTIES, SEAFRONT RESTAURANT AND SURF SHOP</v>
      </c>
      <c r="R431" s="416" t="str">
        <f>IF(D431=0,"DELETE"," ")</f>
        <v xml:space="preserve"> </v>
      </c>
    </row>
    <row r="432" spans="2:18" ht="31.5" customHeight="1" x14ac:dyDescent="0.45"/>
    <row r="433" spans="2:18" ht="31.5" customHeight="1" x14ac:dyDescent="0.45">
      <c r="D433" s="369" t="s">
        <v>383</v>
      </c>
    </row>
    <row r="434" spans="2:18" ht="31.5" customHeight="1" x14ac:dyDescent="0.45">
      <c r="D434" s="369" t="str">
        <f>Criteria!E20</f>
        <v>29 FEBRUARY 2024</v>
      </c>
    </row>
    <row r="435" spans="2:18" ht="31.5" customHeight="1" x14ac:dyDescent="0.45">
      <c r="D435" s="369"/>
    </row>
    <row r="436" spans="2:18" ht="31.5" customHeight="1" x14ac:dyDescent="0.45">
      <c r="B436" s="385"/>
      <c r="C436" s="386"/>
      <c r="D436" s="410"/>
      <c r="E436" s="386"/>
      <c r="F436" s="386"/>
      <c r="G436" s="386"/>
      <c r="H436" s="386"/>
      <c r="I436" s="386"/>
      <c r="J436" s="386"/>
      <c r="K436" s="386"/>
      <c r="L436" s="386"/>
      <c r="M436" s="480"/>
      <c r="N436" s="481"/>
      <c r="O436" s="480"/>
      <c r="P436" s="481"/>
      <c r="Q436" s="387"/>
    </row>
    <row r="437" spans="2:18" ht="31.5" customHeight="1" x14ac:dyDescent="0.45">
      <c r="B437" s="461"/>
      <c r="C437" s="369"/>
      <c r="L437" s="372"/>
      <c r="M437" s="37"/>
      <c r="N437" s="368"/>
      <c r="O437" s="430">
        <f>Criteria!E22</f>
        <v>2024</v>
      </c>
      <c r="P437" s="478"/>
      <c r="Q437" s="389"/>
    </row>
    <row r="438" spans="2:18" ht="31.5" customHeight="1" x14ac:dyDescent="0.45">
      <c r="B438" s="461"/>
      <c r="C438" s="369"/>
      <c r="L438" s="372"/>
      <c r="M438" s="37"/>
      <c r="N438" s="368"/>
      <c r="O438" s="441"/>
      <c r="P438" s="478"/>
      <c r="Q438" s="389"/>
    </row>
    <row r="439" spans="2:18" ht="31.5" customHeight="1" x14ac:dyDescent="0.45">
      <c r="B439" s="461">
        <f>MAX($B$429:B438)+1</f>
        <v>1</v>
      </c>
      <c r="C439" s="369" t="s">
        <v>270</v>
      </c>
      <c r="L439" s="372"/>
      <c r="M439" s="37"/>
      <c r="N439" s="368"/>
      <c r="O439" s="441"/>
      <c r="P439" s="478"/>
      <c r="Q439" s="389"/>
      <c r="R439" s="416" t="str">
        <f>R$474</f>
        <v>DELETE</v>
      </c>
    </row>
    <row r="440" spans="2:18" ht="31.5" customHeight="1" x14ac:dyDescent="0.45">
      <c r="B440" s="461"/>
      <c r="C440" s="369"/>
      <c r="D440" s="368">
        <f>TrialBalance!C144</f>
        <v>0</v>
      </c>
      <c r="L440" s="372"/>
      <c r="M440" s="37"/>
      <c r="N440" s="368"/>
      <c r="O440" s="441">
        <f>-TrialBalance!L144</f>
        <v>0</v>
      </c>
      <c r="P440" s="478"/>
      <c r="Q440" s="389"/>
      <c r="R440" s="416" t="str">
        <f>IF(O440=0,"DELETE"," ")</f>
        <v>DELETE</v>
      </c>
    </row>
    <row r="441" spans="2:18" ht="31.5" customHeight="1" x14ac:dyDescent="0.45">
      <c r="B441" s="461"/>
      <c r="C441" s="369"/>
      <c r="D441" s="368">
        <f>TrialBalance!C145</f>
        <v>0</v>
      </c>
      <c r="L441" s="372"/>
      <c r="M441" s="37"/>
      <c r="N441" s="368"/>
      <c r="O441" s="441">
        <f>-TrialBalance!L145</f>
        <v>0</v>
      </c>
      <c r="P441" s="478"/>
      <c r="Q441" s="389"/>
      <c r="R441" s="416" t="str">
        <f t="shared" ref="R441:R471" si="13">IF(O441=0,"DELETE"," ")</f>
        <v>DELETE</v>
      </c>
    </row>
    <row r="442" spans="2:18" ht="31.5" customHeight="1" x14ac:dyDescent="0.45">
      <c r="B442" s="461"/>
      <c r="C442" s="369"/>
      <c r="D442" s="368">
        <f>TrialBalance!C146</f>
        <v>0</v>
      </c>
      <c r="L442" s="372"/>
      <c r="M442" s="37"/>
      <c r="N442" s="368"/>
      <c r="O442" s="441">
        <f>-TrialBalance!L146</f>
        <v>0</v>
      </c>
      <c r="P442" s="478"/>
      <c r="Q442" s="389"/>
      <c r="R442" s="416" t="str">
        <f t="shared" si="13"/>
        <v>DELETE</v>
      </c>
    </row>
    <row r="443" spans="2:18" ht="31.5" customHeight="1" x14ac:dyDescent="0.45">
      <c r="B443" s="461"/>
      <c r="C443" s="369"/>
      <c r="D443" s="368">
        <f>TrialBalance!C147</f>
        <v>0</v>
      </c>
      <c r="L443" s="372"/>
      <c r="M443" s="37"/>
      <c r="N443" s="368"/>
      <c r="O443" s="441">
        <f>-TrialBalance!L147</f>
        <v>0</v>
      </c>
      <c r="P443" s="478"/>
      <c r="Q443" s="389"/>
      <c r="R443" s="416" t="str">
        <f t="shared" si="13"/>
        <v>DELETE</v>
      </c>
    </row>
    <row r="444" spans="2:18" ht="31.5" customHeight="1" x14ac:dyDescent="0.45">
      <c r="B444" s="461"/>
      <c r="C444" s="369"/>
      <c r="D444" s="368">
        <f>TrialBalance!C148</f>
        <v>0</v>
      </c>
      <c r="L444" s="372"/>
      <c r="M444" s="37"/>
      <c r="N444" s="368"/>
      <c r="O444" s="441">
        <f>-TrialBalance!L148</f>
        <v>0</v>
      </c>
      <c r="P444" s="478"/>
      <c r="Q444" s="389"/>
      <c r="R444" s="416" t="str">
        <f t="shared" si="13"/>
        <v>DELETE</v>
      </c>
    </row>
    <row r="445" spans="2:18" ht="31.5" customHeight="1" x14ac:dyDescent="0.45">
      <c r="B445" s="461"/>
      <c r="C445" s="369"/>
      <c r="D445" s="368">
        <f>TrialBalance!C149</f>
        <v>0</v>
      </c>
      <c r="L445" s="372"/>
      <c r="M445" s="37"/>
      <c r="N445" s="368"/>
      <c r="O445" s="441">
        <f>-TrialBalance!L149</f>
        <v>0</v>
      </c>
      <c r="P445" s="478"/>
      <c r="Q445" s="389"/>
      <c r="R445" s="416" t="str">
        <f t="shared" si="13"/>
        <v>DELETE</v>
      </c>
    </row>
    <row r="446" spans="2:18" ht="31.5" customHeight="1" x14ac:dyDescent="0.45">
      <c r="B446" s="461"/>
      <c r="C446" s="369"/>
      <c r="D446" s="368">
        <f>TrialBalance!C150</f>
        <v>0</v>
      </c>
      <c r="L446" s="372"/>
      <c r="M446" s="37"/>
      <c r="N446" s="368"/>
      <c r="O446" s="441">
        <f>-TrialBalance!L150</f>
        <v>0</v>
      </c>
      <c r="P446" s="478"/>
      <c r="Q446" s="389"/>
      <c r="R446" s="416" t="str">
        <f t="shared" si="13"/>
        <v>DELETE</v>
      </c>
    </row>
    <row r="447" spans="2:18" ht="31.5" customHeight="1" x14ac:dyDescent="0.45">
      <c r="B447" s="461"/>
      <c r="C447" s="369"/>
      <c r="D447" s="368">
        <f>TrialBalance!C151</f>
        <v>0</v>
      </c>
      <c r="L447" s="372"/>
      <c r="M447" s="37"/>
      <c r="N447" s="368"/>
      <c r="O447" s="441">
        <f>-TrialBalance!L151</f>
        <v>0</v>
      </c>
      <c r="P447" s="478"/>
      <c r="Q447" s="389"/>
      <c r="R447" s="416" t="str">
        <f t="shared" si="13"/>
        <v>DELETE</v>
      </c>
    </row>
    <row r="448" spans="2:18" ht="31.5" customHeight="1" x14ac:dyDescent="0.45">
      <c r="B448" s="461"/>
      <c r="C448" s="369"/>
      <c r="D448" s="368">
        <f>TrialBalanceA!C144</f>
        <v>0</v>
      </c>
      <c r="L448" s="372"/>
      <c r="M448" s="37"/>
      <c r="N448" s="368"/>
      <c r="O448" s="441">
        <f>-TrialBalanceA!I144</f>
        <v>0</v>
      </c>
      <c r="P448" s="478"/>
      <c r="Q448" s="389"/>
      <c r="R448" s="416" t="str">
        <f t="shared" si="13"/>
        <v>DELETE</v>
      </c>
    </row>
    <row r="449" spans="2:18" ht="31.5" customHeight="1" x14ac:dyDescent="0.45">
      <c r="B449" s="461"/>
      <c r="C449" s="369"/>
      <c r="D449" s="368">
        <f>TrialBalanceA!C145</f>
        <v>0</v>
      </c>
      <c r="L449" s="372"/>
      <c r="M449" s="37"/>
      <c r="N449" s="368"/>
      <c r="O449" s="441">
        <f>-TrialBalanceA!I145</f>
        <v>0</v>
      </c>
      <c r="P449" s="478"/>
      <c r="Q449" s="389"/>
      <c r="R449" s="416" t="str">
        <f t="shared" si="13"/>
        <v>DELETE</v>
      </c>
    </row>
    <row r="450" spans="2:18" ht="31.5" customHeight="1" x14ac:dyDescent="0.45">
      <c r="B450" s="461"/>
      <c r="C450" s="369"/>
      <c r="D450" s="368">
        <f>TrialBalanceA!C146</f>
        <v>0</v>
      </c>
      <c r="L450" s="372"/>
      <c r="M450" s="37"/>
      <c r="N450" s="368"/>
      <c r="O450" s="441">
        <f>-TrialBalanceA!I146</f>
        <v>0</v>
      </c>
      <c r="P450" s="478"/>
      <c r="Q450" s="389"/>
      <c r="R450" s="416" t="str">
        <f t="shared" si="13"/>
        <v>DELETE</v>
      </c>
    </row>
    <row r="451" spans="2:18" ht="31.5" customHeight="1" x14ac:dyDescent="0.45">
      <c r="B451" s="461"/>
      <c r="C451" s="369"/>
      <c r="D451" s="368">
        <f>TrialBalanceA!C147</f>
        <v>0</v>
      </c>
      <c r="L451" s="372"/>
      <c r="M451" s="37"/>
      <c r="N451" s="368"/>
      <c r="O451" s="441">
        <f>-TrialBalanceA!I147</f>
        <v>0</v>
      </c>
      <c r="P451" s="478"/>
      <c r="Q451" s="389"/>
      <c r="R451" s="416" t="str">
        <f t="shared" si="13"/>
        <v>DELETE</v>
      </c>
    </row>
    <row r="452" spans="2:18" ht="31.5" customHeight="1" x14ac:dyDescent="0.45">
      <c r="B452" s="461"/>
      <c r="C452" s="369"/>
      <c r="D452" s="368">
        <f>TrialBalanceA!C148</f>
        <v>0</v>
      </c>
      <c r="L452" s="372"/>
      <c r="M452" s="37"/>
      <c r="N452" s="368"/>
      <c r="O452" s="441">
        <f>-TrialBalanceA!I148</f>
        <v>0</v>
      </c>
      <c r="P452" s="478"/>
      <c r="Q452" s="389"/>
      <c r="R452" s="416" t="str">
        <f t="shared" si="13"/>
        <v>DELETE</v>
      </c>
    </row>
    <row r="453" spans="2:18" ht="31.5" customHeight="1" x14ac:dyDescent="0.45">
      <c r="B453" s="461"/>
      <c r="C453" s="369"/>
      <c r="D453" s="368">
        <f>TrialBalanceA!C149</f>
        <v>0</v>
      </c>
      <c r="L453" s="372"/>
      <c r="M453" s="37"/>
      <c r="N453" s="368"/>
      <c r="O453" s="441">
        <f>-TrialBalanceA!I149</f>
        <v>0</v>
      </c>
      <c r="P453" s="478"/>
      <c r="Q453" s="389"/>
      <c r="R453" s="416" t="str">
        <f t="shared" si="13"/>
        <v>DELETE</v>
      </c>
    </row>
    <row r="454" spans="2:18" ht="31.5" customHeight="1" x14ac:dyDescent="0.45">
      <c r="B454" s="461"/>
      <c r="C454" s="369"/>
      <c r="D454" s="368">
        <f>TrialBalanceA!C150</f>
        <v>0</v>
      </c>
      <c r="L454" s="372"/>
      <c r="M454" s="37"/>
      <c r="N454" s="368"/>
      <c r="O454" s="441">
        <f>-TrialBalanceA!I150</f>
        <v>0</v>
      </c>
      <c r="P454" s="478"/>
      <c r="Q454" s="389"/>
      <c r="R454" s="416" t="str">
        <f t="shared" si="13"/>
        <v>DELETE</v>
      </c>
    </row>
    <row r="455" spans="2:18" ht="31.5" customHeight="1" x14ac:dyDescent="0.45">
      <c r="B455" s="461"/>
      <c r="C455" s="369"/>
      <c r="D455" s="368">
        <f>TrialBalanceA!C151</f>
        <v>0</v>
      </c>
      <c r="L455" s="372"/>
      <c r="M455" s="37"/>
      <c r="N455" s="368"/>
      <c r="O455" s="441">
        <f>-TrialBalanceA!I151</f>
        <v>0</v>
      </c>
      <c r="P455" s="478"/>
      <c r="Q455" s="389"/>
      <c r="R455" s="416" t="str">
        <f t="shared" si="13"/>
        <v>DELETE</v>
      </c>
    </row>
    <row r="456" spans="2:18" ht="31.5" customHeight="1" x14ac:dyDescent="0.45">
      <c r="B456" s="461"/>
      <c r="C456" s="369"/>
      <c r="D456" s="368">
        <f>TrialBalanceB!C144</f>
        <v>0</v>
      </c>
      <c r="L456" s="372"/>
      <c r="M456" s="37"/>
      <c r="N456" s="368"/>
      <c r="O456" s="441">
        <f>-TrialBalanceB!I144</f>
        <v>0</v>
      </c>
      <c r="P456" s="478"/>
      <c r="Q456" s="389"/>
      <c r="R456" s="416" t="str">
        <f t="shared" si="13"/>
        <v>DELETE</v>
      </c>
    </row>
    <row r="457" spans="2:18" ht="31.5" customHeight="1" x14ac:dyDescent="0.45">
      <c r="B457" s="461"/>
      <c r="C457" s="369"/>
      <c r="D457" s="368">
        <f>TrialBalanceB!C145</f>
        <v>0</v>
      </c>
      <c r="L457" s="372"/>
      <c r="M457" s="37"/>
      <c r="N457" s="368"/>
      <c r="O457" s="441">
        <f>-TrialBalanceB!I145</f>
        <v>0</v>
      </c>
      <c r="P457" s="478"/>
      <c r="Q457" s="389"/>
      <c r="R457" s="416" t="str">
        <f t="shared" si="13"/>
        <v>DELETE</v>
      </c>
    </row>
    <row r="458" spans="2:18" ht="31.5" customHeight="1" x14ac:dyDescent="0.45">
      <c r="B458" s="461"/>
      <c r="C458" s="369"/>
      <c r="D458" s="368">
        <f>TrialBalanceB!C146</f>
        <v>0</v>
      </c>
      <c r="L458" s="372"/>
      <c r="M458" s="37"/>
      <c r="N458" s="368"/>
      <c r="O458" s="441">
        <f>-TrialBalanceB!I146</f>
        <v>0</v>
      </c>
      <c r="P458" s="478"/>
      <c r="Q458" s="389"/>
      <c r="R458" s="416" t="str">
        <f t="shared" si="13"/>
        <v>DELETE</v>
      </c>
    </row>
    <row r="459" spans="2:18" ht="31.5" customHeight="1" x14ac:dyDescent="0.45">
      <c r="B459" s="461"/>
      <c r="C459" s="369"/>
      <c r="D459" s="368">
        <f>TrialBalanceB!C147</f>
        <v>0</v>
      </c>
      <c r="L459" s="372"/>
      <c r="M459" s="37"/>
      <c r="N459" s="368"/>
      <c r="O459" s="441">
        <f>-TrialBalanceB!I147</f>
        <v>0</v>
      </c>
      <c r="P459" s="478"/>
      <c r="Q459" s="389"/>
      <c r="R459" s="416" t="str">
        <f t="shared" si="13"/>
        <v>DELETE</v>
      </c>
    </row>
    <row r="460" spans="2:18" ht="31.5" customHeight="1" x14ac:dyDescent="0.45">
      <c r="B460" s="461"/>
      <c r="C460" s="369"/>
      <c r="D460" s="368">
        <f>TrialBalanceB!C148</f>
        <v>0</v>
      </c>
      <c r="L460" s="372"/>
      <c r="M460" s="37"/>
      <c r="N460" s="368"/>
      <c r="O460" s="441">
        <f>-TrialBalanceB!I148</f>
        <v>0</v>
      </c>
      <c r="P460" s="478"/>
      <c r="Q460" s="389"/>
      <c r="R460" s="416" t="str">
        <f t="shared" si="13"/>
        <v>DELETE</v>
      </c>
    </row>
    <row r="461" spans="2:18" ht="31.5" customHeight="1" x14ac:dyDescent="0.45">
      <c r="B461" s="461"/>
      <c r="C461" s="369"/>
      <c r="D461" s="368">
        <f>TrialBalanceB!C149</f>
        <v>0</v>
      </c>
      <c r="L461" s="372"/>
      <c r="M461" s="37"/>
      <c r="N461" s="368"/>
      <c r="O461" s="441">
        <f>-TrialBalanceB!I149</f>
        <v>0</v>
      </c>
      <c r="P461" s="478"/>
      <c r="Q461" s="389"/>
      <c r="R461" s="416" t="str">
        <f t="shared" si="13"/>
        <v>DELETE</v>
      </c>
    </row>
    <row r="462" spans="2:18" ht="31.5" customHeight="1" x14ac:dyDescent="0.45">
      <c r="B462" s="461"/>
      <c r="C462" s="369"/>
      <c r="D462" s="368">
        <f>TrialBalanceB!C150</f>
        <v>0</v>
      </c>
      <c r="L462" s="372"/>
      <c r="M462" s="37"/>
      <c r="N462" s="368"/>
      <c r="O462" s="441">
        <f>-TrialBalanceB!I150</f>
        <v>0</v>
      </c>
      <c r="P462" s="478"/>
      <c r="Q462" s="389"/>
      <c r="R462" s="416" t="str">
        <f t="shared" si="13"/>
        <v>DELETE</v>
      </c>
    </row>
    <row r="463" spans="2:18" ht="31.5" customHeight="1" x14ac:dyDescent="0.45">
      <c r="B463" s="461"/>
      <c r="C463" s="369"/>
      <c r="D463" s="368">
        <f>TrialBalanceB!C151</f>
        <v>0</v>
      </c>
      <c r="L463" s="372"/>
      <c r="M463" s="37"/>
      <c r="N463" s="368"/>
      <c r="O463" s="441">
        <f>-TrialBalanceB!I151</f>
        <v>0</v>
      </c>
      <c r="P463" s="478"/>
      <c r="Q463" s="389"/>
      <c r="R463" s="416" t="str">
        <f t="shared" si="13"/>
        <v>DELETE</v>
      </c>
    </row>
    <row r="464" spans="2:18" ht="31.5" customHeight="1" x14ac:dyDescent="0.45">
      <c r="B464" s="461"/>
      <c r="C464" s="369"/>
      <c r="D464" s="368">
        <f>TrialBalanceC!C144</f>
        <v>0</v>
      </c>
      <c r="L464" s="372"/>
      <c r="M464" s="37"/>
      <c r="N464" s="368"/>
      <c r="O464" s="441">
        <f>-TrialBalanceC!I144</f>
        <v>0</v>
      </c>
      <c r="P464" s="478"/>
      <c r="Q464" s="389"/>
      <c r="R464" s="416" t="str">
        <f t="shared" si="13"/>
        <v>DELETE</v>
      </c>
    </row>
    <row r="465" spans="2:18" ht="31.5" customHeight="1" x14ac:dyDescent="0.45">
      <c r="B465" s="461"/>
      <c r="C465" s="369"/>
      <c r="D465" s="368">
        <f>TrialBalanceC!C145</f>
        <v>0</v>
      </c>
      <c r="L465" s="372"/>
      <c r="M465" s="37"/>
      <c r="N465" s="368"/>
      <c r="O465" s="441">
        <f>-TrialBalanceC!I145</f>
        <v>0</v>
      </c>
      <c r="P465" s="478"/>
      <c r="Q465" s="389"/>
      <c r="R465" s="416" t="str">
        <f t="shared" si="13"/>
        <v>DELETE</v>
      </c>
    </row>
    <row r="466" spans="2:18" ht="31.5" customHeight="1" x14ac:dyDescent="0.45">
      <c r="B466" s="461"/>
      <c r="C466" s="369"/>
      <c r="D466" s="368">
        <f>TrialBalanceC!C146</f>
        <v>0</v>
      </c>
      <c r="L466" s="372"/>
      <c r="M466" s="37"/>
      <c r="N466" s="368"/>
      <c r="O466" s="441">
        <f>-TrialBalanceC!I146</f>
        <v>0</v>
      </c>
      <c r="P466" s="478"/>
      <c r="Q466" s="389"/>
      <c r="R466" s="416" t="str">
        <f t="shared" si="13"/>
        <v>DELETE</v>
      </c>
    </row>
    <row r="467" spans="2:18" ht="31.5" customHeight="1" x14ac:dyDescent="0.45">
      <c r="B467" s="461"/>
      <c r="C467" s="369"/>
      <c r="D467" s="368">
        <f>TrialBalanceC!C147</f>
        <v>0</v>
      </c>
      <c r="L467" s="372"/>
      <c r="M467" s="37"/>
      <c r="N467" s="368"/>
      <c r="O467" s="441">
        <f>-TrialBalanceC!I147</f>
        <v>0</v>
      </c>
      <c r="P467" s="478"/>
      <c r="Q467" s="389"/>
      <c r="R467" s="416" t="str">
        <f t="shared" si="13"/>
        <v>DELETE</v>
      </c>
    </row>
    <row r="468" spans="2:18" ht="31.5" customHeight="1" x14ac:dyDescent="0.45">
      <c r="B468" s="461"/>
      <c r="C468" s="369"/>
      <c r="D468" s="368">
        <f>TrialBalanceC!C148</f>
        <v>0</v>
      </c>
      <c r="L468" s="372"/>
      <c r="M468" s="37"/>
      <c r="N468" s="368"/>
      <c r="O468" s="441">
        <f>-TrialBalanceC!I148</f>
        <v>0</v>
      </c>
      <c r="P468" s="478"/>
      <c r="Q468" s="389"/>
      <c r="R468" s="416" t="str">
        <f t="shared" si="13"/>
        <v>DELETE</v>
      </c>
    </row>
    <row r="469" spans="2:18" ht="31.5" customHeight="1" x14ac:dyDescent="0.45">
      <c r="B469" s="461"/>
      <c r="C469" s="369"/>
      <c r="D469" s="368">
        <f>TrialBalanceC!C149</f>
        <v>0</v>
      </c>
      <c r="L469" s="372"/>
      <c r="M469" s="37"/>
      <c r="N469" s="368"/>
      <c r="O469" s="441">
        <f>-TrialBalanceC!I149</f>
        <v>0</v>
      </c>
      <c r="P469" s="478"/>
      <c r="Q469" s="389"/>
      <c r="R469" s="416" t="str">
        <f t="shared" si="13"/>
        <v>DELETE</v>
      </c>
    </row>
    <row r="470" spans="2:18" ht="31.5" customHeight="1" x14ac:dyDescent="0.45">
      <c r="B470" s="461"/>
      <c r="C470" s="369"/>
      <c r="D470" s="368">
        <f>TrialBalanceC!C150</f>
        <v>0</v>
      </c>
      <c r="L470" s="372"/>
      <c r="M470" s="37"/>
      <c r="N470" s="368"/>
      <c r="O470" s="441">
        <f>-TrialBalanceC!I150</f>
        <v>0</v>
      </c>
      <c r="P470" s="478"/>
      <c r="Q470" s="389"/>
      <c r="R470" s="416" t="str">
        <f t="shared" si="13"/>
        <v>DELETE</v>
      </c>
    </row>
    <row r="471" spans="2:18" ht="31.5" customHeight="1" x14ac:dyDescent="0.45">
      <c r="B471" s="461"/>
      <c r="C471" s="369"/>
      <c r="D471" s="368">
        <f>TrialBalanceC!C151</f>
        <v>0</v>
      </c>
      <c r="L471" s="372"/>
      <c r="M471" s="37"/>
      <c r="N471" s="368"/>
      <c r="O471" s="441">
        <f>-TrialBalanceC!I151</f>
        <v>0</v>
      </c>
      <c r="P471" s="478"/>
      <c r="Q471" s="389"/>
      <c r="R471" s="416" t="str">
        <f t="shared" si="13"/>
        <v>DELETE</v>
      </c>
    </row>
    <row r="472" spans="2:18" ht="9" customHeight="1" x14ac:dyDescent="0.45">
      <c r="B472" s="461"/>
      <c r="C472" s="369"/>
      <c r="L472" s="372"/>
      <c r="M472" s="37"/>
      <c r="N472" s="368"/>
      <c r="O472" s="438"/>
      <c r="P472" s="478"/>
      <c r="Q472" s="389"/>
      <c r="R472" s="416" t="str">
        <f>R474</f>
        <v>DELETE</v>
      </c>
    </row>
    <row r="473" spans="2:18" ht="9" customHeight="1" x14ac:dyDescent="0.45">
      <c r="B473" s="461"/>
      <c r="C473" s="369"/>
      <c r="L473" s="372"/>
      <c r="M473" s="37"/>
      <c r="N473" s="368"/>
      <c r="O473" s="441"/>
      <c r="P473" s="478"/>
      <c r="Q473" s="389"/>
      <c r="R473" s="416" t="str">
        <f>R474</f>
        <v>DELETE</v>
      </c>
    </row>
    <row r="474" spans="2:18" ht="31.5" customHeight="1" x14ac:dyDescent="0.45">
      <c r="B474" s="461"/>
      <c r="C474" s="369"/>
      <c r="L474" s="372"/>
      <c r="M474" s="37"/>
      <c r="N474" s="368"/>
      <c r="O474" s="441">
        <f>SUM(O440:O472)</f>
        <v>0</v>
      </c>
      <c r="P474" s="478"/>
      <c r="Q474" s="389"/>
      <c r="R474" s="416" t="str">
        <f t="shared" ref="R474" si="14">IF(O474=0,"DELETE"," ")</f>
        <v>DELETE</v>
      </c>
    </row>
    <row r="475" spans="2:18" ht="9" customHeight="1" thickBot="1" x14ac:dyDescent="0.5">
      <c r="B475" s="461"/>
      <c r="C475" s="369"/>
      <c r="L475" s="372"/>
      <c r="M475" s="37"/>
      <c r="N475" s="368"/>
      <c r="O475" s="439"/>
      <c r="P475" s="478"/>
      <c r="Q475" s="389"/>
      <c r="R475" s="416" t="str">
        <f>R474</f>
        <v>DELETE</v>
      </c>
    </row>
    <row r="476" spans="2:18" ht="9" customHeight="1" thickTop="1" x14ac:dyDescent="0.45">
      <c r="B476" s="461"/>
      <c r="C476" s="369"/>
      <c r="L476" s="372"/>
      <c r="M476" s="37"/>
      <c r="N476" s="368"/>
      <c r="O476" s="441"/>
      <c r="P476" s="478"/>
      <c r="Q476" s="389"/>
      <c r="R476" s="416" t="str">
        <f>R474</f>
        <v>DELETE</v>
      </c>
    </row>
    <row r="477" spans="2:18" ht="31.5" customHeight="1" x14ac:dyDescent="0.45">
      <c r="B477" s="461"/>
      <c r="C477" s="369"/>
      <c r="L477" s="372"/>
      <c r="M477" s="37"/>
      <c r="N477" s="368"/>
      <c r="O477" s="441"/>
      <c r="P477" s="478"/>
      <c r="Q477" s="389"/>
      <c r="R477" s="416" t="str">
        <f>R$474</f>
        <v>DELETE</v>
      </c>
    </row>
    <row r="478" spans="2:18" ht="31.5" customHeight="1" x14ac:dyDescent="0.45">
      <c r="B478" s="461">
        <f>MAX($B$429:B477)+1</f>
        <v>2</v>
      </c>
      <c r="C478" s="369" t="s">
        <v>268</v>
      </c>
      <c r="L478" s="372"/>
      <c r="M478" s="37"/>
      <c r="N478" s="368"/>
      <c r="O478" s="441"/>
      <c r="P478" s="478"/>
      <c r="Q478" s="389"/>
      <c r="R478" s="416" t="str">
        <f>R$483</f>
        <v>DELETE</v>
      </c>
    </row>
    <row r="479" spans="2:18" ht="31.5" customHeight="1" x14ac:dyDescent="0.45">
      <c r="B479" s="461"/>
      <c r="C479" s="369"/>
      <c r="D479" s="368" t="s">
        <v>269</v>
      </c>
      <c r="L479" s="372"/>
      <c r="M479" s="37"/>
      <c r="N479" s="368"/>
      <c r="O479" s="441">
        <f>-TrialBalance!L153-TrialBalanceA!I153-TrialBalanceB!I153-TrialBalanceC!I153</f>
        <v>0</v>
      </c>
      <c r="P479" s="478"/>
      <c r="Q479" s="389"/>
      <c r="R479" s="416" t="str">
        <f>IF(O479=0,"DELETE"," ")</f>
        <v>DELETE</v>
      </c>
    </row>
    <row r="480" spans="2:18" ht="31.5" customHeight="1" x14ac:dyDescent="0.45">
      <c r="B480" s="461"/>
      <c r="C480" s="369"/>
      <c r="D480" s="368" t="s">
        <v>543</v>
      </c>
      <c r="L480" s="372"/>
      <c r="M480" s="37"/>
      <c r="N480" s="368"/>
      <c r="O480" s="441">
        <f>-TrialBalance!L154-TrialBalanceA!I154-TrialBalanceB!I154-TrialBalanceC!I154</f>
        <v>0</v>
      </c>
      <c r="P480" s="478"/>
      <c r="Q480" s="389"/>
      <c r="R480" s="416" t="str">
        <f>IF(O480=0,"DELETE"," ")</f>
        <v>DELETE</v>
      </c>
    </row>
    <row r="481" spans="2:18" ht="9" customHeight="1" x14ac:dyDescent="0.45">
      <c r="B481" s="461"/>
      <c r="C481" s="369"/>
      <c r="L481" s="372"/>
      <c r="M481" s="37"/>
      <c r="N481" s="368"/>
      <c r="O481" s="438"/>
      <c r="P481" s="478"/>
      <c r="Q481" s="389"/>
      <c r="R481" s="416" t="str">
        <f>R483</f>
        <v>DELETE</v>
      </c>
    </row>
    <row r="482" spans="2:18" ht="9" customHeight="1" x14ac:dyDescent="0.45">
      <c r="B482" s="461"/>
      <c r="C482" s="369"/>
      <c r="L482" s="372"/>
      <c r="M482" s="37"/>
      <c r="N482" s="368"/>
      <c r="O482" s="441"/>
      <c r="P482" s="478"/>
      <c r="Q482" s="389"/>
      <c r="R482" s="416" t="str">
        <f>R483</f>
        <v>DELETE</v>
      </c>
    </row>
    <row r="483" spans="2:18" ht="31.5" customHeight="1" x14ac:dyDescent="0.45">
      <c r="B483" s="461"/>
      <c r="C483" s="369"/>
      <c r="L483" s="372"/>
      <c r="M483" s="37"/>
      <c r="N483" s="368"/>
      <c r="O483" s="441">
        <f>SUM(O479:O481)</f>
        <v>0</v>
      </c>
      <c r="P483" s="478"/>
      <c r="Q483" s="389"/>
      <c r="R483" s="416" t="str">
        <f>IF(O483=0,"DELETE"," ")</f>
        <v>DELETE</v>
      </c>
    </row>
    <row r="484" spans="2:18" ht="9" customHeight="1" thickBot="1" x14ac:dyDescent="0.5">
      <c r="B484" s="461"/>
      <c r="C484" s="369"/>
      <c r="L484" s="372"/>
      <c r="M484" s="37"/>
      <c r="N484" s="368"/>
      <c r="O484" s="439"/>
      <c r="P484" s="478"/>
      <c r="Q484" s="389"/>
      <c r="R484" s="416" t="str">
        <f>R483</f>
        <v>DELETE</v>
      </c>
    </row>
    <row r="485" spans="2:18" ht="9" customHeight="1" thickTop="1" x14ac:dyDescent="0.45">
      <c r="B485" s="461"/>
      <c r="C485" s="369"/>
      <c r="L485" s="372"/>
      <c r="M485" s="37"/>
      <c r="N485" s="368"/>
      <c r="O485" s="441"/>
      <c r="P485" s="478"/>
      <c r="Q485" s="389"/>
      <c r="R485" s="416" t="str">
        <f>R483</f>
        <v>DELETE</v>
      </c>
    </row>
    <row r="486" spans="2:18" ht="31.5" customHeight="1" x14ac:dyDescent="0.45">
      <c r="B486" s="461"/>
      <c r="C486" s="369"/>
      <c r="M486" s="441"/>
      <c r="N486" s="400"/>
      <c r="O486" s="441"/>
      <c r="P486" s="478"/>
      <c r="Q486" s="389"/>
      <c r="R486" s="416" t="str">
        <f>R$483</f>
        <v>DELETE</v>
      </c>
    </row>
    <row r="487" spans="2:18" ht="31.5" customHeight="1" x14ac:dyDescent="0.45">
      <c r="B487" s="388"/>
      <c r="D487" s="369"/>
      <c r="M487" s="477"/>
      <c r="N487" s="478"/>
      <c r="O487" s="477"/>
      <c r="P487" s="478"/>
      <c r="Q487" s="389"/>
    </row>
    <row r="488" spans="2:18" ht="31.5" customHeight="1" x14ac:dyDescent="0.45">
      <c r="B488" s="396"/>
      <c r="C488" s="383"/>
      <c r="D488" s="407"/>
      <c r="E488" s="383"/>
      <c r="F488" s="383"/>
      <c r="G488" s="383"/>
      <c r="H488" s="383"/>
      <c r="I488" s="383"/>
      <c r="J488" s="383"/>
      <c r="K488" s="383"/>
      <c r="L488" s="383"/>
      <c r="M488" s="474"/>
      <c r="N488" s="475"/>
      <c r="O488" s="474"/>
      <c r="P488" s="475"/>
      <c r="Q488" s="398"/>
    </row>
    <row r="489" spans="2:18" ht="31.5" customHeight="1" x14ac:dyDescent="0.45">
      <c r="D489" s="369"/>
    </row>
    <row r="490" spans="2:18" ht="31.5" customHeight="1" x14ac:dyDescent="0.45">
      <c r="B490" s="445"/>
      <c r="C490" s="369"/>
      <c r="M490" s="434"/>
      <c r="N490" s="390"/>
      <c r="O490" s="434"/>
      <c r="R490" s="416" t="str">
        <f>R$543</f>
        <v>DELETE</v>
      </c>
    </row>
    <row r="491" spans="2:18" ht="31.5" customHeight="1" x14ac:dyDescent="0.45">
      <c r="B491" s="445"/>
      <c r="C491" s="369"/>
      <c r="D491" s="369" t="str">
        <f>Criteria!E9</f>
        <v>ABC TRUST</v>
      </c>
      <c r="M491" s="479"/>
      <c r="N491" s="469"/>
      <c r="O491" s="434" t="s">
        <v>105</v>
      </c>
      <c r="Q491" s="370">
        <f>MAX($Q$114:Q490)+1</f>
        <v>7</v>
      </c>
      <c r="R491" s="416" t="str">
        <f>R$543</f>
        <v>DELETE</v>
      </c>
    </row>
    <row r="492" spans="2:18" ht="31.5" customHeight="1" x14ac:dyDescent="0.45">
      <c r="B492" s="445"/>
      <c r="C492" s="369"/>
      <c r="D492" s="369" t="str">
        <f>Criteria!E10</f>
        <v>T/A RENTAL PROPERTIES, SEAFRONT RESTAURANT AND SURF SHOP</v>
      </c>
      <c r="M492" s="479"/>
      <c r="N492" s="469"/>
      <c r="O492" s="479"/>
      <c r="R492" s="416" t="str">
        <f>IF(R$543="DELETE","DELETE",IF(D492=0,"DELETE"," "))</f>
        <v>DELETE</v>
      </c>
    </row>
    <row r="493" spans="2:18" ht="31.5" customHeight="1" x14ac:dyDescent="0.45">
      <c r="B493" s="445"/>
      <c r="C493" s="369"/>
      <c r="M493" s="479"/>
      <c r="N493" s="469"/>
      <c r="O493" s="479"/>
      <c r="R493" s="416" t="str">
        <f t="shared" ref="R493:R500" si="15">R$543</f>
        <v>DELETE</v>
      </c>
    </row>
    <row r="494" spans="2:18" ht="31.5" customHeight="1" x14ac:dyDescent="0.45">
      <c r="B494" s="445"/>
      <c r="C494" s="369"/>
      <c r="D494" s="369" t="s">
        <v>383</v>
      </c>
      <c r="M494" s="479"/>
      <c r="N494" s="469"/>
      <c r="O494" s="479"/>
      <c r="R494" s="416" t="str">
        <f t="shared" si="15"/>
        <v>DELETE</v>
      </c>
    </row>
    <row r="495" spans="2:18" ht="31.5" customHeight="1" x14ac:dyDescent="0.45">
      <c r="B495" s="445"/>
      <c r="C495" s="369"/>
      <c r="D495" s="369" t="str">
        <f>Criteria!E20</f>
        <v>29 FEBRUARY 2024</v>
      </c>
      <c r="J495" s="368" t="s">
        <v>253</v>
      </c>
      <c r="M495" s="479"/>
      <c r="N495" s="469"/>
      <c r="O495" s="479"/>
      <c r="R495" s="416" t="str">
        <f t="shared" si="15"/>
        <v>DELETE</v>
      </c>
    </row>
    <row r="496" spans="2:18" ht="31.5" customHeight="1" x14ac:dyDescent="0.45">
      <c r="B496" s="445"/>
      <c r="C496" s="369"/>
      <c r="M496" s="434"/>
      <c r="N496" s="390"/>
      <c r="O496" s="434"/>
      <c r="R496" s="416" t="str">
        <f t="shared" si="15"/>
        <v>DELETE</v>
      </c>
    </row>
    <row r="497" spans="2:18" ht="31.5" customHeight="1" x14ac:dyDescent="0.45">
      <c r="B497" s="465"/>
      <c r="C497" s="410"/>
      <c r="D497" s="386"/>
      <c r="E497" s="386"/>
      <c r="F497" s="386"/>
      <c r="G497" s="386"/>
      <c r="H497" s="386"/>
      <c r="I497" s="386"/>
      <c r="J497" s="386"/>
      <c r="K497" s="386"/>
      <c r="L497" s="386"/>
      <c r="M497" s="446"/>
      <c r="N497" s="391"/>
      <c r="O497" s="446"/>
      <c r="P497" s="481"/>
      <c r="Q497" s="387"/>
      <c r="R497" s="416" t="str">
        <f t="shared" si="15"/>
        <v>DELETE</v>
      </c>
    </row>
    <row r="498" spans="2:18" ht="31.5" customHeight="1" x14ac:dyDescent="0.45">
      <c r="B498" s="461"/>
      <c r="C498" s="369"/>
      <c r="L498" s="372"/>
      <c r="M498" s="37"/>
      <c r="N498" s="368"/>
      <c r="O498" s="430">
        <f>Criteria!E22</f>
        <v>2024</v>
      </c>
      <c r="P498" s="478"/>
      <c r="Q498" s="389"/>
      <c r="R498" s="416" t="str">
        <f t="shared" si="15"/>
        <v>DELETE</v>
      </c>
    </row>
    <row r="499" spans="2:18" ht="31.5" customHeight="1" x14ac:dyDescent="0.45">
      <c r="B499" s="461"/>
      <c r="C499" s="369"/>
      <c r="L499" s="372"/>
      <c r="M499" s="37"/>
      <c r="N499" s="368"/>
      <c r="O499" s="441"/>
      <c r="P499" s="478"/>
      <c r="Q499" s="389"/>
      <c r="R499" s="416" t="str">
        <f t="shared" si="15"/>
        <v>DELETE</v>
      </c>
    </row>
    <row r="500" spans="2:18" ht="31.5" customHeight="1" x14ac:dyDescent="0.45">
      <c r="B500" s="461">
        <f>MAX($B$429:B499)+1</f>
        <v>3</v>
      </c>
      <c r="C500" s="369" t="s">
        <v>122</v>
      </c>
      <c r="L500" s="372"/>
      <c r="M500" s="37"/>
      <c r="N500" s="368"/>
      <c r="O500" s="441"/>
      <c r="P500" s="478"/>
      <c r="Q500" s="389"/>
      <c r="R500" s="416" t="str">
        <f t="shared" si="15"/>
        <v>DELETE</v>
      </c>
    </row>
    <row r="501" spans="2:18" ht="31.5" customHeight="1" x14ac:dyDescent="0.45">
      <c r="B501" s="461"/>
      <c r="C501" s="369"/>
      <c r="D501" s="368">
        <f>TrialBalance!C156</f>
        <v>0</v>
      </c>
      <c r="L501" s="372"/>
      <c r="M501" s="37"/>
      <c r="N501" s="368"/>
      <c r="O501" s="441">
        <f>-TrialBalance!L156</f>
        <v>0</v>
      </c>
      <c r="P501" s="478"/>
      <c r="Q501" s="389"/>
      <c r="R501" s="416" t="str">
        <f>IF(O501=0,"DELETE"," ")</f>
        <v>DELETE</v>
      </c>
    </row>
    <row r="502" spans="2:18" ht="31.5" customHeight="1" x14ac:dyDescent="0.45">
      <c r="B502" s="461"/>
      <c r="C502" s="369"/>
      <c r="D502" s="368">
        <f>TrialBalance!C157</f>
        <v>0</v>
      </c>
      <c r="L502" s="372"/>
      <c r="M502" s="37"/>
      <c r="N502" s="368"/>
      <c r="O502" s="441">
        <f>-TrialBalance!L157</f>
        <v>0</v>
      </c>
      <c r="P502" s="478"/>
      <c r="Q502" s="389"/>
      <c r="R502" s="416" t="str">
        <f t="shared" ref="R502:R540" si="16">IF(O502=0,"DELETE"," ")</f>
        <v>DELETE</v>
      </c>
    </row>
    <row r="503" spans="2:18" ht="31.5" customHeight="1" x14ac:dyDescent="0.45">
      <c r="B503" s="461"/>
      <c r="C503" s="369"/>
      <c r="D503" s="368">
        <f>TrialBalance!C158</f>
        <v>0</v>
      </c>
      <c r="L503" s="372"/>
      <c r="M503" s="37"/>
      <c r="N503" s="368"/>
      <c r="O503" s="441">
        <f>-TrialBalance!L158</f>
        <v>0</v>
      </c>
      <c r="P503" s="478"/>
      <c r="Q503" s="389"/>
      <c r="R503" s="416" t="str">
        <f t="shared" si="16"/>
        <v>DELETE</v>
      </c>
    </row>
    <row r="504" spans="2:18" ht="31.5" customHeight="1" x14ac:dyDescent="0.45">
      <c r="B504" s="461"/>
      <c r="C504" s="369"/>
      <c r="D504" s="368">
        <f>TrialBalance!C159</f>
        <v>0</v>
      </c>
      <c r="L504" s="372"/>
      <c r="M504" s="37"/>
      <c r="N504" s="368"/>
      <c r="O504" s="441">
        <f>-TrialBalance!L159</f>
        <v>0</v>
      </c>
      <c r="P504" s="478"/>
      <c r="Q504" s="389"/>
      <c r="R504" s="416" t="str">
        <f t="shared" si="16"/>
        <v>DELETE</v>
      </c>
    </row>
    <row r="505" spans="2:18" ht="31.5" customHeight="1" x14ac:dyDescent="0.45">
      <c r="B505" s="461"/>
      <c r="C505" s="369"/>
      <c r="D505" s="368">
        <f>TrialBalance!C160</f>
        <v>0</v>
      </c>
      <c r="L505" s="372"/>
      <c r="M505" s="37"/>
      <c r="N505" s="368"/>
      <c r="O505" s="441">
        <f>-TrialBalance!L160</f>
        <v>0</v>
      </c>
      <c r="P505" s="478"/>
      <c r="Q505" s="389"/>
      <c r="R505" s="416" t="str">
        <f t="shared" si="16"/>
        <v>DELETE</v>
      </c>
    </row>
    <row r="506" spans="2:18" ht="31.5" customHeight="1" x14ac:dyDescent="0.45">
      <c r="B506" s="461"/>
      <c r="C506" s="369"/>
      <c r="D506" s="368">
        <f>TrialBalance!C161</f>
        <v>0</v>
      </c>
      <c r="L506" s="372"/>
      <c r="M506" s="37"/>
      <c r="N506" s="368"/>
      <c r="O506" s="441">
        <f>-TrialBalance!L161</f>
        <v>0</v>
      </c>
      <c r="P506" s="478"/>
      <c r="Q506" s="389"/>
      <c r="R506" s="416" t="str">
        <f t="shared" si="16"/>
        <v>DELETE</v>
      </c>
    </row>
    <row r="507" spans="2:18" ht="31.5" customHeight="1" x14ac:dyDescent="0.45">
      <c r="B507" s="461"/>
      <c r="C507" s="369"/>
      <c r="D507" s="368">
        <f>TrialBalance!C162</f>
        <v>0</v>
      </c>
      <c r="L507" s="372"/>
      <c r="M507" s="37"/>
      <c r="N507" s="368"/>
      <c r="O507" s="441">
        <f>-TrialBalance!L162</f>
        <v>0</v>
      </c>
      <c r="P507" s="478"/>
      <c r="Q507" s="389"/>
      <c r="R507" s="416" t="str">
        <f t="shared" si="16"/>
        <v>DELETE</v>
      </c>
    </row>
    <row r="508" spans="2:18" ht="31.5" customHeight="1" x14ac:dyDescent="0.45">
      <c r="B508" s="461"/>
      <c r="C508" s="369"/>
      <c r="D508" s="368">
        <f>TrialBalance!C163</f>
        <v>0</v>
      </c>
      <c r="L508" s="372"/>
      <c r="M508" s="37"/>
      <c r="N508" s="368"/>
      <c r="O508" s="441">
        <f>-TrialBalance!L163</f>
        <v>0</v>
      </c>
      <c r="P508" s="478"/>
      <c r="Q508" s="389"/>
      <c r="R508" s="416" t="str">
        <f t="shared" si="16"/>
        <v>DELETE</v>
      </c>
    </row>
    <row r="509" spans="2:18" ht="31.5" customHeight="1" x14ac:dyDescent="0.45">
      <c r="B509" s="461"/>
      <c r="C509" s="369"/>
      <c r="D509" s="368">
        <f>TrialBalance!C164</f>
        <v>0</v>
      </c>
      <c r="L509" s="372"/>
      <c r="M509" s="37"/>
      <c r="N509" s="368"/>
      <c r="O509" s="441">
        <f>-TrialBalance!L164</f>
        <v>0</v>
      </c>
      <c r="P509" s="478"/>
      <c r="Q509" s="389"/>
      <c r="R509" s="416" t="str">
        <f t="shared" si="16"/>
        <v>DELETE</v>
      </c>
    </row>
    <row r="510" spans="2:18" ht="31.5" customHeight="1" x14ac:dyDescent="0.45">
      <c r="B510" s="461"/>
      <c r="C510" s="369"/>
      <c r="D510" s="368">
        <f>TrialBalance!C165</f>
        <v>0</v>
      </c>
      <c r="L510" s="372"/>
      <c r="M510" s="37"/>
      <c r="N510" s="368"/>
      <c r="O510" s="441">
        <f>-TrialBalance!L165</f>
        <v>0</v>
      </c>
      <c r="P510" s="478"/>
      <c r="Q510" s="389"/>
      <c r="R510" s="416" t="str">
        <f t="shared" si="16"/>
        <v>DELETE</v>
      </c>
    </row>
    <row r="511" spans="2:18" ht="31.5" customHeight="1" x14ac:dyDescent="0.45">
      <c r="B511" s="461"/>
      <c r="C511" s="369"/>
      <c r="D511" s="368">
        <f>TrialBalanceA!C156</f>
        <v>0</v>
      </c>
      <c r="L511" s="372"/>
      <c r="M511" s="37"/>
      <c r="N511" s="368"/>
      <c r="O511" s="441">
        <f>-TrialBalanceA!I156</f>
        <v>0</v>
      </c>
      <c r="P511" s="478"/>
      <c r="Q511" s="389"/>
      <c r="R511" s="416" t="str">
        <f t="shared" si="16"/>
        <v>DELETE</v>
      </c>
    </row>
    <row r="512" spans="2:18" ht="31.5" customHeight="1" x14ac:dyDescent="0.45">
      <c r="B512" s="461"/>
      <c r="C512" s="369"/>
      <c r="D512" s="368">
        <f>TrialBalanceA!C157</f>
        <v>0</v>
      </c>
      <c r="L512" s="372"/>
      <c r="M512" s="37"/>
      <c r="N512" s="368"/>
      <c r="O512" s="441">
        <f>-TrialBalanceA!I157</f>
        <v>0</v>
      </c>
      <c r="P512" s="478"/>
      <c r="Q512" s="389"/>
      <c r="R512" s="416" t="str">
        <f t="shared" si="16"/>
        <v>DELETE</v>
      </c>
    </row>
    <row r="513" spans="2:18" ht="31.5" customHeight="1" x14ac:dyDescent="0.45">
      <c r="B513" s="461"/>
      <c r="C513" s="369"/>
      <c r="D513" s="368">
        <f>TrialBalanceA!C158</f>
        <v>0</v>
      </c>
      <c r="L513" s="372"/>
      <c r="M513" s="37"/>
      <c r="N513" s="368"/>
      <c r="O513" s="441">
        <f>-TrialBalanceA!I158</f>
        <v>0</v>
      </c>
      <c r="P513" s="478"/>
      <c r="Q513" s="389"/>
      <c r="R513" s="416" t="str">
        <f t="shared" si="16"/>
        <v>DELETE</v>
      </c>
    </row>
    <row r="514" spans="2:18" ht="31.5" customHeight="1" x14ac:dyDescent="0.45">
      <c r="B514" s="461"/>
      <c r="C514" s="369"/>
      <c r="D514" s="368">
        <f>TrialBalanceA!C159</f>
        <v>0</v>
      </c>
      <c r="L514" s="372"/>
      <c r="M514" s="37"/>
      <c r="N514" s="368"/>
      <c r="O514" s="441">
        <f>-TrialBalanceA!I159</f>
        <v>0</v>
      </c>
      <c r="P514" s="478"/>
      <c r="Q514" s="389"/>
      <c r="R514" s="416" t="str">
        <f t="shared" si="16"/>
        <v>DELETE</v>
      </c>
    </row>
    <row r="515" spans="2:18" ht="31.5" customHeight="1" x14ac:dyDescent="0.45">
      <c r="B515" s="461"/>
      <c r="C515" s="369"/>
      <c r="D515" s="368">
        <f>TrialBalanceA!C160</f>
        <v>0</v>
      </c>
      <c r="L515" s="372"/>
      <c r="M515" s="37"/>
      <c r="N515" s="368"/>
      <c r="O515" s="441">
        <f>-TrialBalanceA!I160</f>
        <v>0</v>
      </c>
      <c r="P515" s="478"/>
      <c r="Q515" s="389"/>
      <c r="R515" s="416" t="str">
        <f t="shared" si="16"/>
        <v>DELETE</v>
      </c>
    </row>
    <row r="516" spans="2:18" ht="31.5" customHeight="1" x14ac:dyDescent="0.45">
      <c r="B516" s="461"/>
      <c r="C516" s="369"/>
      <c r="D516" s="368">
        <f>TrialBalanceA!C161</f>
        <v>0</v>
      </c>
      <c r="L516" s="372"/>
      <c r="M516" s="37"/>
      <c r="N516" s="368"/>
      <c r="O516" s="441">
        <f>-TrialBalanceA!I161</f>
        <v>0</v>
      </c>
      <c r="P516" s="478"/>
      <c r="Q516" s="389"/>
      <c r="R516" s="416" t="str">
        <f t="shared" si="16"/>
        <v>DELETE</v>
      </c>
    </row>
    <row r="517" spans="2:18" ht="31.5" customHeight="1" x14ac:dyDescent="0.45">
      <c r="B517" s="461"/>
      <c r="C517" s="369"/>
      <c r="D517" s="368">
        <f>TrialBalanceA!C162</f>
        <v>0</v>
      </c>
      <c r="L517" s="372"/>
      <c r="M517" s="37"/>
      <c r="N517" s="368"/>
      <c r="O517" s="441">
        <f>-TrialBalanceA!I162</f>
        <v>0</v>
      </c>
      <c r="P517" s="478"/>
      <c r="Q517" s="389"/>
      <c r="R517" s="416" t="str">
        <f t="shared" si="16"/>
        <v>DELETE</v>
      </c>
    </row>
    <row r="518" spans="2:18" ht="31.5" customHeight="1" x14ac:dyDescent="0.45">
      <c r="B518" s="461"/>
      <c r="C518" s="369"/>
      <c r="D518" s="368">
        <f>TrialBalanceA!C163</f>
        <v>0</v>
      </c>
      <c r="L518" s="372"/>
      <c r="M518" s="37"/>
      <c r="N518" s="368"/>
      <c r="O518" s="441">
        <f>-TrialBalanceA!I163</f>
        <v>0</v>
      </c>
      <c r="P518" s="478"/>
      <c r="Q518" s="389"/>
      <c r="R518" s="416" t="str">
        <f t="shared" si="16"/>
        <v>DELETE</v>
      </c>
    </row>
    <row r="519" spans="2:18" ht="31.5" customHeight="1" x14ac:dyDescent="0.45">
      <c r="B519" s="461"/>
      <c r="C519" s="369"/>
      <c r="D519" s="368">
        <f>TrialBalanceA!C164</f>
        <v>0</v>
      </c>
      <c r="L519" s="372"/>
      <c r="M519" s="37"/>
      <c r="N519" s="368"/>
      <c r="O519" s="441">
        <f>-TrialBalanceA!I164</f>
        <v>0</v>
      </c>
      <c r="P519" s="478"/>
      <c r="Q519" s="389"/>
      <c r="R519" s="416" t="str">
        <f t="shared" si="16"/>
        <v>DELETE</v>
      </c>
    </row>
    <row r="520" spans="2:18" ht="31.5" customHeight="1" x14ac:dyDescent="0.45">
      <c r="B520" s="461"/>
      <c r="C520" s="369"/>
      <c r="D520" s="368">
        <f>TrialBalanceA!C165</f>
        <v>0</v>
      </c>
      <c r="L520" s="372"/>
      <c r="M520" s="37"/>
      <c r="N520" s="368"/>
      <c r="O520" s="441">
        <f>-TrialBalanceA!I165</f>
        <v>0</v>
      </c>
      <c r="P520" s="478"/>
      <c r="Q520" s="389"/>
      <c r="R520" s="416" t="str">
        <f t="shared" si="16"/>
        <v>DELETE</v>
      </c>
    </row>
    <row r="521" spans="2:18" ht="31.5" customHeight="1" x14ac:dyDescent="0.45">
      <c r="B521" s="461"/>
      <c r="C521" s="369"/>
      <c r="D521" s="368">
        <f>TrialBalanceB!C156</f>
        <v>0</v>
      </c>
      <c r="L521" s="372"/>
      <c r="M521" s="37"/>
      <c r="N521" s="368"/>
      <c r="O521" s="441">
        <f>-TrialBalanceB!I156</f>
        <v>0</v>
      </c>
      <c r="P521" s="478"/>
      <c r="Q521" s="389"/>
      <c r="R521" s="416" t="str">
        <f t="shared" si="16"/>
        <v>DELETE</v>
      </c>
    </row>
    <row r="522" spans="2:18" ht="31.5" customHeight="1" x14ac:dyDescent="0.45">
      <c r="B522" s="461"/>
      <c r="C522" s="369"/>
      <c r="D522" s="368">
        <f>TrialBalanceB!C157</f>
        <v>0</v>
      </c>
      <c r="L522" s="372"/>
      <c r="M522" s="37"/>
      <c r="N522" s="368"/>
      <c r="O522" s="441">
        <f>-TrialBalanceB!I157</f>
        <v>0</v>
      </c>
      <c r="P522" s="478"/>
      <c r="Q522" s="389"/>
      <c r="R522" s="416" t="str">
        <f t="shared" si="16"/>
        <v>DELETE</v>
      </c>
    </row>
    <row r="523" spans="2:18" ht="31.5" customHeight="1" x14ac:dyDescent="0.45">
      <c r="B523" s="461"/>
      <c r="C523" s="369"/>
      <c r="D523" s="368">
        <f>TrialBalanceB!C158</f>
        <v>0</v>
      </c>
      <c r="L523" s="372"/>
      <c r="M523" s="37"/>
      <c r="N523" s="368"/>
      <c r="O523" s="441">
        <f>-TrialBalanceB!I158</f>
        <v>0</v>
      </c>
      <c r="P523" s="478"/>
      <c r="Q523" s="389"/>
      <c r="R523" s="416" t="str">
        <f t="shared" si="16"/>
        <v>DELETE</v>
      </c>
    </row>
    <row r="524" spans="2:18" ht="31.5" customHeight="1" x14ac:dyDescent="0.45">
      <c r="B524" s="461"/>
      <c r="C524" s="369"/>
      <c r="D524" s="368">
        <f>TrialBalanceB!C159</f>
        <v>0</v>
      </c>
      <c r="L524" s="372"/>
      <c r="M524" s="37"/>
      <c r="N524" s="368"/>
      <c r="O524" s="441">
        <f>-TrialBalanceB!I159</f>
        <v>0</v>
      </c>
      <c r="P524" s="478"/>
      <c r="Q524" s="389"/>
      <c r="R524" s="416" t="str">
        <f t="shared" si="16"/>
        <v>DELETE</v>
      </c>
    </row>
    <row r="525" spans="2:18" ht="31.5" customHeight="1" x14ac:dyDescent="0.45">
      <c r="B525" s="461"/>
      <c r="C525" s="369"/>
      <c r="D525" s="368">
        <f>TrialBalanceB!C160</f>
        <v>0</v>
      </c>
      <c r="L525" s="372"/>
      <c r="M525" s="37"/>
      <c r="N525" s="368"/>
      <c r="O525" s="441">
        <f>-TrialBalanceB!I160</f>
        <v>0</v>
      </c>
      <c r="P525" s="478"/>
      <c r="Q525" s="389"/>
      <c r="R525" s="416" t="str">
        <f t="shared" si="16"/>
        <v>DELETE</v>
      </c>
    </row>
    <row r="526" spans="2:18" ht="31.5" customHeight="1" x14ac:dyDescent="0.45">
      <c r="B526" s="461"/>
      <c r="C526" s="369"/>
      <c r="D526" s="368">
        <f>TrialBalanceB!C161</f>
        <v>0</v>
      </c>
      <c r="L526" s="372"/>
      <c r="M526" s="37"/>
      <c r="N526" s="368"/>
      <c r="O526" s="441">
        <f>-TrialBalanceB!I161</f>
        <v>0</v>
      </c>
      <c r="P526" s="478"/>
      <c r="Q526" s="389"/>
      <c r="R526" s="416" t="str">
        <f t="shared" si="16"/>
        <v>DELETE</v>
      </c>
    </row>
    <row r="527" spans="2:18" ht="31.5" customHeight="1" x14ac:dyDescent="0.45">
      <c r="B527" s="461"/>
      <c r="C527" s="369"/>
      <c r="D527" s="368">
        <f>TrialBalanceB!C162</f>
        <v>0</v>
      </c>
      <c r="L527" s="372"/>
      <c r="M527" s="37"/>
      <c r="N527" s="368"/>
      <c r="O527" s="441">
        <f>-TrialBalanceB!I162</f>
        <v>0</v>
      </c>
      <c r="P527" s="478"/>
      <c r="Q527" s="389"/>
      <c r="R527" s="416" t="str">
        <f t="shared" si="16"/>
        <v>DELETE</v>
      </c>
    </row>
    <row r="528" spans="2:18" ht="31.5" customHeight="1" x14ac:dyDescent="0.45">
      <c r="B528" s="461"/>
      <c r="C528" s="369"/>
      <c r="D528" s="368">
        <f>TrialBalanceB!C163</f>
        <v>0</v>
      </c>
      <c r="L528" s="372"/>
      <c r="M528" s="37"/>
      <c r="N528" s="368"/>
      <c r="O528" s="441">
        <f>-TrialBalanceB!I163</f>
        <v>0</v>
      </c>
      <c r="P528" s="478"/>
      <c r="Q528" s="389"/>
      <c r="R528" s="416" t="str">
        <f t="shared" si="16"/>
        <v>DELETE</v>
      </c>
    </row>
    <row r="529" spans="2:18" ht="31.5" customHeight="1" x14ac:dyDescent="0.45">
      <c r="B529" s="461"/>
      <c r="C529" s="369"/>
      <c r="D529" s="368">
        <f>TrialBalanceB!C164</f>
        <v>0</v>
      </c>
      <c r="L529" s="372"/>
      <c r="M529" s="37"/>
      <c r="N529" s="368"/>
      <c r="O529" s="441">
        <f>-TrialBalanceB!I164</f>
        <v>0</v>
      </c>
      <c r="P529" s="478"/>
      <c r="Q529" s="389"/>
      <c r="R529" s="416" t="str">
        <f t="shared" si="16"/>
        <v>DELETE</v>
      </c>
    </row>
    <row r="530" spans="2:18" ht="31.5" customHeight="1" x14ac:dyDescent="0.45">
      <c r="B530" s="461"/>
      <c r="C530" s="369"/>
      <c r="D530" s="368">
        <f>TrialBalanceB!C165</f>
        <v>0</v>
      </c>
      <c r="L530" s="372"/>
      <c r="M530" s="37"/>
      <c r="N530" s="368"/>
      <c r="O530" s="441">
        <f>-TrialBalanceB!I165</f>
        <v>0</v>
      </c>
      <c r="P530" s="478"/>
      <c r="Q530" s="389"/>
      <c r="R530" s="416" t="str">
        <f t="shared" si="16"/>
        <v>DELETE</v>
      </c>
    </row>
    <row r="531" spans="2:18" ht="31.5" customHeight="1" x14ac:dyDescent="0.45">
      <c r="B531" s="461"/>
      <c r="C531" s="369"/>
      <c r="D531" s="368">
        <f>TrialBalanceC!C156</f>
        <v>0</v>
      </c>
      <c r="L531" s="372"/>
      <c r="M531" s="37"/>
      <c r="N531" s="368"/>
      <c r="O531" s="441">
        <f>-TrialBalanceC!I156</f>
        <v>0</v>
      </c>
      <c r="P531" s="478"/>
      <c r="Q531" s="389"/>
      <c r="R531" s="416" t="str">
        <f t="shared" si="16"/>
        <v>DELETE</v>
      </c>
    </row>
    <row r="532" spans="2:18" ht="31.5" customHeight="1" x14ac:dyDescent="0.45">
      <c r="B532" s="461"/>
      <c r="C532" s="369"/>
      <c r="D532" s="368">
        <f>TrialBalanceC!C157</f>
        <v>0</v>
      </c>
      <c r="L532" s="372"/>
      <c r="M532" s="37"/>
      <c r="N532" s="368"/>
      <c r="O532" s="441">
        <f>-TrialBalanceC!I157</f>
        <v>0</v>
      </c>
      <c r="P532" s="478"/>
      <c r="Q532" s="389"/>
      <c r="R532" s="416" t="str">
        <f t="shared" si="16"/>
        <v>DELETE</v>
      </c>
    </row>
    <row r="533" spans="2:18" ht="31.5" customHeight="1" x14ac:dyDescent="0.45">
      <c r="B533" s="461"/>
      <c r="C533" s="369"/>
      <c r="D533" s="368">
        <f>TrialBalanceC!C158</f>
        <v>0</v>
      </c>
      <c r="L533" s="372"/>
      <c r="M533" s="37"/>
      <c r="N533" s="368"/>
      <c r="O533" s="441">
        <f>-TrialBalanceC!I158</f>
        <v>0</v>
      </c>
      <c r="P533" s="478"/>
      <c r="Q533" s="389"/>
      <c r="R533" s="416" t="str">
        <f t="shared" si="16"/>
        <v>DELETE</v>
      </c>
    </row>
    <row r="534" spans="2:18" ht="31.5" customHeight="1" x14ac:dyDescent="0.45">
      <c r="B534" s="461"/>
      <c r="C534" s="369"/>
      <c r="D534" s="368">
        <f>TrialBalanceC!C159</f>
        <v>0</v>
      </c>
      <c r="L534" s="372"/>
      <c r="M534" s="37"/>
      <c r="N534" s="368"/>
      <c r="O534" s="441">
        <f>-TrialBalanceC!I159</f>
        <v>0</v>
      </c>
      <c r="P534" s="478"/>
      <c r="Q534" s="389"/>
      <c r="R534" s="416" t="str">
        <f t="shared" si="16"/>
        <v>DELETE</v>
      </c>
    </row>
    <row r="535" spans="2:18" ht="31.5" customHeight="1" x14ac:dyDescent="0.45">
      <c r="B535" s="461"/>
      <c r="C535" s="369"/>
      <c r="D535" s="368">
        <f>TrialBalanceC!C160</f>
        <v>0</v>
      </c>
      <c r="L535" s="372"/>
      <c r="M535" s="37"/>
      <c r="N535" s="368"/>
      <c r="O535" s="441">
        <f>-TrialBalanceC!I160</f>
        <v>0</v>
      </c>
      <c r="P535" s="478"/>
      <c r="Q535" s="389"/>
      <c r="R535" s="416" t="str">
        <f t="shared" si="16"/>
        <v>DELETE</v>
      </c>
    </row>
    <row r="536" spans="2:18" ht="31.5" customHeight="1" x14ac:dyDescent="0.45">
      <c r="B536" s="461"/>
      <c r="C536" s="369"/>
      <c r="D536" s="368">
        <f>TrialBalanceC!C161</f>
        <v>0</v>
      </c>
      <c r="L536" s="372"/>
      <c r="M536" s="37"/>
      <c r="N536" s="368"/>
      <c r="O536" s="441">
        <f>-TrialBalanceC!I161</f>
        <v>0</v>
      </c>
      <c r="P536" s="478"/>
      <c r="Q536" s="389"/>
      <c r="R536" s="416" t="str">
        <f t="shared" si="16"/>
        <v>DELETE</v>
      </c>
    </row>
    <row r="537" spans="2:18" ht="31.5" customHeight="1" x14ac:dyDescent="0.45">
      <c r="B537" s="461"/>
      <c r="C537" s="369"/>
      <c r="D537" s="368">
        <f>TrialBalanceC!C162</f>
        <v>0</v>
      </c>
      <c r="L537" s="372"/>
      <c r="M537" s="37"/>
      <c r="N537" s="368"/>
      <c r="O537" s="441">
        <f>-TrialBalanceC!I162</f>
        <v>0</v>
      </c>
      <c r="P537" s="478"/>
      <c r="Q537" s="389"/>
      <c r="R537" s="416" t="str">
        <f t="shared" si="16"/>
        <v>DELETE</v>
      </c>
    </row>
    <row r="538" spans="2:18" ht="31.5" customHeight="1" x14ac:dyDescent="0.45">
      <c r="B538" s="461"/>
      <c r="C538" s="369"/>
      <c r="D538" s="368">
        <f>TrialBalanceC!C163</f>
        <v>0</v>
      </c>
      <c r="L538" s="372"/>
      <c r="M538" s="37"/>
      <c r="N538" s="368"/>
      <c r="O538" s="441">
        <f>-TrialBalanceC!I163</f>
        <v>0</v>
      </c>
      <c r="P538" s="478"/>
      <c r="Q538" s="389"/>
      <c r="R538" s="416" t="str">
        <f>IF(O538=0,"DELETE"," ")</f>
        <v>DELETE</v>
      </c>
    </row>
    <row r="539" spans="2:18" ht="31.5" customHeight="1" x14ac:dyDescent="0.45">
      <c r="B539" s="461"/>
      <c r="C539" s="369"/>
      <c r="D539" s="368">
        <f>TrialBalanceC!C164</f>
        <v>0</v>
      </c>
      <c r="L539" s="372"/>
      <c r="M539" s="37"/>
      <c r="N539" s="368"/>
      <c r="O539" s="441">
        <f>-TrialBalanceC!I164</f>
        <v>0</v>
      </c>
      <c r="P539" s="478"/>
      <c r="Q539" s="389"/>
      <c r="R539" s="416" t="str">
        <f t="shared" si="16"/>
        <v>DELETE</v>
      </c>
    </row>
    <row r="540" spans="2:18" ht="31.5" customHeight="1" x14ac:dyDescent="0.45">
      <c r="B540" s="461"/>
      <c r="C540" s="369"/>
      <c r="D540" s="368">
        <f>TrialBalanceC!C165</f>
        <v>0</v>
      </c>
      <c r="L540" s="372"/>
      <c r="M540" s="37"/>
      <c r="N540" s="368"/>
      <c r="O540" s="441">
        <f>-TrialBalanceC!I165</f>
        <v>0</v>
      </c>
      <c r="P540" s="478"/>
      <c r="Q540" s="389"/>
      <c r="R540" s="416" t="str">
        <f t="shared" si="16"/>
        <v>DELETE</v>
      </c>
    </row>
    <row r="541" spans="2:18" ht="9" customHeight="1" x14ac:dyDescent="0.45">
      <c r="B541" s="461"/>
      <c r="C541" s="369"/>
      <c r="L541" s="372"/>
      <c r="M541" s="37"/>
      <c r="N541" s="368"/>
      <c r="O541" s="438"/>
      <c r="P541" s="478"/>
      <c r="Q541" s="389"/>
      <c r="R541" s="416" t="str">
        <f>R543</f>
        <v>DELETE</v>
      </c>
    </row>
    <row r="542" spans="2:18" ht="9" customHeight="1" x14ac:dyDescent="0.45">
      <c r="B542" s="461"/>
      <c r="C542" s="369"/>
      <c r="L542" s="372"/>
      <c r="M542" s="37"/>
      <c r="N542" s="368"/>
      <c r="O542" s="441"/>
      <c r="P542" s="478"/>
      <c r="Q542" s="389"/>
      <c r="R542" s="416" t="str">
        <f>R543</f>
        <v>DELETE</v>
      </c>
    </row>
    <row r="543" spans="2:18" ht="31.5" customHeight="1" x14ac:dyDescent="0.45">
      <c r="B543" s="461"/>
      <c r="C543" s="369"/>
      <c r="L543" s="372"/>
      <c r="M543" s="37"/>
      <c r="N543" s="368"/>
      <c r="O543" s="441">
        <f>SUM(O501:O541)</f>
        <v>0</v>
      </c>
      <c r="P543" s="478"/>
      <c r="Q543" s="389"/>
      <c r="R543" s="416" t="str">
        <f t="shared" ref="R543" si="17">IF(O543=0,"DELETE"," ")</f>
        <v>DELETE</v>
      </c>
    </row>
    <row r="544" spans="2:18" ht="9" customHeight="1" thickBot="1" x14ac:dyDescent="0.5">
      <c r="B544" s="461"/>
      <c r="C544" s="369"/>
      <c r="L544" s="372"/>
      <c r="M544" s="37"/>
      <c r="N544" s="368"/>
      <c r="O544" s="439"/>
      <c r="P544" s="478"/>
      <c r="Q544" s="389"/>
      <c r="R544" s="416" t="str">
        <f>R543</f>
        <v>DELETE</v>
      </c>
    </row>
    <row r="545" spans="2:18" ht="9" customHeight="1" thickTop="1" x14ac:dyDescent="0.45">
      <c r="B545" s="461"/>
      <c r="C545" s="369"/>
      <c r="L545" s="372"/>
      <c r="M545" s="37"/>
      <c r="N545" s="368"/>
      <c r="O545" s="441"/>
      <c r="P545" s="478"/>
      <c r="Q545" s="389"/>
      <c r="R545" s="416" t="str">
        <f>R543</f>
        <v>DELETE</v>
      </c>
    </row>
    <row r="546" spans="2:18" ht="31.5" customHeight="1" x14ac:dyDescent="0.45">
      <c r="B546" s="461"/>
      <c r="C546" s="369"/>
      <c r="L546" s="372"/>
      <c r="M546" s="37"/>
      <c r="N546" s="368"/>
      <c r="O546" s="441"/>
      <c r="P546" s="478"/>
      <c r="Q546" s="389"/>
      <c r="R546" s="416" t="str">
        <f>R$543</f>
        <v>DELETE</v>
      </c>
    </row>
    <row r="547" spans="2:18" ht="31.5" customHeight="1" x14ac:dyDescent="0.45">
      <c r="B547" s="461"/>
      <c r="C547" s="369"/>
      <c r="M547" s="441"/>
      <c r="N547" s="400"/>
      <c r="O547" s="441"/>
      <c r="P547" s="478"/>
      <c r="Q547" s="389"/>
      <c r="R547" s="416" t="str">
        <f>R$543</f>
        <v>DELETE</v>
      </c>
    </row>
    <row r="548" spans="2:18" ht="31.5" customHeight="1" x14ac:dyDescent="0.45">
      <c r="B548" s="462"/>
      <c r="C548" s="407"/>
      <c r="D548" s="383"/>
      <c r="E548" s="383"/>
      <c r="F548" s="383"/>
      <c r="G548" s="383"/>
      <c r="H548" s="383"/>
      <c r="I548" s="383"/>
      <c r="J548" s="383"/>
      <c r="K548" s="383"/>
      <c r="L548" s="383"/>
      <c r="M548" s="438"/>
      <c r="N548" s="392"/>
      <c r="O548" s="438"/>
      <c r="P548" s="475"/>
      <c r="Q548" s="398"/>
      <c r="R548" s="416" t="str">
        <f>R$543</f>
        <v>DELETE</v>
      </c>
    </row>
    <row r="549" spans="2:18" ht="31.5" customHeight="1" x14ac:dyDescent="0.45">
      <c r="B549" s="445"/>
      <c r="C549" s="369"/>
      <c r="M549" s="434"/>
      <c r="N549" s="390"/>
      <c r="O549" s="434"/>
      <c r="R549" s="416" t="str">
        <f>R$543</f>
        <v>DELETE</v>
      </c>
    </row>
    <row r="550" spans="2:18" ht="31.5" customHeight="1" x14ac:dyDescent="0.45">
      <c r="B550" s="445"/>
      <c r="C550" s="369"/>
      <c r="M550" s="434"/>
      <c r="N550" s="390"/>
      <c r="O550" s="434"/>
      <c r="R550" s="416" t="str">
        <f>R$583</f>
        <v>DELETE</v>
      </c>
    </row>
    <row r="551" spans="2:18" ht="31.5" customHeight="1" x14ac:dyDescent="0.45">
      <c r="B551" s="445"/>
      <c r="C551" s="369"/>
      <c r="D551" s="369" t="str">
        <f>Criteria!E9</f>
        <v>ABC TRUST</v>
      </c>
      <c r="M551" s="479"/>
      <c r="N551" s="469"/>
      <c r="O551" s="434" t="s">
        <v>105</v>
      </c>
      <c r="Q551" s="370">
        <f>MAX($Q$114:Q550)+1</f>
        <v>8</v>
      </c>
      <c r="R551" s="416" t="str">
        <f>R$583</f>
        <v>DELETE</v>
      </c>
    </row>
    <row r="552" spans="2:18" ht="31.5" customHeight="1" x14ac:dyDescent="0.45">
      <c r="B552" s="445"/>
      <c r="C552" s="369"/>
      <c r="D552" s="369" t="str">
        <f>Criteria!E10</f>
        <v>T/A RENTAL PROPERTIES, SEAFRONT RESTAURANT AND SURF SHOP</v>
      </c>
      <c r="M552" s="479"/>
      <c r="N552" s="469"/>
      <c r="O552" s="479"/>
      <c r="R552" s="416" t="str">
        <f>IF(R$583="DELETE","DELETE",IF(D552=0,"DELETE"," "))</f>
        <v>DELETE</v>
      </c>
    </row>
    <row r="553" spans="2:18" ht="31.5" customHeight="1" x14ac:dyDescent="0.45">
      <c r="B553" s="445"/>
      <c r="C553" s="369"/>
      <c r="M553" s="479"/>
      <c r="N553" s="469"/>
      <c r="O553" s="479"/>
      <c r="R553" s="416" t="str">
        <f t="shared" ref="R553:R560" si="18">R$583</f>
        <v>DELETE</v>
      </c>
    </row>
    <row r="554" spans="2:18" ht="31.5" customHeight="1" x14ac:dyDescent="0.45">
      <c r="B554" s="445"/>
      <c r="C554" s="369"/>
      <c r="D554" s="369" t="s">
        <v>383</v>
      </c>
      <c r="M554" s="479"/>
      <c r="N554" s="469"/>
      <c r="O554" s="479"/>
      <c r="R554" s="416" t="str">
        <f t="shared" si="18"/>
        <v>DELETE</v>
      </c>
    </row>
    <row r="555" spans="2:18" ht="31.5" customHeight="1" x14ac:dyDescent="0.45">
      <c r="B555" s="445"/>
      <c r="C555" s="369"/>
      <c r="D555" s="369" t="str">
        <f>Criteria!E20</f>
        <v>29 FEBRUARY 2024</v>
      </c>
      <c r="J555" s="368" t="s">
        <v>253</v>
      </c>
      <c r="M555" s="479"/>
      <c r="N555" s="469"/>
      <c r="O555" s="479"/>
      <c r="R555" s="416" t="str">
        <f t="shared" si="18"/>
        <v>DELETE</v>
      </c>
    </row>
    <row r="556" spans="2:18" ht="31.5" customHeight="1" x14ac:dyDescent="0.45">
      <c r="B556" s="445"/>
      <c r="C556" s="369"/>
      <c r="M556" s="434"/>
      <c r="N556" s="390"/>
      <c r="O556" s="434"/>
      <c r="R556" s="416" t="str">
        <f t="shared" si="18"/>
        <v>DELETE</v>
      </c>
    </row>
    <row r="557" spans="2:18" ht="31.5" customHeight="1" x14ac:dyDescent="0.45">
      <c r="B557" s="465"/>
      <c r="C557" s="410"/>
      <c r="D557" s="386"/>
      <c r="E557" s="386"/>
      <c r="F557" s="386"/>
      <c r="G557" s="386"/>
      <c r="H557" s="386"/>
      <c r="I557" s="386"/>
      <c r="J557" s="386"/>
      <c r="K557" s="386"/>
      <c r="L557" s="386"/>
      <c r="M557" s="446"/>
      <c r="N557" s="391"/>
      <c r="O557" s="446"/>
      <c r="P557" s="481"/>
      <c r="Q557" s="387"/>
      <c r="R557" s="416" t="str">
        <f t="shared" si="18"/>
        <v>DELETE</v>
      </c>
    </row>
    <row r="558" spans="2:18" ht="31.5" customHeight="1" x14ac:dyDescent="0.45">
      <c r="B558" s="461"/>
      <c r="C558" s="369"/>
      <c r="L558" s="372"/>
      <c r="M558" s="37"/>
      <c r="N558" s="368"/>
      <c r="O558" s="430">
        <f>Criteria!E22</f>
        <v>2024</v>
      </c>
      <c r="P558" s="478"/>
      <c r="Q558" s="389"/>
      <c r="R558" s="416" t="str">
        <f t="shared" si="18"/>
        <v>DELETE</v>
      </c>
    </row>
    <row r="559" spans="2:18" ht="31.5" customHeight="1" x14ac:dyDescent="0.45">
      <c r="B559" s="461"/>
      <c r="C559" s="369"/>
      <c r="L559" s="372"/>
      <c r="M559" s="37"/>
      <c r="N559" s="368"/>
      <c r="O559" s="441"/>
      <c r="P559" s="478"/>
      <c r="Q559" s="389"/>
      <c r="R559" s="416" t="str">
        <f t="shared" si="18"/>
        <v>DELETE</v>
      </c>
    </row>
    <row r="560" spans="2:18" ht="31.5" customHeight="1" x14ac:dyDescent="0.45">
      <c r="B560" s="461">
        <f>MAX($B$429:B559)+1</f>
        <v>4</v>
      </c>
      <c r="C560" s="369" t="s">
        <v>1004</v>
      </c>
      <c r="L560" s="372"/>
      <c r="M560" s="37"/>
      <c r="N560" s="368"/>
      <c r="O560" s="441"/>
      <c r="P560" s="478"/>
      <c r="Q560" s="389"/>
      <c r="R560" s="416" t="str">
        <f t="shared" si="18"/>
        <v>DELETE</v>
      </c>
    </row>
    <row r="561" spans="2:18" ht="31.5" customHeight="1" x14ac:dyDescent="0.45">
      <c r="B561" s="461"/>
      <c r="C561" s="369"/>
      <c r="D561" s="368">
        <f>TrialBalance!C167</f>
        <v>0</v>
      </c>
      <c r="L561" s="372"/>
      <c r="M561" s="37"/>
      <c r="N561" s="368"/>
      <c r="O561" s="441">
        <f>TrialBalance!L167</f>
        <v>0</v>
      </c>
      <c r="P561" s="478"/>
      <c r="Q561" s="389"/>
      <c r="R561" s="416" t="str">
        <f>IF(O561=0,"DELETE"," ")</f>
        <v>DELETE</v>
      </c>
    </row>
    <row r="562" spans="2:18" ht="31.5" customHeight="1" x14ac:dyDescent="0.45">
      <c r="B562" s="461"/>
      <c r="C562" s="369"/>
      <c r="D562" s="368">
        <f>TrialBalance!C168</f>
        <v>0</v>
      </c>
      <c r="L562" s="372"/>
      <c r="M562" s="37"/>
      <c r="N562" s="368"/>
      <c r="O562" s="441">
        <f>TrialBalance!L168</f>
        <v>0</v>
      </c>
      <c r="P562" s="478"/>
      <c r="Q562" s="389"/>
      <c r="R562" s="416" t="str">
        <f t="shared" ref="R562:R579" si="19">IF(O562=0,"DELETE"," ")</f>
        <v>DELETE</v>
      </c>
    </row>
    <row r="563" spans="2:18" ht="31.5" customHeight="1" x14ac:dyDescent="0.45">
      <c r="B563" s="461"/>
      <c r="C563" s="369"/>
      <c r="D563" s="368">
        <f>TrialBalance!C169</f>
        <v>0</v>
      </c>
      <c r="L563" s="372"/>
      <c r="M563" s="37"/>
      <c r="N563" s="368"/>
      <c r="O563" s="441">
        <f>TrialBalance!L169</f>
        <v>0</v>
      </c>
      <c r="P563" s="478"/>
      <c r="Q563" s="389"/>
      <c r="R563" s="416" t="str">
        <f t="shared" si="19"/>
        <v>DELETE</v>
      </c>
    </row>
    <row r="564" spans="2:18" ht="31.5" customHeight="1" x14ac:dyDescent="0.45">
      <c r="B564" s="461"/>
      <c r="C564" s="369"/>
      <c r="D564" s="368">
        <f>TrialBalance!C170</f>
        <v>0</v>
      </c>
      <c r="L564" s="372"/>
      <c r="M564" s="37"/>
      <c r="N564" s="368"/>
      <c r="O564" s="441">
        <f>TrialBalance!L170</f>
        <v>0</v>
      </c>
      <c r="P564" s="478"/>
      <c r="Q564" s="389"/>
      <c r="R564" s="416" t="str">
        <f t="shared" si="19"/>
        <v>DELETE</v>
      </c>
    </row>
    <row r="565" spans="2:18" ht="31.5" customHeight="1" x14ac:dyDescent="0.45">
      <c r="B565" s="461"/>
      <c r="C565" s="369"/>
      <c r="D565" s="368">
        <f>TrialBalance!C171</f>
        <v>0</v>
      </c>
      <c r="L565" s="372"/>
      <c r="M565" s="37"/>
      <c r="N565" s="368"/>
      <c r="O565" s="441">
        <f>TrialBalance!L171</f>
        <v>0</v>
      </c>
      <c r="P565" s="478"/>
      <c r="Q565" s="389"/>
      <c r="R565" s="416" t="str">
        <f t="shared" si="19"/>
        <v>DELETE</v>
      </c>
    </row>
    <row r="566" spans="2:18" ht="31.5" customHeight="1" x14ac:dyDescent="0.45">
      <c r="B566" s="461"/>
      <c r="C566" s="369"/>
      <c r="D566" s="368">
        <f>TrialBalanceA!C167</f>
        <v>0</v>
      </c>
      <c r="L566" s="372"/>
      <c r="M566" s="37"/>
      <c r="N566" s="368"/>
      <c r="O566" s="441">
        <f>TrialBalanceA!I167</f>
        <v>0</v>
      </c>
      <c r="P566" s="478"/>
      <c r="Q566" s="389"/>
      <c r="R566" s="416" t="str">
        <f t="shared" si="19"/>
        <v>DELETE</v>
      </c>
    </row>
    <row r="567" spans="2:18" ht="31.5" customHeight="1" x14ac:dyDescent="0.45">
      <c r="B567" s="461"/>
      <c r="C567" s="369"/>
      <c r="D567" s="368">
        <f>TrialBalanceA!C168</f>
        <v>0</v>
      </c>
      <c r="L567" s="372"/>
      <c r="M567" s="37"/>
      <c r="N567" s="368"/>
      <c r="O567" s="441">
        <f>TrialBalanceA!I168</f>
        <v>0</v>
      </c>
      <c r="P567" s="478"/>
      <c r="Q567" s="389"/>
      <c r="R567" s="416" t="str">
        <f t="shared" si="19"/>
        <v>DELETE</v>
      </c>
    </row>
    <row r="568" spans="2:18" ht="31.5" customHeight="1" x14ac:dyDescent="0.45">
      <c r="B568" s="461"/>
      <c r="C568" s="369"/>
      <c r="D568" s="368">
        <f>TrialBalanceA!C169</f>
        <v>0</v>
      </c>
      <c r="L568" s="372"/>
      <c r="M568" s="37"/>
      <c r="N568" s="368"/>
      <c r="O568" s="441">
        <f>TrialBalanceA!I169</f>
        <v>0</v>
      </c>
      <c r="P568" s="478"/>
      <c r="Q568" s="389"/>
      <c r="R568" s="416" t="str">
        <f t="shared" si="19"/>
        <v>DELETE</v>
      </c>
    </row>
    <row r="569" spans="2:18" ht="31.5" customHeight="1" x14ac:dyDescent="0.45">
      <c r="B569" s="461"/>
      <c r="C569" s="369"/>
      <c r="D569" s="368">
        <f>TrialBalanceA!C170</f>
        <v>0</v>
      </c>
      <c r="L569" s="372"/>
      <c r="M569" s="37"/>
      <c r="N569" s="368"/>
      <c r="O569" s="441">
        <f>TrialBalanceA!I170</f>
        <v>0</v>
      </c>
      <c r="P569" s="478"/>
      <c r="Q569" s="389"/>
      <c r="R569" s="416" t="str">
        <f t="shared" si="19"/>
        <v>DELETE</v>
      </c>
    </row>
    <row r="570" spans="2:18" ht="31.5" customHeight="1" x14ac:dyDescent="0.45">
      <c r="B570" s="461"/>
      <c r="C570" s="369"/>
      <c r="D570" s="368">
        <f>TrialBalanceA!C171</f>
        <v>0</v>
      </c>
      <c r="L570" s="372"/>
      <c r="M570" s="37"/>
      <c r="N570" s="368"/>
      <c r="O570" s="441">
        <f>TrialBalanceA!I171</f>
        <v>0</v>
      </c>
      <c r="P570" s="478"/>
      <c r="Q570" s="389"/>
      <c r="R570" s="416" t="str">
        <f t="shared" si="19"/>
        <v>DELETE</v>
      </c>
    </row>
    <row r="571" spans="2:18" ht="31.5" customHeight="1" x14ac:dyDescent="0.45">
      <c r="B571" s="461"/>
      <c r="C571" s="369"/>
      <c r="D571" s="368">
        <f>TrialBalanceB!C167</f>
        <v>0</v>
      </c>
      <c r="L571" s="372"/>
      <c r="M571" s="37"/>
      <c r="N571" s="368"/>
      <c r="O571" s="441">
        <f>TrialBalanceB!I167</f>
        <v>0</v>
      </c>
      <c r="P571" s="478"/>
      <c r="Q571" s="389"/>
      <c r="R571" s="416" t="str">
        <f t="shared" si="19"/>
        <v>DELETE</v>
      </c>
    </row>
    <row r="572" spans="2:18" ht="31.5" customHeight="1" x14ac:dyDescent="0.45">
      <c r="B572" s="461"/>
      <c r="C572" s="369"/>
      <c r="D572" s="368">
        <f>TrialBalanceB!C168</f>
        <v>0</v>
      </c>
      <c r="L572" s="372"/>
      <c r="M572" s="37"/>
      <c r="N572" s="368"/>
      <c r="O572" s="441">
        <f>TrialBalanceB!I168</f>
        <v>0</v>
      </c>
      <c r="P572" s="478"/>
      <c r="Q572" s="389"/>
      <c r="R572" s="416" t="str">
        <f t="shared" si="19"/>
        <v>DELETE</v>
      </c>
    </row>
    <row r="573" spans="2:18" ht="31.5" customHeight="1" x14ac:dyDescent="0.45">
      <c r="B573" s="461"/>
      <c r="C573" s="369"/>
      <c r="D573" s="368">
        <f>TrialBalanceB!C169</f>
        <v>0</v>
      </c>
      <c r="L573" s="372"/>
      <c r="M573" s="37"/>
      <c r="N573" s="368"/>
      <c r="O573" s="441">
        <f>TrialBalanceB!I169</f>
        <v>0</v>
      </c>
      <c r="P573" s="478"/>
      <c r="Q573" s="389"/>
      <c r="R573" s="416" t="str">
        <f t="shared" si="19"/>
        <v>DELETE</v>
      </c>
    </row>
    <row r="574" spans="2:18" ht="31.5" customHeight="1" x14ac:dyDescent="0.45">
      <c r="B574" s="461"/>
      <c r="C574" s="369"/>
      <c r="D574" s="368">
        <f>TrialBalanceB!C170</f>
        <v>0</v>
      </c>
      <c r="L574" s="372"/>
      <c r="M574" s="37"/>
      <c r="N574" s="368"/>
      <c r="O574" s="441">
        <f>TrialBalanceB!I170</f>
        <v>0</v>
      </c>
      <c r="P574" s="478"/>
      <c r="Q574" s="389"/>
      <c r="R574" s="416" t="str">
        <f t="shared" si="19"/>
        <v>DELETE</v>
      </c>
    </row>
    <row r="575" spans="2:18" ht="31.5" customHeight="1" x14ac:dyDescent="0.45">
      <c r="B575" s="461"/>
      <c r="C575" s="369"/>
      <c r="D575" s="368">
        <f>TrialBalanceB!C171</f>
        <v>0</v>
      </c>
      <c r="L575" s="372"/>
      <c r="M575" s="37"/>
      <c r="N575" s="368"/>
      <c r="O575" s="441">
        <f>TrialBalanceB!I171</f>
        <v>0</v>
      </c>
      <c r="P575" s="478"/>
      <c r="Q575" s="389"/>
      <c r="R575" s="416" t="str">
        <f t="shared" si="19"/>
        <v>DELETE</v>
      </c>
    </row>
    <row r="576" spans="2:18" ht="31.5" customHeight="1" x14ac:dyDescent="0.45">
      <c r="B576" s="461"/>
      <c r="C576" s="369"/>
      <c r="D576" s="368">
        <f>TrialBalanceC!C167</f>
        <v>0</v>
      </c>
      <c r="L576" s="372"/>
      <c r="M576" s="37"/>
      <c r="N576" s="368"/>
      <c r="O576" s="441">
        <f>TrialBalanceC!I167</f>
        <v>0</v>
      </c>
      <c r="P576" s="478"/>
      <c r="Q576" s="389"/>
      <c r="R576" s="416" t="str">
        <f t="shared" si="19"/>
        <v>DELETE</v>
      </c>
    </row>
    <row r="577" spans="2:18" ht="31.5" customHeight="1" x14ac:dyDescent="0.45">
      <c r="B577" s="461"/>
      <c r="C577" s="369"/>
      <c r="D577" s="368">
        <f>TrialBalanceC!C168</f>
        <v>0</v>
      </c>
      <c r="L577" s="372"/>
      <c r="M577" s="37"/>
      <c r="N577" s="368"/>
      <c r="O577" s="441">
        <f>TrialBalanceC!I168</f>
        <v>0</v>
      </c>
      <c r="P577" s="478"/>
      <c r="Q577" s="389"/>
      <c r="R577" s="416" t="str">
        <f t="shared" si="19"/>
        <v>DELETE</v>
      </c>
    </row>
    <row r="578" spans="2:18" ht="31.5" customHeight="1" x14ac:dyDescent="0.45">
      <c r="B578" s="461"/>
      <c r="C578" s="369"/>
      <c r="D578" s="368">
        <f>TrialBalanceC!C169</f>
        <v>0</v>
      </c>
      <c r="L578" s="372"/>
      <c r="M578" s="37"/>
      <c r="N578" s="368"/>
      <c r="O578" s="441">
        <f>TrialBalanceC!I169</f>
        <v>0</v>
      </c>
      <c r="P578" s="478"/>
      <c r="Q578" s="389"/>
      <c r="R578" s="416" t="str">
        <f t="shared" si="19"/>
        <v>DELETE</v>
      </c>
    </row>
    <row r="579" spans="2:18" ht="31.5" customHeight="1" x14ac:dyDescent="0.45">
      <c r="B579" s="461"/>
      <c r="C579" s="369"/>
      <c r="D579" s="368">
        <f>TrialBalanceC!C170</f>
        <v>0</v>
      </c>
      <c r="L579" s="372"/>
      <c r="M579" s="37"/>
      <c r="N579" s="368"/>
      <c r="O579" s="441">
        <f>TrialBalanceC!I170</f>
        <v>0</v>
      </c>
      <c r="P579" s="478"/>
      <c r="Q579" s="389"/>
      <c r="R579" s="416" t="str">
        <f t="shared" si="19"/>
        <v>DELETE</v>
      </c>
    </row>
    <row r="580" spans="2:18" ht="31.5" customHeight="1" x14ac:dyDescent="0.45">
      <c r="B580" s="461"/>
      <c r="C580" s="369"/>
      <c r="D580" s="368">
        <f>TrialBalanceC!C171</f>
        <v>0</v>
      </c>
      <c r="L580" s="372"/>
      <c r="M580" s="37"/>
      <c r="N580" s="368"/>
      <c r="O580" s="441">
        <f>TrialBalanceC!I171</f>
        <v>0</v>
      </c>
      <c r="P580" s="478"/>
      <c r="Q580" s="389"/>
      <c r="R580" s="416" t="str">
        <f>IF(O580=0,"DELETE"," ")</f>
        <v>DELETE</v>
      </c>
    </row>
    <row r="581" spans="2:18" ht="9" customHeight="1" x14ac:dyDescent="0.45">
      <c r="B581" s="461"/>
      <c r="C581" s="369"/>
      <c r="L581" s="372"/>
      <c r="M581" s="37"/>
      <c r="N581" s="368"/>
      <c r="O581" s="438"/>
      <c r="P581" s="478"/>
      <c r="Q581" s="389"/>
      <c r="R581" s="416" t="str">
        <f>R583</f>
        <v>DELETE</v>
      </c>
    </row>
    <row r="582" spans="2:18" ht="9" customHeight="1" x14ac:dyDescent="0.45">
      <c r="B582" s="461"/>
      <c r="C582" s="369"/>
      <c r="L582" s="372"/>
      <c r="M582" s="37"/>
      <c r="N582" s="368"/>
      <c r="O582" s="441"/>
      <c r="P582" s="478"/>
      <c r="Q582" s="389"/>
      <c r="R582" s="416" t="str">
        <f>R583</f>
        <v>DELETE</v>
      </c>
    </row>
    <row r="583" spans="2:18" ht="31.5" customHeight="1" x14ac:dyDescent="0.45">
      <c r="B583" s="461"/>
      <c r="C583" s="369"/>
      <c r="L583" s="372"/>
      <c r="M583" s="37"/>
      <c r="N583" s="368"/>
      <c r="O583" s="441">
        <f>SUM(O561:O581)</f>
        <v>0</v>
      </c>
      <c r="P583" s="478"/>
      <c r="Q583" s="389"/>
      <c r="R583" s="416" t="str">
        <f t="shared" ref="R583" si="20">IF(O583=0,"DELETE"," ")</f>
        <v>DELETE</v>
      </c>
    </row>
    <row r="584" spans="2:18" ht="9" customHeight="1" thickBot="1" x14ac:dyDescent="0.5">
      <c r="B584" s="461"/>
      <c r="C584" s="369"/>
      <c r="L584" s="372"/>
      <c r="M584" s="37"/>
      <c r="N584" s="368"/>
      <c r="O584" s="439"/>
      <c r="P584" s="478"/>
      <c r="Q584" s="389"/>
      <c r="R584" s="416" t="str">
        <f>R583</f>
        <v>DELETE</v>
      </c>
    </row>
    <row r="585" spans="2:18" ht="9" customHeight="1" thickTop="1" x14ac:dyDescent="0.45">
      <c r="B585" s="461"/>
      <c r="C585" s="369"/>
      <c r="L585" s="372"/>
      <c r="M585" s="37"/>
      <c r="N585" s="368"/>
      <c r="O585" s="441"/>
      <c r="P585" s="478"/>
      <c r="Q585" s="389"/>
      <c r="R585" s="416" t="str">
        <f>R583</f>
        <v>DELETE</v>
      </c>
    </row>
    <row r="586" spans="2:18" ht="31.5" customHeight="1" x14ac:dyDescent="0.45">
      <c r="B586" s="461"/>
      <c r="C586" s="369"/>
      <c r="L586" s="372"/>
      <c r="M586" s="37"/>
      <c r="N586" s="368"/>
      <c r="O586" s="441"/>
      <c r="P586" s="478"/>
      <c r="Q586" s="389"/>
      <c r="R586" s="416" t="str">
        <f>R$583</f>
        <v>DELETE</v>
      </c>
    </row>
    <row r="587" spans="2:18" ht="31.5" customHeight="1" x14ac:dyDescent="0.45">
      <c r="B587" s="461"/>
      <c r="C587" s="369"/>
      <c r="M587" s="441"/>
      <c r="N587" s="400"/>
      <c r="O587" s="441"/>
      <c r="P587" s="478"/>
      <c r="Q587" s="389"/>
      <c r="R587" s="416" t="str">
        <f>R$583</f>
        <v>DELETE</v>
      </c>
    </row>
    <row r="588" spans="2:18" ht="31.5" customHeight="1" x14ac:dyDescent="0.45">
      <c r="B588" s="462"/>
      <c r="C588" s="407"/>
      <c r="D588" s="383"/>
      <c r="E588" s="383"/>
      <c r="F588" s="383"/>
      <c r="G588" s="383"/>
      <c r="H588" s="383"/>
      <c r="I588" s="383"/>
      <c r="J588" s="383"/>
      <c r="K588" s="383"/>
      <c r="L588" s="383"/>
      <c r="M588" s="438"/>
      <c r="N588" s="392"/>
      <c r="O588" s="438"/>
      <c r="P588" s="475"/>
      <c r="Q588" s="398"/>
      <c r="R588" s="416" t="str">
        <f>R$583</f>
        <v>DELETE</v>
      </c>
    </row>
    <row r="589" spans="2:18" ht="31.5" customHeight="1" x14ac:dyDescent="0.45">
      <c r="B589" s="445"/>
      <c r="C589" s="369"/>
      <c r="M589" s="434"/>
      <c r="N589" s="390"/>
      <c r="O589" s="434"/>
      <c r="R589" s="416" t="str">
        <f>R$583</f>
        <v>DELETE</v>
      </c>
    </row>
    <row r="590" spans="2:18" ht="31.5" customHeight="1" x14ac:dyDescent="0.45">
      <c r="B590" s="431"/>
      <c r="M590" s="479"/>
      <c r="N590" s="469"/>
      <c r="O590" s="479"/>
      <c r="R590" s="416" t="str">
        <f>R$666</f>
        <v>DELETE</v>
      </c>
    </row>
    <row r="591" spans="2:18" ht="31.5" customHeight="1" x14ac:dyDescent="0.45">
      <c r="B591" s="431"/>
      <c r="D591" s="369" t="str">
        <f>Criteria!E9</f>
        <v>ABC TRUST</v>
      </c>
      <c r="M591" s="479"/>
      <c r="N591" s="469"/>
      <c r="O591" s="434" t="s">
        <v>105</v>
      </c>
      <c r="Q591" s="370">
        <f>MAX($Q$114:Q590)+1</f>
        <v>9</v>
      </c>
      <c r="R591" s="416" t="str">
        <f>R$666</f>
        <v>DELETE</v>
      </c>
    </row>
    <row r="592" spans="2:18" ht="31.5" customHeight="1" x14ac:dyDescent="0.45">
      <c r="B592" s="431"/>
      <c r="D592" s="369" t="str">
        <f>Criteria!E10</f>
        <v>T/A RENTAL PROPERTIES, SEAFRONT RESTAURANT AND SURF SHOP</v>
      </c>
      <c r="M592" s="479"/>
      <c r="N592" s="469"/>
      <c r="O592" s="479"/>
      <c r="R592" s="416" t="str">
        <f>IF(R$666="DELETE","DELETE",IF(D592=0,"DELETE"," "))</f>
        <v>DELETE</v>
      </c>
    </row>
    <row r="593" spans="2:21" ht="31.5" customHeight="1" x14ac:dyDescent="0.45">
      <c r="B593" s="431"/>
      <c r="M593" s="479"/>
      <c r="N593" s="469"/>
      <c r="O593" s="479"/>
      <c r="R593" s="416" t="str">
        <f t="shared" ref="R593:R600" si="21">R$666</f>
        <v>DELETE</v>
      </c>
    </row>
    <row r="594" spans="2:21" ht="31.5" customHeight="1" x14ac:dyDescent="0.45">
      <c r="B594" s="431"/>
      <c r="D594" s="369" t="s">
        <v>383</v>
      </c>
      <c r="M594" s="479"/>
      <c r="N594" s="469"/>
      <c r="O594" s="479"/>
      <c r="R594" s="416" t="str">
        <f t="shared" si="21"/>
        <v>DELETE</v>
      </c>
    </row>
    <row r="595" spans="2:21" ht="31.5" customHeight="1" x14ac:dyDescent="0.45">
      <c r="B595" s="431"/>
      <c r="D595" s="369" t="str">
        <f>Criteria!E20</f>
        <v>29 FEBRUARY 2024</v>
      </c>
      <c r="J595" s="368" t="s">
        <v>253</v>
      </c>
      <c r="M595" s="479"/>
      <c r="N595" s="469"/>
      <c r="O595" s="479"/>
      <c r="R595" s="416" t="str">
        <f t="shared" si="21"/>
        <v>DELETE</v>
      </c>
    </row>
    <row r="596" spans="2:21" ht="31.5" customHeight="1" x14ac:dyDescent="0.45">
      <c r="B596" s="431"/>
      <c r="M596" s="482"/>
      <c r="N596" s="483"/>
      <c r="O596" s="482"/>
      <c r="R596" s="416" t="str">
        <f t="shared" si="21"/>
        <v>DELETE</v>
      </c>
    </row>
    <row r="597" spans="2:21" ht="31.5" customHeight="1" x14ac:dyDescent="0.45">
      <c r="B597" s="463"/>
      <c r="C597" s="386"/>
      <c r="D597" s="386"/>
      <c r="E597" s="386"/>
      <c r="F597" s="386"/>
      <c r="G597" s="386"/>
      <c r="H597" s="386"/>
      <c r="I597" s="386"/>
      <c r="J597" s="386"/>
      <c r="K597" s="386"/>
      <c r="L597" s="386"/>
      <c r="M597" s="484"/>
      <c r="N597" s="485"/>
      <c r="O597" s="484"/>
      <c r="P597" s="481"/>
      <c r="Q597" s="387"/>
      <c r="R597" s="416" t="str">
        <f t="shared" si="21"/>
        <v>DELETE</v>
      </c>
    </row>
    <row r="598" spans="2:21" ht="31.5" customHeight="1" x14ac:dyDescent="0.45">
      <c r="B598" s="464"/>
      <c r="L598" s="372"/>
      <c r="M598" s="37"/>
      <c r="N598" s="368"/>
      <c r="O598" s="430">
        <f>Criteria!E22</f>
        <v>2024</v>
      </c>
      <c r="Q598" s="389"/>
      <c r="R598" s="416" t="str">
        <f t="shared" si="21"/>
        <v>DELETE</v>
      </c>
    </row>
    <row r="599" spans="2:21" ht="31.5" customHeight="1" x14ac:dyDescent="0.45">
      <c r="B599" s="461"/>
      <c r="C599" s="369"/>
      <c r="L599" s="372"/>
      <c r="M599" s="37"/>
      <c r="N599" s="368"/>
      <c r="O599" s="434"/>
      <c r="Q599" s="389"/>
      <c r="R599" s="416" t="str">
        <f t="shared" si="21"/>
        <v>DELETE</v>
      </c>
    </row>
    <row r="600" spans="2:21" ht="31.5" customHeight="1" x14ac:dyDescent="0.45">
      <c r="B600" s="461">
        <f>MAX($B$429:B599)+1</f>
        <v>5</v>
      </c>
      <c r="C600" s="369" t="s">
        <v>123</v>
      </c>
      <c r="L600" s="372"/>
      <c r="M600" s="37"/>
      <c r="N600" s="368"/>
      <c r="O600" s="434"/>
      <c r="Q600" s="389"/>
      <c r="R600" s="416" t="str">
        <f t="shared" si="21"/>
        <v>DELETE</v>
      </c>
    </row>
    <row r="601" spans="2:21" ht="31.5" customHeight="1" x14ac:dyDescent="0.45">
      <c r="B601" s="461"/>
      <c r="C601" s="369"/>
      <c r="D601" s="368" t="str">
        <f>Criteria!H13</f>
        <v>Rental Properties</v>
      </c>
      <c r="L601" s="372"/>
      <c r="M601" s="37"/>
      <c r="N601" s="368"/>
      <c r="O601" s="434">
        <f>SUM(O603:O615)</f>
        <v>0</v>
      </c>
      <c r="Q601" s="389"/>
      <c r="R601" s="416" t="str">
        <f>IF(O601=0,"DELETE"," ")</f>
        <v>DELETE</v>
      </c>
      <c r="S601" s="421">
        <f>O601</f>
        <v>0</v>
      </c>
      <c r="U601" s="417" t="b">
        <f>O601=O1639</f>
        <v>1</v>
      </c>
    </row>
    <row r="602" spans="2:21" ht="9" customHeight="1" x14ac:dyDescent="0.45">
      <c r="B602" s="461"/>
      <c r="C602" s="369"/>
      <c r="L602" s="372"/>
      <c r="M602" s="37"/>
      <c r="N602" s="368"/>
      <c r="O602" s="434"/>
      <c r="Q602" s="389"/>
      <c r="R602" s="416" t="str">
        <f>R601</f>
        <v>DELETE</v>
      </c>
    </row>
    <row r="603" spans="2:21" ht="9" customHeight="1" x14ac:dyDescent="0.45">
      <c r="B603" s="461"/>
      <c r="C603" s="369"/>
      <c r="L603" s="372"/>
      <c r="M603" s="37"/>
      <c r="N603" s="368"/>
      <c r="O603" s="455"/>
      <c r="Q603" s="389"/>
      <c r="R603" s="416" t="str">
        <f>R601</f>
        <v>DELETE</v>
      </c>
    </row>
    <row r="604" spans="2:21" ht="31.5" customHeight="1" x14ac:dyDescent="0.45">
      <c r="B604" s="461"/>
      <c r="C604" s="369"/>
      <c r="D604" s="368">
        <f>TrialBalance!C129</f>
        <v>0</v>
      </c>
      <c r="L604" s="372"/>
      <c r="M604" s="37"/>
      <c r="N604" s="368"/>
      <c r="O604" s="456">
        <f>TrialBalance!L129</f>
        <v>0</v>
      </c>
      <c r="Q604" s="389"/>
      <c r="R604" s="416" t="str">
        <f t="shared" ref="R604:R614" si="22">IF(O604=0,"DELETE"," ")</f>
        <v>DELETE</v>
      </c>
    </row>
    <row r="605" spans="2:21" ht="31.5" customHeight="1" x14ac:dyDescent="0.45">
      <c r="B605" s="461"/>
      <c r="C605" s="369"/>
      <c r="D605" s="368">
        <f>TrialBalance!C130</f>
        <v>0</v>
      </c>
      <c r="L605" s="372"/>
      <c r="M605" s="37"/>
      <c r="N605" s="368"/>
      <c r="O605" s="456">
        <f>TrialBalance!L130</f>
        <v>0</v>
      </c>
      <c r="Q605" s="389"/>
      <c r="R605" s="416" t="str">
        <f t="shared" si="22"/>
        <v>DELETE</v>
      </c>
    </row>
    <row r="606" spans="2:21" ht="31.5" customHeight="1" x14ac:dyDescent="0.45">
      <c r="B606" s="461"/>
      <c r="C606" s="369"/>
      <c r="D606" s="368">
        <f>TrialBalance!C131</f>
        <v>0</v>
      </c>
      <c r="L606" s="372"/>
      <c r="M606" s="37"/>
      <c r="N606" s="368"/>
      <c r="O606" s="456">
        <f>TrialBalance!L131</f>
        <v>0</v>
      </c>
      <c r="Q606" s="389"/>
      <c r="R606" s="416" t="str">
        <f t="shared" si="22"/>
        <v>DELETE</v>
      </c>
    </row>
    <row r="607" spans="2:21" ht="31.5" customHeight="1" x14ac:dyDescent="0.45">
      <c r="B607" s="461"/>
      <c r="C607" s="369"/>
      <c r="D607" s="368">
        <f>TrialBalance!C132</f>
        <v>0</v>
      </c>
      <c r="L607" s="372"/>
      <c r="M607" s="37"/>
      <c r="N607" s="368"/>
      <c r="O607" s="456">
        <f>TrialBalance!L132</f>
        <v>0</v>
      </c>
      <c r="Q607" s="389"/>
      <c r="R607" s="416" t="str">
        <f t="shared" si="22"/>
        <v>DELETE</v>
      </c>
    </row>
    <row r="608" spans="2:21" ht="31.5" customHeight="1" x14ac:dyDescent="0.45">
      <c r="B608" s="461"/>
      <c r="C608" s="369"/>
      <c r="D608" s="368">
        <f>TrialBalance!C133</f>
        <v>0</v>
      </c>
      <c r="L608" s="372"/>
      <c r="M608" s="37"/>
      <c r="N608" s="368"/>
      <c r="O608" s="456">
        <f>TrialBalance!L133</f>
        <v>0</v>
      </c>
      <c r="Q608" s="389"/>
      <c r="R608" s="416" t="str">
        <f t="shared" si="22"/>
        <v>DELETE</v>
      </c>
    </row>
    <row r="609" spans="2:21" ht="31.5" customHeight="1" x14ac:dyDescent="0.45">
      <c r="B609" s="461"/>
      <c r="C609" s="369"/>
      <c r="D609" s="368">
        <f>TrialBalance!C134</f>
        <v>0</v>
      </c>
      <c r="L609" s="372"/>
      <c r="M609" s="37"/>
      <c r="N609" s="368"/>
      <c r="O609" s="456">
        <f>TrialBalance!L134</f>
        <v>0</v>
      </c>
      <c r="Q609" s="389"/>
      <c r="R609" s="416" t="str">
        <f t="shared" si="22"/>
        <v>DELETE</v>
      </c>
    </row>
    <row r="610" spans="2:21" ht="31.5" customHeight="1" x14ac:dyDescent="0.45">
      <c r="B610" s="461"/>
      <c r="C610" s="369"/>
      <c r="D610" s="368">
        <f>TrialBalance!C135</f>
        <v>0</v>
      </c>
      <c r="L610" s="372"/>
      <c r="M610" s="37"/>
      <c r="N610" s="368"/>
      <c r="O610" s="456">
        <f>TrialBalance!L135</f>
        <v>0</v>
      </c>
      <c r="Q610" s="389"/>
      <c r="R610" s="416" t="str">
        <f t="shared" si="22"/>
        <v>DELETE</v>
      </c>
    </row>
    <row r="611" spans="2:21" ht="31.5" customHeight="1" x14ac:dyDescent="0.45">
      <c r="B611" s="461"/>
      <c r="C611" s="369"/>
      <c r="D611" s="368">
        <f>TrialBalance!C136</f>
        <v>0</v>
      </c>
      <c r="L611" s="372"/>
      <c r="M611" s="37"/>
      <c r="N611" s="368"/>
      <c r="O611" s="456">
        <f>TrialBalance!L136</f>
        <v>0</v>
      </c>
      <c r="Q611" s="389"/>
      <c r="R611" s="416" t="str">
        <f t="shared" si="22"/>
        <v>DELETE</v>
      </c>
    </row>
    <row r="612" spans="2:21" ht="31.5" customHeight="1" x14ac:dyDescent="0.45">
      <c r="B612" s="461"/>
      <c r="C612" s="369"/>
      <c r="D612" s="368">
        <f>TrialBalance!C137</f>
        <v>0</v>
      </c>
      <c r="L612" s="372"/>
      <c r="M612" s="37"/>
      <c r="N612" s="368"/>
      <c r="O612" s="456">
        <f>TrialBalance!L137</f>
        <v>0</v>
      </c>
      <c r="Q612" s="389"/>
      <c r="R612" s="416" t="str">
        <f t="shared" si="22"/>
        <v>DELETE</v>
      </c>
    </row>
    <row r="613" spans="2:21" ht="31.5" customHeight="1" x14ac:dyDescent="0.45">
      <c r="B613" s="461"/>
      <c r="C613" s="369"/>
      <c r="D613" s="368">
        <f>TrialBalance!C138</f>
        <v>0</v>
      </c>
      <c r="L613" s="372"/>
      <c r="M613" s="37"/>
      <c r="N613" s="368"/>
      <c r="O613" s="456">
        <f>TrialBalance!L138</f>
        <v>0</v>
      </c>
      <c r="Q613" s="389"/>
      <c r="R613" s="416" t="str">
        <f t="shared" si="22"/>
        <v>DELETE</v>
      </c>
    </row>
    <row r="614" spans="2:21" ht="31.5" customHeight="1" x14ac:dyDescent="0.45">
      <c r="B614" s="461"/>
      <c r="C614" s="369"/>
      <c r="D614" s="368" t="str">
        <f>TrialBalance!C139</f>
        <v>Interest on finance leases - Rental Properties</v>
      </c>
      <c r="L614" s="372"/>
      <c r="M614" s="37"/>
      <c r="N614" s="368"/>
      <c r="O614" s="456">
        <f>TrialBalance!L139</f>
        <v>0</v>
      </c>
      <c r="Q614" s="389"/>
      <c r="R614" s="416" t="str">
        <f t="shared" si="22"/>
        <v>DELETE</v>
      </c>
    </row>
    <row r="615" spans="2:21" ht="9" customHeight="1" x14ac:dyDescent="0.45">
      <c r="B615" s="461"/>
      <c r="C615" s="369"/>
      <c r="L615" s="372"/>
      <c r="M615" s="37"/>
      <c r="N615" s="368"/>
      <c r="O615" s="457"/>
      <c r="Q615" s="389"/>
      <c r="R615" s="416" t="str">
        <f>R601</f>
        <v>DELETE</v>
      </c>
    </row>
    <row r="616" spans="2:21" ht="9" customHeight="1" x14ac:dyDescent="0.45">
      <c r="B616" s="461"/>
      <c r="C616" s="369"/>
      <c r="L616" s="372"/>
      <c r="M616" s="37"/>
      <c r="N616" s="368"/>
      <c r="O616" s="434"/>
      <c r="Q616" s="389"/>
      <c r="R616" s="416" t="str">
        <f>R601</f>
        <v>DELETE</v>
      </c>
    </row>
    <row r="617" spans="2:21" ht="31.5" customHeight="1" x14ac:dyDescent="0.45">
      <c r="B617" s="461"/>
      <c r="C617" s="369"/>
      <c r="D617" s="368" t="str">
        <f>Criteria!H14</f>
        <v>Seafront Restaurant</v>
      </c>
      <c r="L617" s="372"/>
      <c r="M617" s="37"/>
      <c r="N617" s="368"/>
      <c r="O617" s="434">
        <f>SUM(O619:O631)</f>
        <v>0</v>
      </c>
      <c r="Q617" s="389"/>
      <c r="R617" s="416" t="str">
        <f t="shared" ref="R617" si="23">IF(O617=0,"DELETE"," ")</f>
        <v>DELETE</v>
      </c>
      <c r="S617" s="421">
        <f>O617</f>
        <v>0</v>
      </c>
      <c r="U617" s="417" t="b">
        <f>O617=O1939</f>
        <v>1</v>
      </c>
    </row>
    <row r="618" spans="2:21" ht="9" customHeight="1" x14ac:dyDescent="0.45">
      <c r="B618" s="461"/>
      <c r="C618" s="369"/>
      <c r="L618" s="372"/>
      <c r="M618" s="37"/>
      <c r="N618" s="368"/>
      <c r="O618" s="434"/>
      <c r="Q618" s="389"/>
      <c r="R618" s="416" t="str">
        <f>R617</f>
        <v>DELETE</v>
      </c>
    </row>
    <row r="619" spans="2:21" ht="9" customHeight="1" x14ac:dyDescent="0.45">
      <c r="B619" s="461"/>
      <c r="C619" s="369"/>
      <c r="L619" s="372"/>
      <c r="M619" s="37"/>
      <c r="N619" s="368"/>
      <c r="O619" s="455"/>
      <c r="Q619" s="389"/>
      <c r="R619" s="416" t="str">
        <f>R617</f>
        <v>DELETE</v>
      </c>
    </row>
    <row r="620" spans="2:21" ht="31.5" customHeight="1" x14ac:dyDescent="0.45">
      <c r="B620" s="461"/>
      <c r="C620" s="369"/>
      <c r="D620" s="368">
        <f>TrialBalanceA!C129</f>
        <v>0</v>
      </c>
      <c r="L620" s="372"/>
      <c r="M620" s="37"/>
      <c r="N620" s="368"/>
      <c r="O620" s="456">
        <f>TrialBalanceA!I129</f>
        <v>0</v>
      </c>
      <c r="Q620" s="389"/>
      <c r="R620" s="416" t="str">
        <f t="shared" ref="R620:R630" si="24">IF(O620=0,"DELETE"," ")</f>
        <v>DELETE</v>
      </c>
    </row>
    <row r="621" spans="2:21" ht="31.5" customHeight="1" x14ac:dyDescent="0.45">
      <c r="B621" s="461"/>
      <c r="C621" s="369"/>
      <c r="D621" s="368">
        <f>TrialBalanceA!C130</f>
        <v>0</v>
      </c>
      <c r="L621" s="372"/>
      <c r="M621" s="37"/>
      <c r="N621" s="368"/>
      <c r="O621" s="456">
        <f>TrialBalanceA!I130</f>
        <v>0</v>
      </c>
      <c r="Q621" s="389"/>
      <c r="R621" s="416" t="str">
        <f t="shared" si="24"/>
        <v>DELETE</v>
      </c>
    </row>
    <row r="622" spans="2:21" ht="31.5" customHeight="1" x14ac:dyDescent="0.45">
      <c r="B622" s="461"/>
      <c r="C622" s="369"/>
      <c r="D622" s="368">
        <f>TrialBalanceA!C131</f>
        <v>0</v>
      </c>
      <c r="L622" s="372"/>
      <c r="M622" s="37"/>
      <c r="N622" s="368"/>
      <c r="O622" s="456">
        <f>TrialBalanceA!I131</f>
        <v>0</v>
      </c>
      <c r="Q622" s="389"/>
      <c r="R622" s="416" t="str">
        <f t="shared" si="24"/>
        <v>DELETE</v>
      </c>
    </row>
    <row r="623" spans="2:21" ht="31.5" customHeight="1" x14ac:dyDescent="0.45">
      <c r="B623" s="461"/>
      <c r="C623" s="369"/>
      <c r="D623" s="368">
        <f>TrialBalanceA!C132</f>
        <v>0</v>
      </c>
      <c r="L623" s="372"/>
      <c r="M623" s="37"/>
      <c r="N623" s="368"/>
      <c r="O623" s="456">
        <f>TrialBalanceA!I132</f>
        <v>0</v>
      </c>
      <c r="Q623" s="389"/>
      <c r="R623" s="416" t="str">
        <f t="shared" si="24"/>
        <v>DELETE</v>
      </c>
    </row>
    <row r="624" spans="2:21" ht="31.5" customHeight="1" x14ac:dyDescent="0.45">
      <c r="B624" s="461"/>
      <c r="C624" s="369"/>
      <c r="D624" s="368">
        <f>TrialBalanceA!C133</f>
        <v>0</v>
      </c>
      <c r="L624" s="372"/>
      <c r="M624" s="37"/>
      <c r="N624" s="368"/>
      <c r="O624" s="456">
        <f>TrialBalanceA!I133</f>
        <v>0</v>
      </c>
      <c r="Q624" s="389"/>
      <c r="R624" s="416" t="str">
        <f t="shared" si="24"/>
        <v>DELETE</v>
      </c>
    </row>
    <row r="625" spans="2:21" ht="31.5" customHeight="1" x14ac:dyDescent="0.45">
      <c r="B625" s="461"/>
      <c r="C625" s="369"/>
      <c r="D625" s="368">
        <f>TrialBalanceA!C134</f>
        <v>0</v>
      </c>
      <c r="L625" s="372"/>
      <c r="M625" s="37"/>
      <c r="N625" s="368"/>
      <c r="O625" s="456">
        <f>TrialBalanceA!I134</f>
        <v>0</v>
      </c>
      <c r="Q625" s="389"/>
      <c r="R625" s="416" t="str">
        <f t="shared" si="24"/>
        <v>DELETE</v>
      </c>
    </row>
    <row r="626" spans="2:21" ht="31.5" customHeight="1" x14ac:dyDescent="0.45">
      <c r="B626" s="461"/>
      <c r="C626" s="369"/>
      <c r="D626" s="368">
        <f>TrialBalanceA!C135</f>
        <v>0</v>
      </c>
      <c r="L626" s="372"/>
      <c r="M626" s="37"/>
      <c r="N626" s="368"/>
      <c r="O626" s="456">
        <f>TrialBalanceA!I135</f>
        <v>0</v>
      </c>
      <c r="Q626" s="389"/>
      <c r="R626" s="416" t="str">
        <f t="shared" si="24"/>
        <v>DELETE</v>
      </c>
    </row>
    <row r="627" spans="2:21" ht="31.5" customHeight="1" x14ac:dyDescent="0.45">
      <c r="B627" s="461"/>
      <c r="C627" s="369"/>
      <c r="D627" s="368">
        <f>TrialBalanceA!C136</f>
        <v>0</v>
      </c>
      <c r="L627" s="372"/>
      <c r="M627" s="37"/>
      <c r="N627" s="368"/>
      <c r="O627" s="456">
        <f>TrialBalanceA!I136</f>
        <v>0</v>
      </c>
      <c r="Q627" s="389"/>
      <c r="R627" s="416" t="str">
        <f t="shared" si="24"/>
        <v>DELETE</v>
      </c>
    </row>
    <row r="628" spans="2:21" ht="31.5" customHeight="1" x14ac:dyDescent="0.45">
      <c r="B628" s="461"/>
      <c r="C628" s="369"/>
      <c r="D628" s="368">
        <f>TrialBalanceA!C137</f>
        <v>0</v>
      </c>
      <c r="L628" s="372"/>
      <c r="M628" s="37"/>
      <c r="N628" s="368"/>
      <c r="O628" s="456">
        <f>TrialBalanceA!I137</f>
        <v>0</v>
      </c>
      <c r="Q628" s="389"/>
      <c r="R628" s="416" t="str">
        <f t="shared" si="24"/>
        <v>DELETE</v>
      </c>
    </row>
    <row r="629" spans="2:21" ht="31.5" customHeight="1" x14ac:dyDescent="0.45">
      <c r="B629" s="461"/>
      <c r="C629" s="369"/>
      <c r="D629" s="368">
        <f>TrialBalanceA!C138</f>
        <v>0</v>
      </c>
      <c r="L629" s="372"/>
      <c r="M629" s="37"/>
      <c r="N629" s="368"/>
      <c r="O629" s="456">
        <f>TrialBalanceA!I138</f>
        <v>0</v>
      </c>
      <c r="Q629" s="389"/>
      <c r="R629" s="416" t="str">
        <f t="shared" si="24"/>
        <v>DELETE</v>
      </c>
    </row>
    <row r="630" spans="2:21" ht="31.5" customHeight="1" x14ac:dyDescent="0.45">
      <c r="B630" s="461"/>
      <c r="C630" s="369"/>
      <c r="D630" s="368" t="str">
        <f>TrialBalanceA!C139</f>
        <v>Interest on finance leases - Seafront Restaurant</v>
      </c>
      <c r="L630" s="372"/>
      <c r="M630" s="37"/>
      <c r="N630" s="368"/>
      <c r="O630" s="456">
        <f>TrialBalanceA!I139</f>
        <v>0</v>
      </c>
      <c r="Q630" s="389"/>
      <c r="R630" s="416" t="str">
        <f t="shared" si="24"/>
        <v>DELETE</v>
      </c>
    </row>
    <row r="631" spans="2:21" ht="9" customHeight="1" x14ac:dyDescent="0.45">
      <c r="B631" s="461"/>
      <c r="C631" s="369"/>
      <c r="L631" s="372"/>
      <c r="M631" s="37"/>
      <c r="N631" s="368"/>
      <c r="O631" s="457"/>
      <c r="Q631" s="389"/>
      <c r="R631" s="416" t="str">
        <f>R617</f>
        <v>DELETE</v>
      </c>
    </row>
    <row r="632" spans="2:21" ht="9" customHeight="1" x14ac:dyDescent="0.45">
      <c r="B632" s="461"/>
      <c r="C632" s="369"/>
      <c r="L632" s="372"/>
      <c r="M632" s="37"/>
      <c r="N632" s="368"/>
      <c r="O632" s="434"/>
      <c r="Q632" s="389"/>
      <c r="R632" s="416" t="str">
        <f>R617</f>
        <v>DELETE</v>
      </c>
    </row>
    <row r="633" spans="2:21" ht="31.5" customHeight="1" x14ac:dyDescent="0.45">
      <c r="B633" s="461"/>
      <c r="C633" s="369"/>
      <c r="D633" s="368" t="str">
        <f>Criteria!H15</f>
        <v>Surf Shop</v>
      </c>
      <c r="L633" s="372"/>
      <c r="M633" s="37"/>
      <c r="N633" s="368"/>
      <c r="O633" s="434">
        <f>SUM(O635:O647)</f>
        <v>0</v>
      </c>
      <c r="Q633" s="389"/>
      <c r="R633" s="416" t="str">
        <f t="shared" ref="R633" si="25">IF(O633=0,"DELETE"," ")</f>
        <v>DELETE</v>
      </c>
      <c r="S633" s="421">
        <f>O633</f>
        <v>0</v>
      </c>
      <c r="U633" s="417" t="b">
        <f>O633=O2099</f>
        <v>1</v>
      </c>
    </row>
    <row r="634" spans="2:21" ht="9" customHeight="1" x14ac:dyDescent="0.45">
      <c r="B634" s="461"/>
      <c r="C634" s="369"/>
      <c r="L634" s="372"/>
      <c r="M634" s="37"/>
      <c r="N634" s="368"/>
      <c r="O634" s="434"/>
      <c r="Q634" s="389"/>
      <c r="R634" s="416" t="str">
        <f>R633</f>
        <v>DELETE</v>
      </c>
    </row>
    <row r="635" spans="2:21" ht="9" customHeight="1" x14ac:dyDescent="0.45">
      <c r="B635" s="461"/>
      <c r="C635" s="369"/>
      <c r="L635" s="372"/>
      <c r="M635" s="37"/>
      <c r="N635" s="368"/>
      <c r="O635" s="455"/>
      <c r="Q635" s="389"/>
      <c r="R635" s="416" t="str">
        <f>R633</f>
        <v>DELETE</v>
      </c>
    </row>
    <row r="636" spans="2:21" ht="31.5" customHeight="1" x14ac:dyDescent="0.45">
      <c r="B636" s="461"/>
      <c r="C636" s="369"/>
      <c r="D636" s="368">
        <f>TrialBalanceB!C129</f>
        <v>0</v>
      </c>
      <c r="L636" s="372"/>
      <c r="M636" s="37"/>
      <c r="N636" s="368"/>
      <c r="O636" s="456">
        <f>TrialBalanceB!I129</f>
        <v>0</v>
      </c>
      <c r="Q636" s="389"/>
      <c r="R636" s="416" t="str">
        <f t="shared" ref="R636:R646" si="26">IF(O636=0,"DELETE"," ")</f>
        <v>DELETE</v>
      </c>
    </row>
    <row r="637" spans="2:21" ht="31.5" customHeight="1" x14ac:dyDescent="0.45">
      <c r="B637" s="461"/>
      <c r="C637" s="369"/>
      <c r="D637" s="368">
        <f>TrialBalanceB!C130</f>
        <v>0</v>
      </c>
      <c r="L637" s="372"/>
      <c r="M637" s="37"/>
      <c r="N637" s="368"/>
      <c r="O637" s="456">
        <f>TrialBalanceB!I130</f>
        <v>0</v>
      </c>
      <c r="Q637" s="389"/>
      <c r="R637" s="416" t="str">
        <f t="shared" si="26"/>
        <v>DELETE</v>
      </c>
    </row>
    <row r="638" spans="2:21" ht="31.5" customHeight="1" x14ac:dyDescent="0.45">
      <c r="B638" s="461"/>
      <c r="C638" s="369"/>
      <c r="D638" s="368">
        <f>TrialBalanceB!C131</f>
        <v>0</v>
      </c>
      <c r="L638" s="372"/>
      <c r="M638" s="37"/>
      <c r="N638" s="368"/>
      <c r="O638" s="456">
        <f>TrialBalanceB!I131</f>
        <v>0</v>
      </c>
      <c r="Q638" s="389"/>
      <c r="R638" s="416" t="str">
        <f t="shared" si="26"/>
        <v>DELETE</v>
      </c>
    </row>
    <row r="639" spans="2:21" ht="31.5" customHeight="1" x14ac:dyDescent="0.45">
      <c r="B639" s="461"/>
      <c r="C639" s="369"/>
      <c r="D639" s="368">
        <f>TrialBalanceB!C132</f>
        <v>0</v>
      </c>
      <c r="L639" s="372"/>
      <c r="M639" s="37"/>
      <c r="N639" s="368"/>
      <c r="O639" s="456">
        <f>TrialBalanceB!I132</f>
        <v>0</v>
      </c>
      <c r="Q639" s="389"/>
      <c r="R639" s="416" t="str">
        <f t="shared" si="26"/>
        <v>DELETE</v>
      </c>
    </row>
    <row r="640" spans="2:21" ht="31.5" customHeight="1" x14ac:dyDescent="0.45">
      <c r="B640" s="461"/>
      <c r="C640" s="369"/>
      <c r="D640" s="368">
        <f>TrialBalanceB!C133</f>
        <v>0</v>
      </c>
      <c r="L640" s="372"/>
      <c r="M640" s="37"/>
      <c r="N640" s="368"/>
      <c r="O640" s="456">
        <f>TrialBalanceB!I133</f>
        <v>0</v>
      </c>
      <c r="Q640" s="389"/>
      <c r="R640" s="416" t="str">
        <f t="shared" si="26"/>
        <v>DELETE</v>
      </c>
    </row>
    <row r="641" spans="2:21" ht="31.5" customHeight="1" x14ac:dyDescent="0.45">
      <c r="B641" s="461"/>
      <c r="C641" s="369"/>
      <c r="D641" s="368">
        <f>TrialBalanceB!C134</f>
        <v>0</v>
      </c>
      <c r="L641" s="372"/>
      <c r="M641" s="37"/>
      <c r="N641" s="368"/>
      <c r="O641" s="456">
        <f>TrialBalanceB!I134</f>
        <v>0</v>
      </c>
      <c r="Q641" s="389"/>
      <c r="R641" s="416" t="str">
        <f t="shared" si="26"/>
        <v>DELETE</v>
      </c>
    </row>
    <row r="642" spans="2:21" ht="31.5" customHeight="1" x14ac:dyDescent="0.45">
      <c r="B642" s="461"/>
      <c r="C642" s="369"/>
      <c r="D642" s="368">
        <f>TrialBalanceB!C135</f>
        <v>0</v>
      </c>
      <c r="L642" s="372"/>
      <c r="M642" s="37"/>
      <c r="N642" s="368"/>
      <c r="O642" s="456">
        <f>TrialBalanceB!I135</f>
        <v>0</v>
      </c>
      <c r="Q642" s="389"/>
      <c r="R642" s="416" t="str">
        <f t="shared" si="26"/>
        <v>DELETE</v>
      </c>
    </row>
    <row r="643" spans="2:21" ht="31.5" customHeight="1" x14ac:dyDescent="0.45">
      <c r="B643" s="461"/>
      <c r="C643" s="369"/>
      <c r="D643" s="368">
        <f>TrialBalanceB!C136</f>
        <v>0</v>
      </c>
      <c r="L643" s="372"/>
      <c r="M643" s="37"/>
      <c r="N643" s="368"/>
      <c r="O643" s="456">
        <f>TrialBalanceB!I136</f>
        <v>0</v>
      </c>
      <c r="Q643" s="389"/>
      <c r="R643" s="416" t="str">
        <f t="shared" si="26"/>
        <v>DELETE</v>
      </c>
    </row>
    <row r="644" spans="2:21" ht="31.5" customHeight="1" x14ac:dyDescent="0.45">
      <c r="B644" s="461"/>
      <c r="C644" s="369"/>
      <c r="D644" s="368">
        <f>TrialBalanceB!C137</f>
        <v>0</v>
      </c>
      <c r="L644" s="372"/>
      <c r="M644" s="37"/>
      <c r="N644" s="368"/>
      <c r="O644" s="456">
        <f>TrialBalanceB!I137</f>
        <v>0</v>
      </c>
      <c r="Q644" s="389"/>
      <c r="R644" s="416" t="str">
        <f t="shared" si="26"/>
        <v>DELETE</v>
      </c>
    </row>
    <row r="645" spans="2:21" ht="31.5" customHeight="1" x14ac:dyDescent="0.45">
      <c r="B645" s="461"/>
      <c r="C645" s="369"/>
      <c r="D645" s="368">
        <f>TrialBalanceB!C138</f>
        <v>0</v>
      </c>
      <c r="L645" s="372"/>
      <c r="M645" s="37"/>
      <c r="N645" s="368"/>
      <c r="O645" s="456">
        <f>TrialBalanceB!I138</f>
        <v>0</v>
      </c>
      <c r="Q645" s="389"/>
      <c r="R645" s="416" t="str">
        <f t="shared" si="26"/>
        <v>DELETE</v>
      </c>
    </row>
    <row r="646" spans="2:21" ht="31.5" customHeight="1" x14ac:dyDescent="0.45">
      <c r="B646" s="461"/>
      <c r="C646" s="369"/>
      <c r="D646" s="368" t="str">
        <f>TrialBalanceB!C139</f>
        <v>Interest on finance leases - Surf Shop</v>
      </c>
      <c r="L646" s="372"/>
      <c r="M646" s="37"/>
      <c r="N646" s="368"/>
      <c r="O646" s="456">
        <f>TrialBalanceB!I139</f>
        <v>0</v>
      </c>
      <c r="Q646" s="389"/>
      <c r="R646" s="416" t="str">
        <f t="shared" si="26"/>
        <v>DELETE</v>
      </c>
    </row>
    <row r="647" spans="2:21" ht="9" customHeight="1" x14ac:dyDescent="0.45">
      <c r="B647" s="461"/>
      <c r="C647" s="369"/>
      <c r="L647" s="372"/>
      <c r="M647" s="37"/>
      <c r="N647" s="368"/>
      <c r="O647" s="457"/>
      <c r="Q647" s="389"/>
      <c r="R647" s="416" t="str">
        <f>R633</f>
        <v>DELETE</v>
      </c>
    </row>
    <row r="648" spans="2:21" ht="9" customHeight="1" x14ac:dyDescent="0.45">
      <c r="B648" s="461"/>
      <c r="C648" s="369"/>
      <c r="L648" s="372"/>
      <c r="M648" s="37"/>
      <c r="N648" s="368"/>
      <c r="O648" s="434"/>
      <c r="Q648" s="389"/>
      <c r="R648" s="416" t="str">
        <f>R633</f>
        <v>DELETE</v>
      </c>
    </row>
    <row r="649" spans="2:21" ht="31.5" customHeight="1" x14ac:dyDescent="0.45">
      <c r="B649" s="461"/>
      <c r="C649" s="369"/>
      <c r="D649" s="368">
        <f>Criteria!H16</f>
        <v>0</v>
      </c>
      <c r="L649" s="372"/>
      <c r="M649" s="37"/>
      <c r="N649" s="368"/>
      <c r="O649" s="434">
        <f>SUM(O651:O663)</f>
        <v>0</v>
      </c>
      <c r="Q649" s="389"/>
      <c r="R649" s="416" t="str">
        <f t="shared" ref="R649" si="27">IF(O649=0,"DELETE"," ")</f>
        <v>DELETE</v>
      </c>
      <c r="S649" s="421">
        <f>O649</f>
        <v>0</v>
      </c>
      <c r="U649" s="417" t="b">
        <f>O649=O2259</f>
        <v>1</v>
      </c>
    </row>
    <row r="650" spans="2:21" ht="9" customHeight="1" x14ac:dyDescent="0.45">
      <c r="B650" s="461"/>
      <c r="C650" s="369"/>
      <c r="L650" s="372"/>
      <c r="M650" s="37"/>
      <c r="N650" s="368"/>
      <c r="O650" s="434"/>
      <c r="Q650" s="389"/>
      <c r="R650" s="416" t="str">
        <f>R649</f>
        <v>DELETE</v>
      </c>
    </row>
    <row r="651" spans="2:21" ht="9" customHeight="1" x14ac:dyDescent="0.45">
      <c r="B651" s="461"/>
      <c r="C651" s="369"/>
      <c r="L651" s="372"/>
      <c r="M651" s="37"/>
      <c r="N651" s="368"/>
      <c r="O651" s="455"/>
      <c r="Q651" s="389"/>
      <c r="R651" s="416" t="str">
        <f>R649</f>
        <v>DELETE</v>
      </c>
    </row>
    <row r="652" spans="2:21" ht="31.5" customHeight="1" x14ac:dyDescent="0.45">
      <c r="B652" s="461"/>
      <c r="C652" s="369"/>
      <c r="D652" s="368">
        <f>TrialBalanceC!C129</f>
        <v>0</v>
      </c>
      <c r="L652" s="372"/>
      <c r="M652" s="37"/>
      <c r="N652" s="368"/>
      <c r="O652" s="456">
        <f>TrialBalanceC!I129</f>
        <v>0</v>
      </c>
      <c r="Q652" s="389"/>
      <c r="R652" s="416" t="str">
        <f t="shared" ref="R652:R662" si="28">IF(O652=0,"DELETE"," ")</f>
        <v>DELETE</v>
      </c>
    </row>
    <row r="653" spans="2:21" ht="31.5" customHeight="1" x14ac:dyDescent="0.45">
      <c r="B653" s="461"/>
      <c r="C653" s="369"/>
      <c r="D653" s="368">
        <f>TrialBalanceC!C130</f>
        <v>0</v>
      </c>
      <c r="L653" s="372"/>
      <c r="M653" s="37"/>
      <c r="N653" s="368"/>
      <c r="O653" s="456">
        <f>TrialBalanceC!I130</f>
        <v>0</v>
      </c>
      <c r="Q653" s="389"/>
      <c r="R653" s="416" t="str">
        <f t="shared" si="28"/>
        <v>DELETE</v>
      </c>
    </row>
    <row r="654" spans="2:21" ht="31.5" customHeight="1" x14ac:dyDescent="0.45">
      <c r="B654" s="461"/>
      <c r="C654" s="369"/>
      <c r="D654" s="368">
        <f>TrialBalanceC!C131</f>
        <v>0</v>
      </c>
      <c r="L654" s="372"/>
      <c r="M654" s="37"/>
      <c r="N654" s="368"/>
      <c r="O654" s="456">
        <f>TrialBalanceC!I131</f>
        <v>0</v>
      </c>
      <c r="Q654" s="389"/>
      <c r="R654" s="416" t="str">
        <f t="shared" si="28"/>
        <v>DELETE</v>
      </c>
    </row>
    <row r="655" spans="2:21" ht="31.5" customHeight="1" x14ac:dyDescent="0.45">
      <c r="B655" s="461"/>
      <c r="C655" s="369"/>
      <c r="D655" s="368">
        <f>TrialBalanceC!C132</f>
        <v>0</v>
      </c>
      <c r="L655" s="372"/>
      <c r="M655" s="37"/>
      <c r="N655" s="368"/>
      <c r="O655" s="456">
        <f>TrialBalanceC!I132</f>
        <v>0</v>
      </c>
      <c r="Q655" s="389"/>
      <c r="R655" s="416" t="str">
        <f t="shared" si="28"/>
        <v>DELETE</v>
      </c>
    </row>
    <row r="656" spans="2:21" ht="31.5" customHeight="1" x14ac:dyDescent="0.45">
      <c r="B656" s="461"/>
      <c r="C656" s="369"/>
      <c r="D656" s="368">
        <f>TrialBalanceC!C133</f>
        <v>0</v>
      </c>
      <c r="L656" s="372"/>
      <c r="M656" s="37"/>
      <c r="N656" s="368"/>
      <c r="O656" s="456">
        <f>TrialBalanceC!I133</f>
        <v>0</v>
      </c>
      <c r="Q656" s="389"/>
      <c r="R656" s="416" t="str">
        <f t="shared" si="28"/>
        <v>DELETE</v>
      </c>
    </row>
    <row r="657" spans="2:18" ht="31.5" customHeight="1" x14ac:dyDescent="0.45">
      <c r="B657" s="461"/>
      <c r="C657" s="369"/>
      <c r="D657" s="368">
        <f>TrialBalanceC!C134</f>
        <v>0</v>
      </c>
      <c r="L657" s="372"/>
      <c r="M657" s="37"/>
      <c r="N657" s="368"/>
      <c r="O657" s="456">
        <f>TrialBalanceC!I134</f>
        <v>0</v>
      </c>
      <c r="Q657" s="389"/>
      <c r="R657" s="416" t="str">
        <f t="shared" si="28"/>
        <v>DELETE</v>
      </c>
    </row>
    <row r="658" spans="2:18" ht="31.5" customHeight="1" x14ac:dyDescent="0.45">
      <c r="B658" s="461"/>
      <c r="C658" s="369"/>
      <c r="D658" s="368">
        <f>TrialBalanceC!C135</f>
        <v>0</v>
      </c>
      <c r="L658" s="372"/>
      <c r="M658" s="37"/>
      <c r="N658" s="368"/>
      <c r="O658" s="456">
        <f>TrialBalanceC!I135</f>
        <v>0</v>
      </c>
      <c r="Q658" s="389"/>
      <c r="R658" s="416" t="str">
        <f t="shared" si="28"/>
        <v>DELETE</v>
      </c>
    </row>
    <row r="659" spans="2:18" ht="31.5" customHeight="1" x14ac:dyDescent="0.45">
      <c r="B659" s="461"/>
      <c r="C659" s="369"/>
      <c r="D659" s="368">
        <f>TrialBalanceC!C136</f>
        <v>0</v>
      </c>
      <c r="L659" s="372"/>
      <c r="M659" s="37"/>
      <c r="N659" s="368"/>
      <c r="O659" s="456">
        <f>TrialBalanceC!I136</f>
        <v>0</v>
      </c>
      <c r="Q659" s="389"/>
      <c r="R659" s="416" t="str">
        <f t="shared" si="28"/>
        <v>DELETE</v>
      </c>
    </row>
    <row r="660" spans="2:18" ht="31.5" customHeight="1" x14ac:dyDescent="0.45">
      <c r="B660" s="461"/>
      <c r="C660" s="369"/>
      <c r="D660" s="368">
        <f>TrialBalanceC!C137</f>
        <v>0</v>
      </c>
      <c r="L660" s="372"/>
      <c r="M660" s="37"/>
      <c r="N660" s="368"/>
      <c r="O660" s="456">
        <f>TrialBalanceC!I137</f>
        <v>0</v>
      </c>
      <c r="Q660" s="389"/>
      <c r="R660" s="416" t="str">
        <f t="shared" si="28"/>
        <v>DELETE</v>
      </c>
    </row>
    <row r="661" spans="2:18" ht="31.5" customHeight="1" x14ac:dyDescent="0.45">
      <c r="B661" s="461"/>
      <c r="C661" s="369"/>
      <c r="D661" s="368">
        <f>TrialBalanceC!C138</f>
        <v>0</v>
      </c>
      <c r="L661" s="372"/>
      <c r="M661" s="37"/>
      <c r="N661" s="368"/>
      <c r="O661" s="456">
        <f>TrialBalanceC!I138</f>
        <v>0</v>
      </c>
      <c r="Q661" s="389"/>
      <c r="R661" s="416" t="str">
        <f t="shared" si="28"/>
        <v>DELETE</v>
      </c>
    </row>
    <row r="662" spans="2:18" ht="31.5" customHeight="1" x14ac:dyDescent="0.45">
      <c r="B662" s="461"/>
      <c r="C662" s="369"/>
      <c r="D662" s="368" t="str">
        <f>TrialBalanceC!C139</f>
        <v xml:space="preserve">Interest on finance leases - </v>
      </c>
      <c r="L662" s="372"/>
      <c r="M662" s="37"/>
      <c r="N662" s="368"/>
      <c r="O662" s="456">
        <f>TrialBalanceC!I139</f>
        <v>0</v>
      </c>
      <c r="Q662" s="389"/>
      <c r="R662" s="416" t="str">
        <f t="shared" si="28"/>
        <v>DELETE</v>
      </c>
    </row>
    <row r="663" spans="2:18" ht="9" customHeight="1" x14ac:dyDescent="0.45">
      <c r="B663" s="461"/>
      <c r="C663" s="369"/>
      <c r="L663" s="372"/>
      <c r="M663" s="37"/>
      <c r="N663" s="368"/>
      <c r="O663" s="457"/>
      <c r="Q663" s="389"/>
      <c r="R663" s="416" t="str">
        <f>R649</f>
        <v>DELETE</v>
      </c>
    </row>
    <row r="664" spans="2:18" ht="9" customHeight="1" x14ac:dyDescent="0.45">
      <c r="B664" s="461"/>
      <c r="C664" s="369"/>
      <c r="L664" s="372"/>
      <c r="M664" s="37"/>
      <c r="N664" s="368"/>
      <c r="O664" s="438"/>
      <c r="Q664" s="389"/>
      <c r="R664" s="416" t="str">
        <f>R666</f>
        <v>DELETE</v>
      </c>
    </row>
    <row r="665" spans="2:18" ht="9" customHeight="1" x14ac:dyDescent="0.45">
      <c r="B665" s="461"/>
      <c r="C665" s="369"/>
      <c r="L665" s="372"/>
      <c r="M665" s="37"/>
      <c r="N665" s="368"/>
      <c r="O665" s="434"/>
      <c r="Q665" s="389"/>
      <c r="R665" s="416" t="str">
        <f>R666</f>
        <v>DELETE</v>
      </c>
    </row>
    <row r="666" spans="2:18" ht="31.5" customHeight="1" x14ac:dyDescent="0.45">
      <c r="B666" s="461"/>
      <c r="C666" s="369"/>
      <c r="L666" s="372"/>
      <c r="M666" s="37"/>
      <c r="N666" s="368"/>
      <c r="O666" s="434">
        <f>SUM(S601:S663)</f>
        <v>0</v>
      </c>
      <c r="Q666" s="389"/>
      <c r="R666" s="416" t="str">
        <f t="shared" ref="R666" si="29">IF(O666=0,"DELETE"," ")</f>
        <v>DELETE</v>
      </c>
    </row>
    <row r="667" spans="2:18" ht="9" customHeight="1" thickBot="1" x14ac:dyDescent="0.5">
      <c r="B667" s="461"/>
      <c r="C667" s="369"/>
      <c r="L667" s="372"/>
      <c r="M667" s="37"/>
      <c r="N667" s="368"/>
      <c r="O667" s="439"/>
      <c r="Q667" s="389"/>
      <c r="R667" s="416" t="str">
        <f>R666</f>
        <v>DELETE</v>
      </c>
    </row>
    <row r="668" spans="2:18" ht="9" customHeight="1" thickTop="1" x14ac:dyDescent="0.45">
      <c r="B668" s="461"/>
      <c r="C668" s="369"/>
      <c r="L668" s="372"/>
      <c r="M668" s="37"/>
      <c r="N668" s="368"/>
      <c r="O668" s="441"/>
      <c r="Q668" s="389"/>
      <c r="R668" s="416" t="str">
        <f>R666</f>
        <v>DELETE</v>
      </c>
    </row>
    <row r="669" spans="2:18" ht="31.5" customHeight="1" x14ac:dyDescent="0.45">
      <c r="B669" s="461"/>
      <c r="C669" s="369"/>
      <c r="L669" s="372"/>
      <c r="M669" s="37"/>
      <c r="N669" s="368"/>
      <c r="O669" s="441"/>
      <c r="Q669" s="389"/>
      <c r="R669" s="416" t="str">
        <f>R$666</f>
        <v>DELETE</v>
      </c>
    </row>
    <row r="670" spans="2:18" ht="31.5" customHeight="1" x14ac:dyDescent="0.45">
      <c r="B670" s="461"/>
      <c r="C670" s="369"/>
      <c r="M670" s="441"/>
      <c r="N670" s="400"/>
      <c r="O670" s="441"/>
      <c r="Q670" s="389"/>
      <c r="R670" s="416" t="str">
        <f>R$666</f>
        <v>DELETE</v>
      </c>
    </row>
    <row r="671" spans="2:18" ht="31.5" customHeight="1" x14ac:dyDescent="0.45">
      <c r="B671" s="462"/>
      <c r="C671" s="407"/>
      <c r="D671" s="383"/>
      <c r="E671" s="383"/>
      <c r="F671" s="383"/>
      <c r="G671" s="383"/>
      <c r="H671" s="383"/>
      <c r="I671" s="383"/>
      <c r="J671" s="383"/>
      <c r="K671" s="383"/>
      <c r="L671" s="383"/>
      <c r="M671" s="438"/>
      <c r="N671" s="392"/>
      <c r="O671" s="438"/>
      <c r="P671" s="475"/>
      <c r="Q671" s="398"/>
      <c r="R671" s="416" t="str">
        <f>R$666</f>
        <v>DELETE</v>
      </c>
    </row>
    <row r="672" spans="2:18" ht="31.5" customHeight="1" x14ac:dyDescent="0.45">
      <c r="B672" s="370"/>
      <c r="C672" s="369"/>
      <c r="M672" s="434"/>
      <c r="N672" s="390"/>
      <c r="O672" s="434"/>
      <c r="R672" s="416" t="str">
        <f>R$666</f>
        <v>DELETE</v>
      </c>
    </row>
    <row r="673" spans="2:23" ht="31.5" customHeight="1" x14ac:dyDescent="0.45">
      <c r="B673" s="445"/>
      <c r="C673" s="369"/>
      <c r="M673" s="434"/>
      <c r="N673" s="390"/>
      <c r="O673" s="434"/>
    </row>
    <row r="674" spans="2:23" ht="31.5" customHeight="1" x14ac:dyDescent="0.45">
      <c r="B674" s="431"/>
      <c r="D674" s="369" t="str">
        <f>Criteria!E9</f>
        <v>ABC TRUST</v>
      </c>
      <c r="M674" s="479"/>
      <c r="N674" s="469"/>
      <c r="O674" s="434" t="s">
        <v>105</v>
      </c>
      <c r="Q674" s="370">
        <f>MAX($Q$114:Q673)+1</f>
        <v>10</v>
      </c>
    </row>
    <row r="675" spans="2:23" ht="31.5" customHeight="1" x14ac:dyDescent="0.45">
      <c r="B675" s="431"/>
      <c r="D675" s="369" t="str">
        <f>Criteria!E10</f>
        <v>T/A RENTAL PROPERTIES, SEAFRONT RESTAURANT AND SURF SHOP</v>
      </c>
      <c r="M675" s="479"/>
      <c r="N675" s="469"/>
      <c r="O675" s="479"/>
      <c r="R675" s="416" t="str">
        <f>IF(D675=0,"DELETE"," ")</f>
        <v xml:space="preserve"> </v>
      </c>
    </row>
    <row r="676" spans="2:23" ht="31.5" customHeight="1" x14ac:dyDescent="0.45">
      <c r="B676" s="431"/>
      <c r="M676" s="479"/>
      <c r="N676" s="469"/>
      <c r="O676" s="479"/>
    </row>
    <row r="677" spans="2:23" ht="31.5" customHeight="1" x14ac:dyDescent="0.45">
      <c r="B677" s="431"/>
      <c r="D677" s="369" t="s">
        <v>383</v>
      </c>
      <c r="M677" s="479"/>
      <c r="N677" s="469"/>
      <c r="O677" s="479"/>
    </row>
    <row r="678" spans="2:23" ht="31.5" customHeight="1" x14ac:dyDescent="0.45">
      <c r="B678" s="431"/>
      <c r="D678" s="369" t="str">
        <f>Criteria!E20</f>
        <v>29 FEBRUARY 2024</v>
      </c>
      <c r="J678" s="368" t="s">
        <v>253</v>
      </c>
      <c r="M678" s="479"/>
      <c r="N678" s="469"/>
      <c r="O678" s="479"/>
    </row>
    <row r="679" spans="2:23" ht="31.5" customHeight="1" x14ac:dyDescent="0.45">
      <c r="B679" s="431"/>
      <c r="D679" s="369"/>
      <c r="M679" s="479"/>
      <c r="N679" s="469"/>
      <c r="O679" s="479"/>
    </row>
    <row r="680" spans="2:23" ht="31.5" customHeight="1" x14ac:dyDescent="0.45">
      <c r="B680" s="465"/>
      <c r="C680" s="410"/>
      <c r="D680" s="386"/>
      <c r="E680" s="386"/>
      <c r="F680" s="386"/>
      <c r="G680" s="386"/>
      <c r="H680" s="386"/>
      <c r="I680" s="386"/>
      <c r="J680" s="386"/>
      <c r="K680" s="386"/>
      <c r="L680" s="386"/>
      <c r="M680" s="446"/>
      <c r="N680" s="391"/>
      <c r="O680" s="446"/>
      <c r="P680" s="481"/>
      <c r="Q680" s="387"/>
    </row>
    <row r="681" spans="2:23" ht="31.5" customHeight="1" x14ac:dyDescent="0.45">
      <c r="B681" s="461"/>
      <c r="C681" s="369"/>
      <c r="L681" s="372"/>
      <c r="M681" s="37"/>
      <c r="N681" s="368"/>
      <c r="O681" s="430">
        <f>Criteria!E22</f>
        <v>2024</v>
      </c>
      <c r="Q681" s="389"/>
    </row>
    <row r="682" spans="2:23" ht="31.5" customHeight="1" x14ac:dyDescent="0.45">
      <c r="B682" s="461"/>
      <c r="C682" s="369"/>
      <c r="L682" s="372"/>
      <c r="M682" s="37"/>
      <c r="N682" s="368"/>
      <c r="O682" s="434"/>
      <c r="Q682" s="389"/>
    </row>
    <row r="683" spans="2:23" ht="31.5" customHeight="1" x14ac:dyDescent="0.45">
      <c r="B683" s="461">
        <f>MAX($B$429:B682)+1</f>
        <v>6</v>
      </c>
      <c r="C683" s="411" t="str">
        <f>IF((W683=2),"OPERATING PROFIT","OPERATING LOSS")</f>
        <v>OPERATING PROFIT</v>
      </c>
      <c r="L683" s="372"/>
      <c r="M683" s="37"/>
      <c r="N683" s="368"/>
      <c r="O683" s="434"/>
      <c r="Q683" s="389"/>
      <c r="W683" s="417">
        <f>IF(SUM(S291:S312)&lt;0,1,2)</f>
        <v>2</v>
      </c>
    </row>
    <row r="684" spans="2:23" ht="31.5" customHeight="1" x14ac:dyDescent="0.45">
      <c r="B684" s="461"/>
      <c r="C684" s="369"/>
      <c r="D684" s="384" t="str">
        <f>IF((W684=2),"The following items have been charged in arriving at the operating profit:","The following items have been charged in arriving at the operating loss:")</f>
        <v>The following items have been charged in arriving at the operating profit:</v>
      </c>
      <c r="L684" s="372"/>
      <c r="M684" s="37"/>
      <c r="N684" s="368"/>
      <c r="O684" s="434"/>
      <c r="Q684" s="389"/>
      <c r="W684" s="417">
        <f>IF(SUM(S291:S312)&lt;0,1,2)</f>
        <v>2</v>
      </c>
    </row>
    <row r="685" spans="2:23" ht="31.5" customHeight="1" x14ac:dyDescent="0.45">
      <c r="B685" s="461"/>
      <c r="C685" s="369"/>
      <c r="L685" s="372"/>
      <c r="M685" s="37"/>
      <c r="N685" s="368"/>
      <c r="O685" s="434"/>
      <c r="Q685" s="389"/>
    </row>
    <row r="686" spans="2:23" ht="31.5" customHeight="1" x14ac:dyDescent="0.45">
      <c r="B686" s="461"/>
      <c r="C686" s="262">
        <f>B683+0.1</f>
        <v>6.1</v>
      </c>
      <c r="D686" s="368" t="str">
        <f>IF(MAX(Criteria!I38:I42)&gt;1,"TRUSTEES' REMUNERATION","TRUSTEE'S REMUNERATION")</f>
        <v>TRUSTEES' REMUNERATION</v>
      </c>
      <c r="L686" s="372"/>
      <c r="M686" s="37"/>
      <c r="N686" s="368"/>
      <c r="O686" s="434"/>
      <c r="Q686" s="389"/>
    </row>
    <row r="687" spans="2:23" ht="31.5" customHeight="1" x14ac:dyDescent="0.45">
      <c r="B687" s="461"/>
      <c r="C687" s="36"/>
      <c r="D687" s="412" t="str">
        <f>TrialBalance!C98</f>
        <v>A Trustee</v>
      </c>
      <c r="L687" s="372"/>
      <c r="M687" s="37"/>
      <c r="N687" s="368"/>
      <c r="O687" s="434">
        <f>TrialBalance!L98+TrialBalanceA!I98+TrialBalanceB!I98+TrialBalanceC!I98</f>
        <v>0</v>
      </c>
      <c r="Q687" s="389"/>
      <c r="R687" s="416" t="str">
        <f>IF(O687=0,"DELETE"," ")</f>
        <v>DELETE</v>
      </c>
    </row>
    <row r="688" spans="2:23" ht="31.5" customHeight="1" x14ac:dyDescent="0.45">
      <c r="B688" s="461"/>
      <c r="C688" s="36"/>
      <c r="D688" s="412" t="str">
        <f>TrialBalance!C99</f>
        <v>C Trustee</v>
      </c>
      <c r="L688" s="372"/>
      <c r="M688" s="37"/>
      <c r="N688" s="368"/>
      <c r="O688" s="434">
        <f>TrialBalance!L99+TrialBalanceA!I99+TrialBalanceB!I99+TrialBalanceC!I99</f>
        <v>0</v>
      </c>
      <c r="Q688" s="389"/>
      <c r="R688" s="416" t="str">
        <f t="shared" ref="R688:R691" si="30">IF(O688=0,"DELETE"," ")</f>
        <v>DELETE</v>
      </c>
    </row>
    <row r="689" spans="2:21" ht="31.5" customHeight="1" x14ac:dyDescent="0.45">
      <c r="B689" s="461"/>
      <c r="C689" s="36"/>
      <c r="D689" s="412">
        <f>TrialBalance!C100</f>
        <v>0</v>
      </c>
      <c r="L689" s="372"/>
      <c r="M689" s="37"/>
      <c r="N689" s="368"/>
      <c r="O689" s="434">
        <f>TrialBalance!L100+TrialBalanceA!I100+TrialBalanceB!I100+TrialBalanceC!I100</f>
        <v>0</v>
      </c>
      <c r="Q689" s="389"/>
      <c r="R689" s="416" t="str">
        <f t="shared" si="30"/>
        <v>DELETE</v>
      </c>
    </row>
    <row r="690" spans="2:21" ht="31.5" customHeight="1" x14ac:dyDescent="0.45">
      <c r="B690" s="461"/>
      <c r="C690" s="36"/>
      <c r="D690" s="412">
        <f>TrialBalance!C101</f>
        <v>0</v>
      </c>
      <c r="L690" s="372"/>
      <c r="M690" s="37"/>
      <c r="N690" s="368"/>
      <c r="O690" s="434">
        <f>TrialBalance!L101+TrialBalanceA!I101+TrialBalanceB!I101+TrialBalanceC!I101</f>
        <v>0</v>
      </c>
      <c r="Q690" s="389"/>
      <c r="R690" s="416" t="str">
        <f t="shared" si="30"/>
        <v>DELETE</v>
      </c>
    </row>
    <row r="691" spans="2:21" ht="31.5" customHeight="1" x14ac:dyDescent="0.45">
      <c r="B691" s="461"/>
      <c r="C691" s="36"/>
      <c r="D691" s="412">
        <f>TrialBalance!C102</f>
        <v>0</v>
      </c>
      <c r="L691" s="372"/>
      <c r="M691" s="37"/>
      <c r="N691" s="368"/>
      <c r="O691" s="434">
        <f>TrialBalance!L102+TrialBalanceA!I102+TrialBalanceB!I102+TrialBalanceC!I102</f>
        <v>0</v>
      </c>
      <c r="Q691" s="389"/>
      <c r="R691" s="416" t="str">
        <f t="shared" si="30"/>
        <v>DELETE</v>
      </c>
    </row>
    <row r="692" spans="2:21" ht="9" customHeight="1" x14ac:dyDescent="0.45">
      <c r="B692" s="461"/>
      <c r="C692" s="36"/>
      <c r="L692" s="372"/>
      <c r="M692" s="37"/>
      <c r="N692" s="368"/>
      <c r="O692" s="438"/>
      <c r="Q692" s="389"/>
      <c r="R692" s="416" t="str">
        <f>R694</f>
        <v>DELETE</v>
      </c>
    </row>
    <row r="693" spans="2:21" ht="9" customHeight="1" x14ac:dyDescent="0.45">
      <c r="B693" s="461"/>
      <c r="C693" s="36"/>
      <c r="L693" s="372"/>
      <c r="M693" s="37"/>
      <c r="N693" s="368"/>
      <c r="O693" s="434"/>
      <c r="Q693" s="389"/>
      <c r="R693" s="416" t="str">
        <f>R694</f>
        <v>DELETE</v>
      </c>
    </row>
    <row r="694" spans="2:21" ht="31.5" customHeight="1" x14ac:dyDescent="0.45">
      <c r="B694" s="461"/>
      <c r="C694" s="36"/>
      <c r="L694" s="372"/>
      <c r="M694" s="37"/>
      <c r="N694" s="368"/>
      <c r="O694" s="434">
        <f>SUM(O687:O693)</f>
        <v>0</v>
      </c>
      <c r="Q694" s="389"/>
      <c r="R694" s="416" t="str">
        <f t="shared" ref="R694" si="31">IF(O694=0,"DELETE"," ")</f>
        <v>DELETE</v>
      </c>
      <c r="U694" s="417" t="b">
        <f>O694=SUM(TrialBalance!L98:L102)+SUM(TrialBalanceA!I98:I102)+SUM(TrialBalanceB!I98:I102)+SUM(TrialBalanceC!I98:I102)</f>
        <v>1</v>
      </c>
    </row>
    <row r="695" spans="2:21" ht="9" customHeight="1" thickBot="1" x14ac:dyDescent="0.5">
      <c r="B695" s="461"/>
      <c r="C695" s="36"/>
      <c r="L695" s="372"/>
      <c r="M695" s="37"/>
      <c r="N695" s="368"/>
      <c r="O695" s="439"/>
      <c r="Q695" s="389"/>
      <c r="R695" s="416" t="str">
        <f>R694</f>
        <v>DELETE</v>
      </c>
    </row>
    <row r="696" spans="2:21" ht="9" customHeight="1" thickTop="1" x14ac:dyDescent="0.45">
      <c r="B696" s="461"/>
      <c r="C696" s="36"/>
      <c r="L696" s="372"/>
      <c r="M696" s="37"/>
      <c r="N696" s="368"/>
      <c r="O696" s="441"/>
      <c r="Q696" s="389"/>
      <c r="R696" s="416" t="str">
        <f>R695</f>
        <v>DELETE</v>
      </c>
    </row>
    <row r="697" spans="2:21" ht="31.5" customHeight="1" x14ac:dyDescent="0.45">
      <c r="B697" s="461"/>
      <c r="C697" s="36"/>
      <c r="L697" s="372"/>
      <c r="M697" s="37"/>
      <c r="N697" s="368"/>
      <c r="O697" s="434"/>
      <c r="Q697" s="389"/>
      <c r="R697" s="416" t="str">
        <f>R694</f>
        <v>DELETE</v>
      </c>
    </row>
    <row r="698" spans="2:21" ht="31.5" customHeight="1" x14ac:dyDescent="0.45">
      <c r="B698" s="461"/>
      <c r="C698" s="36"/>
      <c r="D698" s="368" t="str">
        <f>IF(SUM(TrialBalance!L98:L102)+SUM(TrialBalance!N98:N102)+SUM(TrialBalanceA!I98:I102)+SUM(TrialBalanceA!K98:K102)+SUM(TrialBalanceB!I98:I102)+SUM(TrialBalanceB!K98:K102)+SUM(TrialBalanceC!I98:I102)+SUM(TrialBalanceC!K98:K102)&gt;0," ",IF(MAX(Criteria!I38:I42)&gt;1,"No remuneration was paid to the trustees during the period under review.","No remuneration was paid to the trustee during the period under review."))</f>
        <v>No remuneration was paid to the trustees during the period under review.</v>
      </c>
      <c r="L698" s="372"/>
      <c r="M698" s="37"/>
      <c r="N698" s="368"/>
      <c r="O698" s="434"/>
      <c r="Q698" s="389"/>
      <c r="R698" s="416" t="str">
        <f>IF(D698=" ","DELETE"," ")</f>
        <v xml:space="preserve"> </v>
      </c>
    </row>
    <row r="699" spans="2:21" ht="31.5" customHeight="1" x14ac:dyDescent="0.45">
      <c r="B699" s="461"/>
      <c r="C699" s="36"/>
      <c r="M699" s="434"/>
      <c r="N699" s="390"/>
      <c r="O699" s="434"/>
      <c r="Q699" s="389"/>
    </row>
    <row r="700" spans="2:21" ht="31.5" customHeight="1" x14ac:dyDescent="0.45">
      <c r="B700" s="461"/>
      <c r="C700" s="36"/>
      <c r="M700" s="434"/>
      <c r="N700" s="390"/>
      <c r="O700" s="434"/>
      <c r="Q700" s="389"/>
    </row>
    <row r="701" spans="2:21" ht="31.5" customHeight="1" x14ac:dyDescent="0.45">
      <c r="B701" s="462"/>
      <c r="C701" s="267"/>
      <c r="D701" s="383"/>
      <c r="E701" s="383"/>
      <c r="F701" s="383"/>
      <c r="G701" s="383"/>
      <c r="H701" s="383"/>
      <c r="I701" s="383"/>
      <c r="J701" s="383"/>
      <c r="K701" s="383"/>
      <c r="L701" s="383"/>
      <c r="M701" s="438"/>
      <c r="N701" s="392"/>
      <c r="O701" s="438"/>
      <c r="P701" s="475"/>
      <c r="Q701" s="398"/>
    </row>
    <row r="702" spans="2:21" ht="31.5" customHeight="1" x14ac:dyDescent="0.45">
      <c r="B702" s="445"/>
      <c r="C702" s="36"/>
      <c r="M702" s="434"/>
      <c r="N702" s="390"/>
      <c r="O702" s="434"/>
    </row>
    <row r="703" spans="2:21" ht="31.5" customHeight="1" x14ac:dyDescent="0.45">
      <c r="B703" s="445"/>
      <c r="C703" s="36"/>
      <c r="M703" s="434"/>
      <c r="N703" s="390"/>
      <c r="O703" s="434"/>
      <c r="R703" s="416" t="str">
        <f>R$728</f>
        <v>DELETE</v>
      </c>
    </row>
    <row r="704" spans="2:21" ht="31.5" customHeight="1" x14ac:dyDescent="0.45">
      <c r="B704" s="431"/>
      <c r="C704" s="261"/>
      <c r="D704" s="369" t="str">
        <f>Criteria!E9</f>
        <v>ABC TRUST</v>
      </c>
      <c r="M704" s="479"/>
      <c r="N704" s="469"/>
      <c r="O704" s="434" t="s">
        <v>105</v>
      </c>
      <c r="Q704" s="370">
        <f>MAX($Q$114:Q703)+1</f>
        <v>11</v>
      </c>
      <c r="R704" s="416" t="str">
        <f>R$728</f>
        <v>DELETE</v>
      </c>
    </row>
    <row r="705" spans="2:18" ht="31.5" customHeight="1" x14ac:dyDescent="0.45">
      <c r="B705" s="431"/>
      <c r="C705" s="261"/>
      <c r="D705" s="369" t="str">
        <f>Criteria!E10</f>
        <v>T/A RENTAL PROPERTIES, SEAFRONT RESTAURANT AND SURF SHOP</v>
      </c>
      <c r="M705" s="479"/>
      <c r="N705" s="469"/>
      <c r="O705" s="479"/>
      <c r="R705" s="416" t="str">
        <f>IF(R$728="DELETE","DELETE",IF(D705=0,"DELETE"," "))</f>
        <v>DELETE</v>
      </c>
    </row>
    <row r="706" spans="2:18" ht="31.5" customHeight="1" x14ac:dyDescent="0.45">
      <c r="B706" s="431"/>
      <c r="C706" s="261"/>
      <c r="M706" s="479"/>
      <c r="N706" s="469"/>
      <c r="O706" s="479"/>
      <c r="R706" s="416" t="str">
        <f t="shared" ref="R706:R713" si="32">R$728</f>
        <v>DELETE</v>
      </c>
    </row>
    <row r="707" spans="2:18" ht="31.5" customHeight="1" x14ac:dyDescent="0.45">
      <c r="B707" s="431"/>
      <c r="C707" s="261"/>
      <c r="D707" s="369" t="s">
        <v>383</v>
      </c>
      <c r="M707" s="479"/>
      <c r="N707" s="469"/>
      <c r="O707" s="479"/>
      <c r="R707" s="416" t="str">
        <f t="shared" si="32"/>
        <v>DELETE</v>
      </c>
    </row>
    <row r="708" spans="2:18" ht="31.5" customHeight="1" x14ac:dyDescent="0.45">
      <c r="B708" s="431"/>
      <c r="C708" s="261"/>
      <c r="D708" s="369" t="str">
        <f>Criteria!E20</f>
        <v>29 FEBRUARY 2024</v>
      </c>
      <c r="J708" s="368" t="s">
        <v>253</v>
      </c>
      <c r="M708" s="479"/>
      <c r="N708" s="469"/>
      <c r="O708" s="479"/>
      <c r="R708" s="416" t="str">
        <f t="shared" si="32"/>
        <v>DELETE</v>
      </c>
    </row>
    <row r="709" spans="2:18" ht="31.5" customHeight="1" x14ac:dyDescent="0.45">
      <c r="B709" s="431"/>
      <c r="C709" s="261"/>
      <c r="D709" s="369"/>
      <c r="M709" s="479"/>
      <c r="N709" s="469"/>
      <c r="O709" s="479"/>
      <c r="R709" s="416" t="str">
        <f t="shared" si="32"/>
        <v>DELETE</v>
      </c>
    </row>
    <row r="710" spans="2:18" ht="31.5" customHeight="1" x14ac:dyDescent="0.45">
      <c r="B710" s="465"/>
      <c r="C710" s="268"/>
      <c r="D710" s="386"/>
      <c r="E710" s="386"/>
      <c r="F710" s="386"/>
      <c r="G710" s="386"/>
      <c r="H710" s="386"/>
      <c r="I710" s="386"/>
      <c r="J710" s="386"/>
      <c r="K710" s="386"/>
      <c r="L710" s="386"/>
      <c r="M710" s="446"/>
      <c r="N710" s="391"/>
      <c r="O710" s="446"/>
      <c r="P710" s="481"/>
      <c r="Q710" s="387"/>
      <c r="R710" s="416" t="str">
        <f t="shared" si="32"/>
        <v>DELETE</v>
      </c>
    </row>
    <row r="711" spans="2:18" ht="31.5" customHeight="1" x14ac:dyDescent="0.45">
      <c r="B711" s="461"/>
      <c r="C711" s="36"/>
      <c r="L711" s="372"/>
      <c r="M711" s="37"/>
      <c r="N711" s="368"/>
      <c r="O711" s="430">
        <f>Criteria!E22</f>
        <v>2024</v>
      </c>
      <c r="Q711" s="389"/>
      <c r="R711" s="416" t="str">
        <f t="shared" si="32"/>
        <v>DELETE</v>
      </c>
    </row>
    <row r="712" spans="2:18" ht="31.5" customHeight="1" x14ac:dyDescent="0.45">
      <c r="B712" s="461"/>
      <c r="C712" s="36"/>
      <c r="L712" s="372"/>
      <c r="M712" s="37"/>
      <c r="N712" s="368"/>
      <c r="O712" s="434"/>
      <c r="Q712" s="389"/>
      <c r="R712" s="416" t="str">
        <f t="shared" si="32"/>
        <v>DELETE</v>
      </c>
    </row>
    <row r="713" spans="2:18" ht="31.5" customHeight="1" x14ac:dyDescent="0.45">
      <c r="B713" s="461"/>
      <c r="C713" s="262">
        <f>MAX(C684:C712)+0.1</f>
        <v>6.1999999999999993</v>
      </c>
      <c r="D713" s="368" t="s">
        <v>266</v>
      </c>
      <c r="L713" s="372"/>
      <c r="M713" s="37"/>
      <c r="N713" s="368"/>
      <c r="O713" s="434"/>
      <c r="Q713" s="389"/>
      <c r="R713" s="416" t="str">
        <f t="shared" si="32"/>
        <v>DELETE</v>
      </c>
    </row>
    <row r="714" spans="2:18" ht="31.5" customHeight="1" x14ac:dyDescent="0.45">
      <c r="B714" s="461"/>
      <c r="C714" s="262"/>
      <c r="D714" s="368">
        <f>TrialBalance!C58</f>
        <v>0</v>
      </c>
      <c r="L714" s="372"/>
      <c r="M714" s="37"/>
      <c r="N714" s="368"/>
      <c r="O714" s="434">
        <f>TrialBalance!L58</f>
        <v>0</v>
      </c>
      <c r="Q714" s="389"/>
      <c r="R714" s="416" t="str">
        <f>IF(O714=0,"DELETE"," ")</f>
        <v>DELETE</v>
      </c>
    </row>
    <row r="715" spans="2:18" ht="31.5" customHeight="1" x14ac:dyDescent="0.45">
      <c r="B715" s="461"/>
      <c r="C715" s="262"/>
      <c r="D715" s="368">
        <f>TrialBalance!C59</f>
        <v>0</v>
      </c>
      <c r="L715" s="372"/>
      <c r="M715" s="37"/>
      <c r="N715" s="368"/>
      <c r="O715" s="434">
        <f>TrialBalance!L59</f>
        <v>0</v>
      </c>
      <c r="Q715" s="389"/>
      <c r="R715" s="416" t="str">
        <f t="shared" ref="R715:R725" si="33">IF(O715=0,"DELETE"," ")</f>
        <v>DELETE</v>
      </c>
    </row>
    <row r="716" spans="2:18" ht="31.5" customHeight="1" x14ac:dyDescent="0.45">
      <c r="B716" s="461"/>
      <c r="C716" s="262"/>
      <c r="D716" s="368">
        <f>TrialBalance!C60</f>
        <v>0</v>
      </c>
      <c r="L716" s="372"/>
      <c r="M716" s="37"/>
      <c r="N716" s="368"/>
      <c r="O716" s="434">
        <f>TrialBalance!L60</f>
        <v>0</v>
      </c>
      <c r="Q716" s="389"/>
      <c r="R716" s="416" t="str">
        <f t="shared" si="33"/>
        <v>DELETE</v>
      </c>
    </row>
    <row r="717" spans="2:18" ht="31.5" customHeight="1" x14ac:dyDescent="0.45">
      <c r="B717" s="461"/>
      <c r="C717" s="262"/>
      <c r="D717" s="368">
        <f>TrialBalanceA!C58</f>
        <v>0</v>
      </c>
      <c r="L717" s="372"/>
      <c r="M717" s="37"/>
      <c r="N717" s="368"/>
      <c r="O717" s="434">
        <f>TrialBalanceA!I58</f>
        <v>0</v>
      </c>
      <c r="Q717" s="389"/>
      <c r="R717" s="416" t="str">
        <f t="shared" si="33"/>
        <v>DELETE</v>
      </c>
    </row>
    <row r="718" spans="2:18" ht="31.5" customHeight="1" x14ac:dyDescent="0.45">
      <c r="B718" s="461"/>
      <c r="C718" s="262"/>
      <c r="D718" s="368">
        <f>TrialBalanceA!C59</f>
        <v>0</v>
      </c>
      <c r="L718" s="372"/>
      <c r="M718" s="37"/>
      <c r="N718" s="368"/>
      <c r="O718" s="434">
        <f>TrialBalanceA!I59</f>
        <v>0</v>
      </c>
      <c r="Q718" s="389"/>
      <c r="R718" s="416" t="str">
        <f t="shared" si="33"/>
        <v>DELETE</v>
      </c>
    </row>
    <row r="719" spans="2:18" ht="31.5" customHeight="1" x14ac:dyDescent="0.45">
      <c r="B719" s="461"/>
      <c r="C719" s="262"/>
      <c r="D719" s="368">
        <f>TrialBalanceA!C60</f>
        <v>0</v>
      </c>
      <c r="L719" s="372"/>
      <c r="M719" s="37"/>
      <c r="N719" s="368"/>
      <c r="O719" s="434">
        <f>TrialBalanceA!I60</f>
        <v>0</v>
      </c>
      <c r="Q719" s="389"/>
      <c r="R719" s="416" t="str">
        <f t="shared" si="33"/>
        <v>DELETE</v>
      </c>
    </row>
    <row r="720" spans="2:18" ht="31.5" customHeight="1" x14ac:dyDescent="0.45">
      <c r="B720" s="461"/>
      <c r="C720" s="262"/>
      <c r="D720" s="368">
        <f>TrialBalanceB!C58</f>
        <v>0</v>
      </c>
      <c r="L720" s="372"/>
      <c r="M720" s="37"/>
      <c r="N720" s="368"/>
      <c r="O720" s="434">
        <f>TrialBalanceB!I58</f>
        <v>0</v>
      </c>
      <c r="Q720" s="389"/>
      <c r="R720" s="416" t="str">
        <f t="shared" si="33"/>
        <v>DELETE</v>
      </c>
    </row>
    <row r="721" spans="2:21" ht="31.5" customHeight="1" x14ac:dyDescent="0.45">
      <c r="B721" s="461"/>
      <c r="C721" s="262"/>
      <c r="D721" s="368">
        <f>TrialBalanceB!C59</f>
        <v>0</v>
      </c>
      <c r="L721" s="372"/>
      <c r="M721" s="37"/>
      <c r="N721" s="368"/>
      <c r="O721" s="434">
        <f>TrialBalanceB!I59</f>
        <v>0</v>
      </c>
      <c r="Q721" s="389"/>
      <c r="R721" s="416" t="str">
        <f t="shared" si="33"/>
        <v>DELETE</v>
      </c>
    </row>
    <row r="722" spans="2:21" ht="31.5" customHeight="1" x14ac:dyDescent="0.45">
      <c r="B722" s="461"/>
      <c r="C722" s="262"/>
      <c r="D722" s="368">
        <f>TrialBalanceB!C60</f>
        <v>0</v>
      </c>
      <c r="L722" s="372"/>
      <c r="M722" s="37"/>
      <c r="N722" s="368"/>
      <c r="O722" s="434">
        <f>TrialBalanceB!I60</f>
        <v>0</v>
      </c>
      <c r="Q722" s="389"/>
      <c r="R722" s="416" t="str">
        <f t="shared" si="33"/>
        <v>DELETE</v>
      </c>
    </row>
    <row r="723" spans="2:21" ht="31.5" customHeight="1" x14ac:dyDescent="0.45">
      <c r="B723" s="461"/>
      <c r="C723" s="262"/>
      <c r="D723" s="368">
        <f>TrialBalanceC!C58</f>
        <v>0</v>
      </c>
      <c r="L723" s="372"/>
      <c r="M723" s="37"/>
      <c r="N723" s="368"/>
      <c r="O723" s="434">
        <f>TrialBalanceC!I58</f>
        <v>0</v>
      </c>
      <c r="Q723" s="389"/>
      <c r="R723" s="416" t="str">
        <f t="shared" si="33"/>
        <v>DELETE</v>
      </c>
    </row>
    <row r="724" spans="2:21" ht="31.5" customHeight="1" x14ac:dyDescent="0.45">
      <c r="B724" s="461"/>
      <c r="C724" s="262"/>
      <c r="D724" s="368">
        <f>TrialBalanceC!C59</f>
        <v>0</v>
      </c>
      <c r="L724" s="372"/>
      <c r="M724" s="37"/>
      <c r="N724" s="368"/>
      <c r="O724" s="434">
        <f>TrialBalanceC!I59</f>
        <v>0</v>
      </c>
      <c r="Q724" s="389"/>
      <c r="R724" s="416" t="str">
        <f t="shared" si="33"/>
        <v>DELETE</v>
      </c>
    </row>
    <row r="725" spans="2:21" ht="31.5" customHeight="1" x14ac:dyDescent="0.45">
      <c r="B725" s="461"/>
      <c r="C725" s="262"/>
      <c r="D725" s="368">
        <f>TrialBalanceC!C60</f>
        <v>0</v>
      </c>
      <c r="L725" s="372"/>
      <c r="M725" s="37"/>
      <c r="N725" s="368"/>
      <c r="O725" s="434">
        <f>TrialBalanceC!I60</f>
        <v>0</v>
      </c>
      <c r="Q725" s="389"/>
      <c r="R725" s="416" t="str">
        <f t="shared" si="33"/>
        <v>DELETE</v>
      </c>
    </row>
    <row r="726" spans="2:21" ht="9" customHeight="1" x14ac:dyDescent="0.45">
      <c r="B726" s="461"/>
      <c r="C726" s="262"/>
      <c r="L726" s="372"/>
      <c r="M726" s="37"/>
      <c r="N726" s="368"/>
      <c r="O726" s="438"/>
      <c r="Q726" s="389"/>
      <c r="R726" s="416" t="str">
        <f>R$728</f>
        <v>DELETE</v>
      </c>
    </row>
    <row r="727" spans="2:21" ht="9" customHeight="1" x14ac:dyDescent="0.45">
      <c r="B727" s="461"/>
      <c r="C727" s="262"/>
      <c r="L727" s="372"/>
      <c r="M727" s="37"/>
      <c r="N727" s="368"/>
      <c r="O727" s="434"/>
      <c r="Q727" s="389"/>
      <c r="R727" s="416" t="str">
        <f>R$728</f>
        <v>DELETE</v>
      </c>
    </row>
    <row r="728" spans="2:21" ht="31.5" customHeight="1" x14ac:dyDescent="0.45">
      <c r="B728" s="461"/>
      <c r="C728" s="262"/>
      <c r="L728" s="372"/>
      <c r="M728" s="37"/>
      <c r="N728" s="368"/>
      <c r="O728" s="434">
        <f>SUM(O714:O727)</f>
        <v>0</v>
      </c>
      <c r="Q728" s="389"/>
      <c r="R728" s="416" t="str">
        <f t="shared" ref="R728" si="34">IF(O728=0,"DELETE"," ")</f>
        <v>DELETE</v>
      </c>
      <c r="U728" s="417" t="b">
        <f>O728=SUM(TrialBalance!L58:L60)+SUM(TrialBalanceA!I58:I60)+SUM(TrialBalanceB!I58:I60)+SUM(TrialBalanceC!I58:I60)</f>
        <v>1</v>
      </c>
    </row>
    <row r="729" spans="2:21" ht="9" customHeight="1" thickBot="1" x14ac:dyDescent="0.5">
      <c r="B729" s="461"/>
      <c r="C729" s="262"/>
      <c r="L729" s="372"/>
      <c r="M729" s="37"/>
      <c r="N729" s="368"/>
      <c r="O729" s="439"/>
      <c r="Q729" s="389"/>
      <c r="R729" s="416" t="str">
        <f t="shared" ref="R729:R734" si="35">R$728</f>
        <v>DELETE</v>
      </c>
    </row>
    <row r="730" spans="2:21" ht="9" customHeight="1" thickTop="1" x14ac:dyDescent="0.45">
      <c r="B730" s="461"/>
      <c r="C730" s="262"/>
      <c r="L730" s="372"/>
      <c r="M730" s="37"/>
      <c r="N730" s="368"/>
      <c r="O730" s="441"/>
      <c r="Q730" s="389"/>
      <c r="R730" s="416" t="str">
        <f t="shared" si="35"/>
        <v>DELETE</v>
      </c>
    </row>
    <row r="731" spans="2:21" ht="31.5" customHeight="1" x14ac:dyDescent="0.45">
      <c r="B731" s="461"/>
      <c r="C731" s="262"/>
      <c r="L731" s="372"/>
      <c r="M731" s="37"/>
      <c r="N731" s="368"/>
      <c r="O731" s="434"/>
      <c r="Q731" s="389"/>
      <c r="R731" s="416" t="str">
        <f t="shared" si="35"/>
        <v>DELETE</v>
      </c>
    </row>
    <row r="732" spans="2:21" ht="31.5" customHeight="1" x14ac:dyDescent="0.45">
      <c r="B732" s="461"/>
      <c r="C732" s="262"/>
      <c r="M732" s="434"/>
      <c r="N732" s="390"/>
      <c r="O732" s="434"/>
      <c r="Q732" s="389"/>
      <c r="R732" s="416" t="str">
        <f t="shared" si="35"/>
        <v>DELETE</v>
      </c>
    </row>
    <row r="733" spans="2:21" ht="31.5" customHeight="1" x14ac:dyDescent="0.45">
      <c r="B733" s="462"/>
      <c r="C733" s="266"/>
      <c r="D733" s="383"/>
      <c r="E733" s="383"/>
      <c r="F733" s="383"/>
      <c r="G733" s="383"/>
      <c r="H733" s="383"/>
      <c r="I733" s="383"/>
      <c r="J733" s="383"/>
      <c r="K733" s="383"/>
      <c r="L733" s="383"/>
      <c r="M733" s="438"/>
      <c r="N733" s="392"/>
      <c r="O733" s="438"/>
      <c r="P733" s="475"/>
      <c r="Q733" s="398"/>
      <c r="R733" s="416" t="str">
        <f t="shared" si="35"/>
        <v>DELETE</v>
      </c>
    </row>
    <row r="734" spans="2:21" ht="31.5" customHeight="1" x14ac:dyDescent="0.45">
      <c r="B734" s="445"/>
      <c r="C734" s="262"/>
      <c r="M734" s="434"/>
      <c r="N734" s="390"/>
      <c r="O734" s="434"/>
      <c r="R734" s="416" t="str">
        <f t="shared" si="35"/>
        <v>DELETE</v>
      </c>
    </row>
    <row r="735" spans="2:21" ht="31.5" customHeight="1" x14ac:dyDescent="0.45">
      <c r="B735" s="445"/>
      <c r="C735" s="262"/>
      <c r="M735" s="434"/>
      <c r="N735" s="390"/>
      <c r="O735" s="434"/>
      <c r="R735" s="416" t="str">
        <f>R$753</f>
        <v>DELETE</v>
      </c>
    </row>
    <row r="736" spans="2:21" ht="31.5" customHeight="1" x14ac:dyDescent="0.45">
      <c r="B736" s="431"/>
      <c r="C736" s="261"/>
      <c r="D736" s="369" t="str">
        <f>Criteria!E9</f>
        <v>ABC TRUST</v>
      </c>
      <c r="M736" s="479"/>
      <c r="N736" s="469"/>
      <c r="O736" s="434" t="s">
        <v>105</v>
      </c>
      <c r="Q736" s="370">
        <f>MAX($Q$114:Q735)+1</f>
        <v>12</v>
      </c>
      <c r="R736" s="416" t="str">
        <f>R$753</f>
        <v>DELETE</v>
      </c>
    </row>
    <row r="737" spans="2:18" ht="31.5" customHeight="1" x14ac:dyDescent="0.45">
      <c r="B737" s="431"/>
      <c r="C737" s="261"/>
      <c r="D737" s="369" t="str">
        <f>Criteria!E10</f>
        <v>T/A RENTAL PROPERTIES, SEAFRONT RESTAURANT AND SURF SHOP</v>
      </c>
      <c r="M737" s="479"/>
      <c r="N737" s="469"/>
      <c r="O737" s="479"/>
      <c r="R737" s="416" t="str">
        <f>IF(R$753="DELETE","DELETE",IF(D737=0,"DELETE"," "))</f>
        <v>DELETE</v>
      </c>
    </row>
    <row r="738" spans="2:18" ht="31.5" customHeight="1" x14ac:dyDescent="0.45">
      <c r="B738" s="431"/>
      <c r="C738" s="261"/>
      <c r="M738" s="479"/>
      <c r="N738" s="469"/>
      <c r="O738" s="479"/>
      <c r="R738" s="416" t="str">
        <f t="shared" ref="R738:R745" si="36">R$753</f>
        <v>DELETE</v>
      </c>
    </row>
    <row r="739" spans="2:18" ht="31.5" customHeight="1" x14ac:dyDescent="0.45">
      <c r="B739" s="431"/>
      <c r="C739" s="261"/>
      <c r="D739" s="369" t="s">
        <v>383</v>
      </c>
      <c r="M739" s="479"/>
      <c r="N739" s="469"/>
      <c r="O739" s="479"/>
      <c r="R739" s="416" t="str">
        <f t="shared" si="36"/>
        <v>DELETE</v>
      </c>
    </row>
    <row r="740" spans="2:18" ht="31.5" customHeight="1" x14ac:dyDescent="0.45">
      <c r="B740" s="431"/>
      <c r="C740" s="261"/>
      <c r="D740" s="369" t="str">
        <f>Criteria!E20</f>
        <v>29 FEBRUARY 2024</v>
      </c>
      <c r="J740" s="368" t="s">
        <v>253</v>
      </c>
      <c r="M740" s="479"/>
      <c r="N740" s="469"/>
      <c r="O740" s="479"/>
      <c r="R740" s="416" t="str">
        <f t="shared" si="36"/>
        <v>DELETE</v>
      </c>
    </row>
    <row r="741" spans="2:18" ht="31.5" customHeight="1" x14ac:dyDescent="0.45">
      <c r="B741" s="431"/>
      <c r="C741" s="261"/>
      <c r="D741" s="369"/>
      <c r="M741" s="479"/>
      <c r="N741" s="469"/>
      <c r="O741" s="479"/>
      <c r="R741" s="416" t="str">
        <f t="shared" si="36"/>
        <v>DELETE</v>
      </c>
    </row>
    <row r="742" spans="2:18" ht="31.5" customHeight="1" x14ac:dyDescent="0.45">
      <c r="B742" s="465"/>
      <c r="C742" s="269"/>
      <c r="D742" s="386"/>
      <c r="E742" s="386"/>
      <c r="F742" s="386"/>
      <c r="G742" s="386"/>
      <c r="H742" s="386"/>
      <c r="I742" s="386"/>
      <c r="J742" s="386"/>
      <c r="K742" s="386"/>
      <c r="L742" s="386"/>
      <c r="M742" s="446"/>
      <c r="N742" s="391"/>
      <c r="O742" s="446"/>
      <c r="P742" s="481"/>
      <c r="Q742" s="387"/>
      <c r="R742" s="416" t="str">
        <f t="shared" si="36"/>
        <v>DELETE</v>
      </c>
    </row>
    <row r="743" spans="2:18" ht="31.5" customHeight="1" x14ac:dyDescent="0.45">
      <c r="B743" s="461"/>
      <c r="C743" s="262"/>
      <c r="L743" s="372"/>
      <c r="M743" s="37"/>
      <c r="N743" s="368"/>
      <c r="O743" s="430">
        <f>Criteria!E22</f>
        <v>2024</v>
      </c>
      <c r="Q743" s="389"/>
      <c r="R743" s="416" t="str">
        <f t="shared" si="36"/>
        <v>DELETE</v>
      </c>
    </row>
    <row r="744" spans="2:18" ht="31.5" customHeight="1" x14ac:dyDescent="0.45">
      <c r="B744" s="461"/>
      <c r="C744" s="262"/>
      <c r="L744" s="372"/>
      <c r="M744" s="37"/>
      <c r="N744" s="368"/>
      <c r="O744" s="434"/>
      <c r="Q744" s="389"/>
      <c r="R744" s="416" t="str">
        <f t="shared" si="36"/>
        <v>DELETE</v>
      </c>
    </row>
    <row r="745" spans="2:18" ht="31.5" customHeight="1" x14ac:dyDescent="0.45">
      <c r="B745" s="461"/>
      <c r="C745" s="262">
        <f>MAX(C684:C744)+0.1</f>
        <v>6.2999999999999989</v>
      </c>
      <c r="D745" s="368" t="s">
        <v>267</v>
      </c>
      <c r="L745" s="372"/>
      <c r="M745" s="37"/>
      <c r="N745" s="368"/>
      <c r="O745" s="434"/>
      <c r="Q745" s="389"/>
      <c r="R745" s="416" t="str">
        <f t="shared" si="36"/>
        <v>DELETE</v>
      </c>
    </row>
    <row r="746" spans="2:18" ht="31.5" customHeight="1" x14ac:dyDescent="0.45">
      <c r="B746" s="461"/>
      <c r="C746" s="262"/>
      <c r="D746" s="368" t="s">
        <v>1052</v>
      </c>
      <c r="L746" s="372"/>
      <c r="M746" s="37"/>
      <c r="N746" s="368"/>
      <c r="O746" s="434">
        <f>TrialBalance!L41+TrialBalanceA!I41+TrialBalanceB!I41+TrialBalanceC!I41</f>
        <v>0</v>
      </c>
      <c r="Q746" s="389"/>
      <c r="R746" s="416" t="str">
        <f>IF(O746=0,"DELETE"," ")</f>
        <v>DELETE</v>
      </c>
    </row>
    <row r="747" spans="2:18" ht="31.5" customHeight="1" x14ac:dyDescent="0.45">
      <c r="B747" s="461"/>
      <c r="C747" s="262"/>
      <c r="D747" s="368" t="s">
        <v>739</v>
      </c>
      <c r="L747" s="372"/>
      <c r="M747" s="37"/>
      <c r="N747" s="368"/>
      <c r="O747" s="434">
        <f>TrialBalance!L42+TrialBalanceA!I42+TrialBalanceB!I42+TrialBalanceC!I42</f>
        <v>0</v>
      </c>
      <c r="Q747" s="389"/>
      <c r="R747" s="416" t="str">
        <f t="shared" ref="R747:R750" si="37">IF(O747=0,"DELETE"," ")</f>
        <v>DELETE</v>
      </c>
    </row>
    <row r="748" spans="2:18" ht="31.5" customHeight="1" x14ac:dyDescent="0.45">
      <c r="B748" s="461"/>
      <c r="C748" s="262"/>
      <c r="D748" s="368" t="s">
        <v>541</v>
      </c>
      <c r="L748" s="372"/>
      <c r="M748" s="37"/>
      <c r="N748" s="368"/>
      <c r="O748" s="434">
        <f>TrialBalance!L43+TrialBalanceA!I43+TrialBalanceB!I43+TrialBalanceC!I43</f>
        <v>0</v>
      </c>
      <c r="Q748" s="389"/>
      <c r="R748" s="416" t="str">
        <f t="shared" si="37"/>
        <v>DELETE</v>
      </c>
    </row>
    <row r="749" spans="2:18" ht="31.5" customHeight="1" x14ac:dyDescent="0.45">
      <c r="B749" s="461"/>
      <c r="C749" s="262"/>
      <c r="D749" s="368" t="s">
        <v>542</v>
      </c>
      <c r="L749" s="372"/>
      <c r="M749" s="37"/>
      <c r="N749" s="368"/>
      <c r="O749" s="434">
        <f>TrialBalance!L95+TrialBalanceA!I95+TrialBalanceB!I95+TrialBalanceC!I95</f>
        <v>0</v>
      </c>
      <c r="Q749" s="389"/>
      <c r="R749" s="416" t="str">
        <f t="shared" si="37"/>
        <v>DELETE</v>
      </c>
    </row>
    <row r="750" spans="2:18" ht="31.5" customHeight="1" x14ac:dyDescent="0.45">
      <c r="B750" s="461"/>
      <c r="C750" s="262"/>
      <c r="D750" s="368" t="s">
        <v>743</v>
      </c>
      <c r="L750" s="372"/>
      <c r="M750" s="37"/>
      <c r="N750" s="368"/>
      <c r="O750" s="434">
        <f>TrialBalance!L96+TrialBalanceA!I96+TrialBalanceB!I96+TrialBalanceC!I96</f>
        <v>0</v>
      </c>
      <c r="Q750" s="389"/>
      <c r="R750" s="416" t="str">
        <f t="shared" si="37"/>
        <v>DELETE</v>
      </c>
    </row>
    <row r="751" spans="2:18" ht="9" customHeight="1" x14ac:dyDescent="0.45">
      <c r="B751" s="461"/>
      <c r="C751" s="262"/>
      <c r="L751" s="372"/>
      <c r="M751" s="37"/>
      <c r="N751" s="368"/>
      <c r="O751" s="438"/>
      <c r="Q751" s="389"/>
      <c r="R751" s="416" t="str">
        <f>R$753</f>
        <v>DELETE</v>
      </c>
    </row>
    <row r="752" spans="2:18" ht="9" customHeight="1" x14ac:dyDescent="0.45">
      <c r="B752" s="461"/>
      <c r="C752" s="262"/>
      <c r="L752" s="372"/>
      <c r="M752" s="37"/>
      <c r="N752" s="368"/>
      <c r="O752" s="434"/>
      <c r="Q752" s="389"/>
      <c r="R752" s="416" t="str">
        <f>R$753</f>
        <v>DELETE</v>
      </c>
    </row>
    <row r="753" spans="2:21" ht="31.5" customHeight="1" x14ac:dyDescent="0.45">
      <c r="B753" s="461"/>
      <c r="C753" s="262"/>
      <c r="L753" s="372"/>
      <c r="M753" s="37"/>
      <c r="N753" s="368"/>
      <c r="O753" s="434">
        <f>SUM(O746:O752)</f>
        <v>0</v>
      </c>
      <c r="Q753" s="389"/>
      <c r="R753" s="416" t="str">
        <f t="shared" ref="R753" si="38">IF(O753=0,"DELETE"," ")</f>
        <v>DELETE</v>
      </c>
      <c r="U753" s="417" t="b">
        <f>O753=SUM(TrialBalance!L41:L43)+SUM(TrialBalance!L95:L96)+SUM(TrialBalanceA!I41:I43)+SUM(TrialBalanceA!I95:I96)+SUM(TrialBalanceB!I41:I43)+SUM(TrialBalanceB!I95:I96)+SUM(TrialBalanceC!I41:I43)+SUM(TrialBalanceC!I95:I96)</f>
        <v>1</v>
      </c>
    </row>
    <row r="754" spans="2:21" ht="9" customHeight="1" thickBot="1" x14ac:dyDescent="0.5">
      <c r="B754" s="461"/>
      <c r="C754" s="262"/>
      <c r="L754" s="372"/>
      <c r="M754" s="37"/>
      <c r="N754" s="368"/>
      <c r="O754" s="439"/>
      <c r="Q754" s="389"/>
      <c r="R754" s="416" t="str">
        <f t="shared" ref="R754:R759" si="39">R$753</f>
        <v>DELETE</v>
      </c>
    </row>
    <row r="755" spans="2:21" ht="9" customHeight="1" thickTop="1" x14ac:dyDescent="0.45">
      <c r="B755" s="461"/>
      <c r="C755" s="262"/>
      <c r="L755" s="372"/>
      <c r="M755" s="37"/>
      <c r="N755" s="368"/>
      <c r="O755" s="441"/>
      <c r="Q755" s="389"/>
      <c r="R755" s="416" t="str">
        <f t="shared" si="39"/>
        <v>DELETE</v>
      </c>
    </row>
    <row r="756" spans="2:21" ht="31.5" customHeight="1" x14ac:dyDescent="0.45">
      <c r="B756" s="461"/>
      <c r="C756" s="36"/>
      <c r="L756" s="372"/>
      <c r="M756" s="37"/>
      <c r="N756" s="368"/>
      <c r="O756" s="434"/>
      <c r="Q756" s="389"/>
      <c r="R756" s="416" t="str">
        <f t="shared" si="39"/>
        <v>DELETE</v>
      </c>
    </row>
    <row r="757" spans="2:21" ht="31.5" customHeight="1" x14ac:dyDescent="0.45">
      <c r="B757" s="461"/>
      <c r="C757" s="36"/>
      <c r="M757" s="434"/>
      <c r="N757" s="390"/>
      <c r="O757" s="434"/>
      <c r="Q757" s="389"/>
      <c r="R757" s="416" t="str">
        <f t="shared" si="39"/>
        <v>DELETE</v>
      </c>
    </row>
    <row r="758" spans="2:21" ht="31.5" customHeight="1" x14ac:dyDescent="0.45">
      <c r="B758" s="462"/>
      <c r="C758" s="267"/>
      <c r="D758" s="383"/>
      <c r="E758" s="383"/>
      <c r="F758" s="383"/>
      <c r="G758" s="383"/>
      <c r="H758" s="383"/>
      <c r="I758" s="383"/>
      <c r="J758" s="383"/>
      <c r="K758" s="383"/>
      <c r="L758" s="383"/>
      <c r="M758" s="438"/>
      <c r="N758" s="392"/>
      <c r="O758" s="438"/>
      <c r="P758" s="475"/>
      <c r="Q758" s="398"/>
      <c r="R758" s="416" t="str">
        <f t="shared" si="39"/>
        <v>DELETE</v>
      </c>
    </row>
    <row r="759" spans="2:21" ht="31.5" customHeight="1" x14ac:dyDescent="0.45">
      <c r="B759" s="445"/>
      <c r="C759" s="369"/>
      <c r="M759" s="434"/>
      <c r="N759" s="390"/>
      <c r="O759" s="434"/>
      <c r="R759" s="416" t="str">
        <f t="shared" si="39"/>
        <v>DELETE</v>
      </c>
    </row>
    <row r="760" spans="2:21" ht="31.5" customHeight="1" x14ac:dyDescent="0.45">
      <c r="B760" s="445"/>
      <c r="C760" s="369"/>
      <c r="M760" s="434"/>
      <c r="N760" s="390"/>
      <c r="O760" s="434"/>
    </row>
    <row r="761" spans="2:21" ht="31.5" customHeight="1" x14ac:dyDescent="0.45">
      <c r="B761" s="431"/>
      <c r="D761" s="369" t="str">
        <f>Criteria!E9</f>
        <v>ABC TRUST</v>
      </c>
      <c r="M761" s="479"/>
      <c r="N761" s="469"/>
      <c r="O761" s="434" t="s">
        <v>105</v>
      </c>
      <c r="Q761" s="370">
        <f>MAX($Q$114:Q760)+1</f>
        <v>13</v>
      </c>
    </row>
    <row r="762" spans="2:21" ht="31.5" customHeight="1" x14ac:dyDescent="0.45">
      <c r="B762" s="431"/>
      <c r="D762" s="369" t="str">
        <f>Criteria!E10</f>
        <v>T/A RENTAL PROPERTIES, SEAFRONT RESTAURANT AND SURF SHOP</v>
      </c>
      <c r="M762" s="479"/>
      <c r="N762" s="469"/>
      <c r="O762" s="479"/>
      <c r="R762" s="416" t="str">
        <f>IF(D762=0,"DELETE"," ")</f>
        <v xml:space="preserve"> </v>
      </c>
    </row>
    <row r="763" spans="2:21" ht="31.5" customHeight="1" x14ac:dyDescent="0.45">
      <c r="B763" s="431"/>
      <c r="M763" s="479"/>
      <c r="N763" s="469"/>
      <c r="O763" s="479"/>
    </row>
    <row r="764" spans="2:21" ht="31.5" customHeight="1" x14ac:dyDescent="0.45">
      <c r="B764" s="431"/>
      <c r="D764" s="369" t="s">
        <v>383</v>
      </c>
      <c r="M764" s="479"/>
      <c r="N764" s="469"/>
      <c r="O764" s="479"/>
    </row>
    <row r="765" spans="2:21" ht="31.5" customHeight="1" x14ac:dyDescent="0.45">
      <c r="B765" s="431"/>
      <c r="D765" s="369" t="str">
        <f>Criteria!E20</f>
        <v>29 FEBRUARY 2024</v>
      </c>
      <c r="J765" s="368" t="s">
        <v>253</v>
      </c>
      <c r="M765" s="479"/>
      <c r="N765" s="469"/>
      <c r="O765" s="479"/>
    </row>
    <row r="766" spans="2:21" ht="31.5" customHeight="1" x14ac:dyDescent="0.45">
      <c r="B766" s="431"/>
      <c r="D766" s="369"/>
      <c r="M766" s="479"/>
      <c r="N766" s="469"/>
      <c r="O766" s="479"/>
    </row>
    <row r="767" spans="2:21" ht="31.5" customHeight="1" x14ac:dyDescent="0.45">
      <c r="B767" s="465"/>
      <c r="C767" s="410"/>
      <c r="D767" s="386"/>
      <c r="E767" s="386"/>
      <c r="F767" s="386"/>
      <c r="G767" s="386"/>
      <c r="H767" s="386"/>
      <c r="I767" s="386"/>
      <c r="J767" s="386"/>
      <c r="K767" s="386"/>
      <c r="L767" s="386"/>
      <c r="M767" s="446"/>
      <c r="N767" s="391"/>
      <c r="O767" s="446"/>
      <c r="P767" s="481"/>
      <c r="Q767" s="387"/>
    </row>
    <row r="768" spans="2:21" ht="31.5" customHeight="1" x14ac:dyDescent="0.45">
      <c r="B768" s="461"/>
      <c r="C768" s="369"/>
      <c r="L768" s="372"/>
      <c r="M768" s="37"/>
      <c r="N768" s="368"/>
      <c r="O768" s="430">
        <f>Criteria!E22</f>
        <v>2024</v>
      </c>
      <c r="Q768" s="389"/>
    </row>
    <row r="769" spans="2:22" ht="31.5" customHeight="1" x14ac:dyDescent="0.45">
      <c r="B769" s="461"/>
      <c r="C769" s="369"/>
      <c r="L769" s="372"/>
      <c r="M769" s="37"/>
      <c r="N769" s="368"/>
      <c r="O769" s="434"/>
      <c r="Q769" s="389"/>
    </row>
    <row r="770" spans="2:22" ht="31.5" customHeight="1" x14ac:dyDescent="0.45">
      <c r="B770" s="461">
        <f>MAX($B$429:B769)+1</f>
        <v>7</v>
      </c>
      <c r="C770" s="369" t="s">
        <v>124</v>
      </c>
      <c r="L770" s="372"/>
      <c r="M770" s="37"/>
      <c r="N770" s="368"/>
      <c r="O770" s="434"/>
      <c r="Q770" s="389"/>
    </row>
    <row r="771" spans="2:22" ht="31.5" customHeight="1" x14ac:dyDescent="0.45">
      <c r="B771" s="461"/>
      <c r="C771" s="261">
        <f>B770+0.1</f>
        <v>7.1</v>
      </c>
      <c r="D771" s="368" t="s">
        <v>290</v>
      </c>
      <c r="L771" s="372"/>
      <c r="M771" s="37"/>
      <c r="N771" s="368"/>
      <c r="O771" s="434"/>
      <c r="Q771" s="389"/>
    </row>
    <row r="772" spans="2:22" ht="31.5" customHeight="1" x14ac:dyDescent="0.45">
      <c r="B772" s="461"/>
      <c r="C772" s="36"/>
      <c r="D772" s="368" t="s">
        <v>746</v>
      </c>
      <c r="L772" s="372"/>
      <c r="M772" s="37"/>
      <c r="N772" s="368"/>
      <c r="O772" s="434">
        <f>SUM(O775:O776)</f>
        <v>0</v>
      </c>
      <c r="Q772" s="389"/>
      <c r="S772" s="421">
        <f>O772</f>
        <v>0</v>
      </c>
      <c r="T772" s="421"/>
      <c r="U772" s="421"/>
      <c r="V772" s="421"/>
    </row>
    <row r="773" spans="2:22" ht="9" customHeight="1" x14ac:dyDescent="0.45">
      <c r="B773" s="461"/>
      <c r="C773" s="36"/>
      <c r="L773" s="372"/>
      <c r="M773" s="37"/>
      <c r="N773" s="368"/>
      <c r="O773" s="434"/>
      <c r="Q773" s="389"/>
    </row>
    <row r="774" spans="2:22" ht="9" customHeight="1" x14ac:dyDescent="0.45">
      <c r="B774" s="461"/>
      <c r="C774" s="36"/>
      <c r="L774" s="372"/>
      <c r="M774" s="37"/>
      <c r="N774" s="368"/>
      <c r="O774" s="455"/>
      <c r="Q774" s="389"/>
    </row>
    <row r="775" spans="2:22" ht="31.5" customHeight="1" x14ac:dyDescent="0.45">
      <c r="B775" s="461"/>
      <c r="C775" s="36"/>
      <c r="D775" s="368" t="s">
        <v>539</v>
      </c>
      <c r="L775" s="372"/>
      <c r="M775" s="37"/>
      <c r="N775" s="368"/>
      <c r="O775" s="456">
        <f>TrialBalance!L173</f>
        <v>0</v>
      </c>
      <c r="Q775" s="389"/>
    </row>
    <row r="776" spans="2:22" ht="31.5" customHeight="1" x14ac:dyDescent="0.45">
      <c r="B776" s="461"/>
      <c r="C776" s="36"/>
      <c r="D776" s="368" t="s">
        <v>540</v>
      </c>
      <c r="L776" s="372"/>
      <c r="M776" s="37"/>
      <c r="N776" s="368"/>
      <c r="O776" s="456">
        <f>TrialBalance!L174</f>
        <v>0</v>
      </c>
      <c r="Q776" s="389"/>
      <c r="R776" s="416" t="str">
        <f>IF(O776=0,"DELETE"," ")</f>
        <v>DELETE</v>
      </c>
    </row>
    <row r="777" spans="2:22" ht="9" customHeight="1" x14ac:dyDescent="0.45">
      <c r="B777" s="461"/>
      <c r="C777" s="36"/>
      <c r="L777" s="372"/>
      <c r="M777" s="37"/>
      <c r="N777" s="368"/>
      <c r="O777" s="457"/>
      <c r="Q777" s="389"/>
    </row>
    <row r="778" spans="2:22" ht="9" customHeight="1" x14ac:dyDescent="0.45">
      <c r="B778" s="461"/>
      <c r="C778" s="36"/>
      <c r="L778" s="372"/>
      <c r="M778" s="37"/>
      <c r="N778" s="368"/>
      <c r="O778" s="438"/>
      <c r="Q778" s="389"/>
    </row>
    <row r="779" spans="2:22" ht="9" customHeight="1" x14ac:dyDescent="0.45">
      <c r="B779" s="461"/>
      <c r="C779" s="36"/>
      <c r="L779" s="372"/>
      <c r="M779" s="37"/>
      <c r="N779" s="368"/>
      <c r="O779" s="434"/>
      <c r="Q779" s="389"/>
    </row>
    <row r="780" spans="2:22" ht="31.5" customHeight="1" x14ac:dyDescent="0.45">
      <c r="B780" s="461"/>
      <c r="C780" s="36"/>
      <c r="D780" s="368" t="s">
        <v>747</v>
      </c>
      <c r="L780" s="372"/>
      <c r="M780" s="37"/>
      <c r="N780" s="368"/>
      <c r="O780" s="434">
        <f>SUM(S772:S777)</f>
        <v>0</v>
      </c>
      <c r="Q780" s="389"/>
    </row>
    <row r="781" spans="2:22" ht="9" customHeight="1" thickBot="1" x14ac:dyDescent="0.5">
      <c r="B781" s="461"/>
      <c r="C781" s="36"/>
      <c r="L781" s="372"/>
      <c r="M781" s="37"/>
      <c r="N781" s="368"/>
      <c r="O781" s="439"/>
      <c r="Q781" s="389"/>
    </row>
    <row r="782" spans="2:22" ht="9" customHeight="1" thickTop="1" x14ac:dyDescent="0.45">
      <c r="B782" s="461"/>
      <c r="C782" s="36"/>
      <c r="L782" s="372"/>
      <c r="M782" s="37"/>
      <c r="N782" s="368"/>
      <c r="O782" s="441"/>
      <c r="Q782" s="389"/>
    </row>
    <row r="783" spans="2:22" ht="31.5" customHeight="1" x14ac:dyDescent="0.45">
      <c r="B783" s="461"/>
      <c r="C783" s="36"/>
      <c r="L783" s="372"/>
      <c r="M783" s="37"/>
      <c r="N783" s="368"/>
      <c r="O783" s="434"/>
      <c r="Q783" s="389"/>
    </row>
    <row r="784" spans="2:22" ht="31.5" customHeight="1" x14ac:dyDescent="0.45">
      <c r="B784" s="461"/>
      <c r="C784" s="36"/>
      <c r="D784" s="368" t="str">
        <f>IF(TrialBalance!L173=0,"No provision has been made for normal taxation as the trust had no taxable"," ")</f>
        <v>No provision has been made for normal taxation as the trust had no taxable</v>
      </c>
      <c r="M784" s="434"/>
      <c r="N784" s="390"/>
      <c r="O784" s="434"/>
      <c r="Q784" s="389"/>
      <c r="R784" s="416" t="str">
        <f>IF(D784=" ","DELETE"," ")</f>
        <v xml:space="preserve"> </v>
      </c>
    </row>
    <row r="785" spans="2:18" ht="31.5" customHeight="1" x14ac:dyDescent="0.45">
      <c r="B785" s="461"/>
      <c r="C785" s="36"/>
      <c r="D785" s="368" t="str">
        <f>IF(TrialBalance!L173=0,"income for the period under review."," ")</f>
        <v>income for the period under review.</v>
      </c>
      <c r="M785" s="434"/>
      <c r="N785" s="390"/>
      <c r="O785" s="434"/>
      <c r="Q785" s="389"/>
      <c r="R785" s="416" t="str">
        <f>IF(D785=" ","DELETE"," ")</f>
        <v xml:space="preserve"> </v>
      </c>
    </row>
    <row r="786" spans="2:18" ht="31.5" customHeight="1" x14ac:dyDescent="0.45">
      <c r="B786" s="461"/>
      <c r="C786" s="36"/>
      <c r="M786" s="434"/>
      <c r="N786" s="390"/>
      <c r="O786" s="434"/>
      <c r="Q786" s="389"/>
    </row>
    <row r="787" spans="2:18" ht="31.5" customHeight="1" x14ac:dyDescent="0.45">
      <c r="B787" s="461"/>
      <c r="C787" s="36"/>
      <c r="M787" s="434"/>
      <c r="N787" s="390"/>
      <c r="O787" s="434"/>
      <c r="Q787" s="389"/>
    </row>
    <row r="788" spans="2:18" ht="31.5" customHeight="1" x14ac:dyDescent="0.45">
      <c r="B788" s="462"/>
      <c r="C788" s="267"/>
      <c r="D788" s="383"/>
      <c r="E788" s="383"/>
      <c r="F788" s="383"/>
      <c r="G788" s="383"/>
      <c r="H788" s="383"/>
      <c r="I788" s="383"/>
      <c r="J788" s="383"/>
      <c r="K788" s="383"/>
      <c r="L788" s="383"/>
      <c r="M788" s="438"/>
      <c r="N788" s="392"/>
      <c r="O788" s="438"/>
      <c r="P788" s="475"/>
      <c r="Q788" s="398"/>
    </row>
    <row r="789" spans="2:18" ht="31.5" customHeight="1" x14ac:dyDescent="0.45">
      <c r="B789" s="445"/>
      <c r="C789" s="369"/>
      <c r="M789" s="434"/>
      <c r="N789" s="390"/>
      <c r="O789" s="434"/>
    </row>
    <row r="790" spans="2:18" ht="31.5" customHeight="1" x14ac:dyDescent="0.45">
      <c r="D790" s="369"/>
      <c r="R790" s="416" t="str">
        <f t="shared" ref="R790:R804" si="40">R$800</f>
        <v>DELETE</v>
      </c>
    </row>
    <row r="791" spans="2:18" ht="31.5" customHeight="1" x14ac:dyDescent="0.45">
      <c r="D791" s="369" t="str">
        <f>Criteria!E9</f>
        <v>ABC TRUST</v>
      </c>
      <c r="O791" s="433" t="s">
        <v>105</v>
      </c>
      <c r="Q791" s="370">
        <f>MAX($Q$114:Q790)+1</f>
        <v>14</v>
      </c>
      <c r="R791" s="416" t="str">
        <f t="shared" si="40"/>
        <v>DELETE</v>
      </c>
    </row>
    <row r="792" spans="2:18" ht="31.5" customHeight="1" x14ac:dyDescent="0.45">
      <c r="D792" s="369" t="str">
        <f>Criteria!E10</f>
        <v>T/A RENTAL PROPERTIES, SEAFRONT RESTAURANT AND SURF SHOP</v>
      </c>
      <c r="R792" s="416" t="str">
        <f>IF(R$800="DELETE","DELETE",IF(D792=0,"DELETE"," "))</f>
        <v>DELETE</v>
      </c>
    </row>
    <row r="793" spans="2:18" ht="31.5" customHeight="1" x14ac:dyDescent="0.45">
      <c r="R793" s="416" t="str">
        <f t="shared" si="40"/>
        <v>DELETE</v>
      </c>
    </row>
    <row r="794" spans="2:18" ht="31.5" customHeight="1" x14ac:dyDescent="0.45">
      <c r="D794" s="369" t="s">
        <v>383</v>
      </c>
      <c r="R794" s="416" t="str">
        <f t="shared" si="40"/>
        <v>DELETE</v>
      </c>
    </row>
    <row r="795" spans="2:18" ht="31.5" customHeight="1" x14ac:dyDescent="0.45">
      <c r="D795" s="369" t="str">
        <f>Criteria!E20</f>
        <v>29 FEBRUARY 2024</v>
      </c>
      <c r="J795" s="368" t="s">
        <v>253</v>
      </c>
      <c r="R795" s="416" t="str">
        <f t="shared" si="40"/>
        <v>DELETE</v>
      </c>
    </row>
    <row r="796" spans="2:18" ht="31.5" customHeight="1" x14ac:dyDescent="0.45">
      <c r="R796" s="416" t="str">
        <f t="shared" si="40"/>
        <v>DELETE</v>
      </c>
    </row>
    <row r="797" spans="2:18" ht="31.5" customHeight="1" x14ac:dyDescent="0.45">
      <c r="B797" s="385"/>
      <c r="C797" s="386"/>
      <c r="D797" s="386"/>
      <c r="E797" s="386"/>
      <c r="F797" s="386"/>
      <c r="G797" s="386"/>
      <c r="H797" s="386"/>
      <c r="I797" s="386"/>
      <c r="J797" s="386"/>
      <c r="K797" s="386"/>
      <c r="L797" s="386"/>
      <c r="M797" s="480"/>
      <c r="N797" s="481"/>
      <c r="O797" s="480"/>
      <c r="P797" s="481"/>
      <c r="Q797" s="387"/>
      <c r="R797" s="416" t="str">
        <f t="shared" si="40"/>
        <v>DELETE</v>
      </c>
    </row>
    <row r="798" spans="2:18" ht="31.5" customHeight="1" x14ac:dyDescent="0.45">
      <c r="B798" s="388"/>
      <c r="M798" s="477"/>
      <c r="N798" s="478"/>
      <c r="O798" s="430">
        <f>Criteria!E22</f>
        <v>2024</v>
      </c>
      <c r="P798" s="478"/>
      <c r="Q798" s="389"/>
      <c r="R798" s="416" t="str">
        <f t="shared" si="40"/>
        <v>DELETE</v>
      </c>
    </row>
    <row r="799" spans="2:18" ht="31.5" customHeight="1" x14ac:dyDescent="0.45">
      <c r="B799" s="388"/>
      <c r="M799" s="477"/>
      <c r="N799" s="478"/>
      <c r="O799" s="477"/>
      <c r="P799" s="478"/>
      <c r="Q799" s="389"/>
      <c r="R799" s="416" t="str">
        <f t="shared" si="40"/>
        <v>DELETE</v>
      </c>
    </row>
    <row r="800" spans="2:18" ht="31.5" customHeight="1" x14ac:dyDescent="0.45">
      <c r="B800" s="461">
        <f>MAX($B$429:B797)+1</f>
        <v>8</v>
      </c>
      <c r="C800" s="369" t="s">
        <v>1053</v>
      </c>
      <c r="Q800" s="389"/>
      <c r="R800" s="416" t="str">
        <f>IF(SUM(TrialBalance!L227:L228)+SUM(TrialBalance!N227:N228)=0,"DELETE"," ")</f>
        <v>DELETE</v>
      </c>
    </row>
    <row r="801" spans="2:19" ht="31.5" customHeight="1" x14ac:dyDescent="0.45">
      <c r="B801" s="461"/>
      <c r="C801" s="369"/>
      <c r="D801" s="368" t="s">
        <v>1074</v>
      </c>
      <c r="H801" s="372"/>
      <c r="J801" s="372"/>
      <c r="K801" s="466"/>
      <c r="M801" s="441"/>
      <c r="N801" s="400"/>
      <c r="O801" s="434">
        <f>SUM(S803:S807)</f>
        <v>0</v>
      </c>
      <c r="Q801" s="389"/>
      <c r="R801" s="416" t="str">
        <f t="shared" si="40"/>
        <v>DELETE</v>
      </c>
    </row>
    <row r="802" spans="2:19" ht="9" customHeight="1" x14ac:dyDescent="0.45">
      <c r="B802" s="461"/>
      <c r="C802" s="369"/>
      <c r="M802" s="441"/>
      <c r="N802" s="400"/>
      <c r="O802" s="434"/>
      <c r="Q802" s="389"/>
      <c r="R802" s="416" t="str">
        <f t="shared" si="40"/>
        <v>DELETE</v>
      </c>
    </row>
    <row r="803" spans="2:19" ht="9" customHeight="1" x14ac:dyDescent="0.45">
      <c r="B803" s="461"/>
      <c r="C803" s="369"/>
      <c r="M803" s="441"/>
      <c r="N803" s="400"/>
      <c r="O803" s="455"/>
      <c r="Q803" s="389"/>
      <c r="R803" s="416" t="str">
        <f t="shared" si="40"/>
        <v>DELETE</v>
      </c>
    </row>
    <row r="804" spans="2:19" ht="31.5" customHeight="1" x14ac:dyDescent="0.45">
      <c r="B804" s="461"/>
      <c r="C804" s="369"/>
      <c r="D804" s="368" t="s">
        <v>389</v>
      </c>
      <c r="M804" s="441"/>
      <c r="N804" s="400"/>
      <c r="O804" s="456">
        <f>TrialBalance!L227</f>
        <v>0</v>
      </c>
      <c r="Q804" s="389"/>
      <c r="R804" s="416" t="str">
        <f t="shared" si="40"/>
        <v>DELETE</v>
      </c>
      <c r="S804" s="421">
        <f>O804</f>
        <v>0</v>
      </c>
    </row>
    <row r="805" spans="2:19" ht="31.5" customHeight="1" x14ac:dyDescent="0.45">
      <c r="B805" s="461"/>
      <c r="C805" s="369"/>
      <c r="D805" s="368" t="s">
        <v>1075</v>
      </c>
      <c r="M805" s="441"/>
      <c r="N805" s="400"/>
      <c r="O805" s="456">
        <f>TrialBalance!L236</f>
        <v>0</v>
      </c>
      <c r="Q805" s="389"/>
      <c r="R805" s="416" t="str">
        <f>IF(O805=0,"DELETE"," ")</f>
        <v>DELETE</v>
      </c>
      <c r="S805" s="421">
        <f>O805</f>
        <v>0</v>
      </c>
    </row>
    <row r="806" spans="2:19" ht="31.5" customHeight="1" x14ac:dyDescent="0.45">
      <c r="B806" s="461"/>
      <c r="C806" s="369"/>
      <c r="D806" s="368" t="s">
        <v>1076</v>
      </c>
      <c r="M806" s="441"/>
      <c r="N806" s="400"/>
      <c r="O806" s="456">
        <f>-TrialBalance!L231</f>
        <v>0</v>
      </c>
      <c r="Q806" s="389"/>
      <c r="R806" s="416" t="str">
        <f>IF(O806=0,"DELETE"," ")</f>
        <v>DELETE</v>
      </c>
      <c r="S806" s="421">
        <f>-O806</f>
        <v>0</v>
      </c>
    </row>
    <row r="807" spans="2:19" ht="9" customHeight="1" x14ac:dyDescent="0.45">
      <c r="B807" s="461"/>
      <c r="C807" s="369"/>
      <c r="M807" s="441"/>
      <c r="N807" s="400"/>
      <c r="O807" s="457"/>
      <c r="Q807" s="389"/>
      <c r="R807" s="416" t="str">
        <f t="shared" ref="R807:R808" si="41">R$800</f>
        <v>DELETE</v>
      </c>
    </row>
    <row r="808" spans="2:19" ht="9" customHeight="1" x14ac:dyDescent="0.45">
      <c r="B808" s="461"/>
      <c r="C808" s="369"/>
      <c r="M808" s="441"/>
      <c r="N808" s="400"/>
      <c r="O808" s="434"/>
      <c r="Q808" s="389"/>
      <c r="R808" s="416" t="str">
        <f t="shared" si="41"/>
        <v>DELETE</v>
      </c>
    </row>
    <row r="809" spans="2:19" ht="31.5" customHeight="1" x14ac:dyDescent="0.45">
      <c r="B809" s="461"/>
      <c r="C809" s="369"/>
      <c r="D809" s="368" t="s">
        <v>390</v>
      </c>
      <c r="M809" s="441"/>
      <c r="N809" s="400"/>
      <c r="O809" s="434">
        <f>TrialBalance!L228</f>
        <v>0</v>
      </c>
      <c r="Q809" s="389"/>
      <c r="R809" s="416" t="str">
        <f t="shared" ref="R809:R810" si="42">IF(O809=0,"DELETE"," ")</f>
        <v>DELETE</v>
      </c>
      <c r="S809" s="421">
        <f>O809</f>
        <v>0</v>
      </c>
    </row>
    <row r="810" spans="2:19" ht="31.5" customHeight="1" x14ac:dyDescent="0.45">
      <c r="B810" s="461"/>
      <c r="C810" s="369"/>
      <c r="D810" s="368" t="s">
        <v>1077</v>
      </c>
      <c r="E810" s="368" t="s">
        <v>1069</v>
      </c>
      <c r="M810" s="441"/>
      <c r="N810" s="400"/>
      <c r="O810" s="434">
        <f>TrialBalance!L237</f>
        <v>0</v>
      </c>
      <c r="Q810" s="389"/>
      <c r="R810" s="416" t="str">
        <f t="shared" si="42"/>
        <v>DELETE</v>
      </c>
      <c r="S810" s="421">
        <f>O810</f>
        <v>0</v>
      </c>
    </row>
    <row r="811" spans="2:19" ht="31.5" customHeight="1" x14ac:dyDescent="0.45">
      <c r="B811" s="461"/>
      <c r="C811" s="369"/>
      <c r="D811" s="368" t="s">
        <v>1163</v>
      </c>
      <c r="M811" s="441"/>
      <c r="N811" s="400"/>
      <c r="O811" s="434">
        <f>TrialBalance!L234</f>
        <v>0</v>
      </c>
      <c r="Q811" s="389"/>
      <c r="R811" s="416" t="str">
        <f>IF(O811=0,"DELETE"," ")</f>
        <v>DELETE</v>
      </c>
      <c r="S811" s="421">
        <f>O811</f>
        <v>0</v>
      </c>
    </row>
    <row r="812" spans="2:19" ht="9" customHeight="1" x14ac:dyDescent="0.45">
      <c r="B812" s="461"/>
      <c r="C812" s="369"/>
      <c r="M812" s="441"/>
      <c r="N812" s="400"/>
      <c r="O812" s="438"/>
      <c r="Q812" s="389"/>
      <c r="R812" s="416" t="str">
        <f>R$814</f>
        <v>DELETE</v>
      </c>
    </row>
    <row r="813" spans="2:19" ht="9" customHeight="1" x14ac:dyDescent="0.45">
      <c r="B813" s="461"/>
      <c r="C813" s="369"/>
      <c r="M813" s="441"/>
      <c r="N813" s="400"/>
      <c r="O813" s="434"/>
      <c r="Q813" s="389"/>
      <c r="R813" s="416" t="str">
        <f>R$814</f>
        <v>DELETE</v>
      </c>
    </row>
    <row r="814" spans="2:19" ht="31.5" customHeight="1" x14ac:dyDescent="0.45">
      <c r="B814" s="461"/>
      <c r="C814" s="369"/>
      <c r="M814" s="441"/>
      <c r="N814" s="400"/>
      <c r="O814" s="434">
        <f>SUM(S803:S812)</f>
        <v>0</v>
      </c>
      <c r="Q814" s="389"/>
      <c r="R814" s="416" t="str">
        <f>IF(R809="DELETE",IF(R810="DELETE",IF(R811="DELETE","DELETE"," ")," ")," ")</f>
        <v>DELETE</v>
      </c>
    </row>
    <row r="815" spans="2:19" ht="31.5" customHeight="1" x14ac:dyDescent="0.45">
      <c r="B815" s="461"/>
      <c r="C815" s="369"/>
      <c r="D815" s="368" t="s">
        <v>170</v>
      </c>
      <c r="M815" s="441"/>
      <c r="N815" s="400"/>
      <c r="O815" s="434">
        <f>-SUM(S817:S821)</f>
        <v>0</v>
      </c>
      <c r="Q815" s="389"/>
      <c r="R815" s="416" t="str">
        <f t="shared" ref="R815" si="43">IF(O815=0,"DELETE"," ")</f>
        <v>DELETE</v>
      </c>
    </row>
    <row r="816" spans="2:19" ht="9" customHeight="1" x14ac:dyDescent="0.45">
      <c r="B816" s="461"/>
      <c r="C816" s="369"/>
      <c r="M816" s="441"/>
      <c r="N816" s="400"/>
      <c r="O816" s="434"/>
      <c r="Q816" s="389"/>
      <c r="R816" s="416" t="str">
        <f>R$815</f>
        <v>DELETE</v>
      </c>
    </row>
    <row r="817" spans="2:21" ht="9" customHeight="1" x14ac:dyDescent="0.45">
      <c r="B817" s="461"/>
      <c r="C817" s="369"/>
      <c r="M817" s="441"/>
      <c r="N817" s="400"/>
      <c r="O817" s="455"/>
      <c r="Q817" s="389"/>
      <c r="R817" s="416" t="str">
        <f t="shared" ref="R817:R818" si="44">R$815</f>
        <v>DELETE</v>
      </c>
    </row>
    <row r="818" spans="2:21" ht="31.5" customHeight="1" x14ac:dyDescent="0.45">
      <c r="B818" s="461"/>
      <c r="C818" s="369"/>
      <c r="D818" s="368" t="s">
        <v>389</v>
      </c>
      <c r="M818" s="441"/>
      <c r="N818" s="400"/>
      <c r="O818" s="456">
        <f>-TrialBalance!L229</f>
        <v>0</v>
      </c>
      <c r="Q818" s="389"/>
      <c r="R818" s="416" t="str">
        <f t="shared" si="44"/>
        <v>DELETE</v>
      </c>
      <c r="S818" s="421">
        <f>-O818</f>
        <v>0</v>
      </c>
    </row>
    <row r="819" spans="2:21" ht="31.5" customHeight="1" x14ac:dyDescent="0.45">
      <c r="B819" s="461"/>
      <c r="C819" s="369"/>
      <c r="D819" s="368" t="s">
        <v>1075</v>
      </c>
      <c r="M819" s="441"/>
      <c r="N819" s="400"/>
      <c r="O819" s="456">
        <f>-TrialBalance!L238</f>
        <v>0</v>
      </c>
      <c r="Q819" s="389"/>
      <c r="R819" s="416" t="str">
        <f t="shared" ref="R819:R820" si="45">IF(O819=0,"DELETE"," ")</f>
        <v>DELETE</v>
      </c>
      <c r="S819" s="421">
        <f>-O819</f>
        <v>0</v>
      </c>
    </row>
    <row r="820" spans="2:21" ht="31.5" customHeight="1" x14ac:dyDescent="0.45">
      <c r="B820" s="461"/>
      <c r="C820" s="369"/>
      <c r="D820" s="368" t="s">
        <v>1076</v>
      </c>
      <c r="M820" s="441"/>
      <c r="N820" s="400"/>
      <c r="O820" s="456">
        <f>TrialBalance!L233</f>
        <v>0</v>
      </c>
      <c r="Q820" s="389"/>
      <c r="R820" s="416" t="str">
        <f t="shared" si="45"/>
        <v>DELETE</v>
      </c>
      <c r="S820" s="421">
        <f>O820</f>
        <v>0</v>
      </c>
    </row>
    <row r="821" spans="2:21" ht="9" customHeight="1" x14ac:dyDescent="0.45">
      <c r="B821" s="461"/>
      <c r="C821" s="369"/>
      <c r="M821" s="441"/>
      <c r="N821" s="400"/>
      <c r="O821" s="457"/>
      <c r="Q821" s="389"/>
      <c r="R821" s="416" t="str">
        <f t="shared" ref="R821:R822" si="46">R$815</f>
        <v>DELETE</v>
      </c>
    </row>
    <row r="822" spans="2:21" ht="9" customHeight="1" x14ac:dyDescent="0.45">
      <c r="B822" s="461"/>
      <c r="C822" s="369"/>
      <c r="M822" s="441"/>
      <c r="N822" s="400"/>
      <c r="O822" s="441"/>
      <c r="Q822" s="389"/>
      <c r="R822" s="416" t="str">
        <f t="shared" si="46"/>
        <v>DELETE</v>
      </c>
    </row>
    <row r="823" spans="2:21" ht="31.5" customHeight="1" x14ac:dyDescent="0.45">
      <c r="B823" s="461"/>
      <c r="C823" s="369"/>
      <c r="D823" s="368" t="s">
        <v>279</v>
      </c>
      <c r="M823" s="441"/>
      <c r="N823" s="400"/>
      <c r="O823" s="441">
        <f>TrialBalance!L232</f>
        <v>0</v>
      </c>
      <c r="Q823" s="389"/>
      <c r="R823" s="416" t="str">
        <f t="shared" ref="R823" si="47">IF(O823=0,"DELETE"," ")</f>
        <v>DELETE</v>
      </c>
      <c r="S823" s="421">
        <f>O823</f>
        <v>0</v>
      </c>
    </row>
    <row r="824" spans="2:21" ht="9" customHeight="1" x14ac:dyDescent="0.45">
      <c r="B824" s="461"/>
      <c r="C824" s="369"/>
      <c r="M824" s="441"/>
      <c r="N824" s="400"/>
      <c r="O824" s="438"/>
      <c r="Q824" s="389"/>
      <c r="R824" s="416" t="str">
        <f t="shared" ref="R824:R830" si="48">R$800</f>
        <v>DELETE</v>
      </c>
    </row>
    <row r="825" spans="2:21" ht="9" customHeight="1" x14ac:dyDescent="0.45">
      <c r="B825" s="461"/>
      <c r="C825" s="369"/>
      <c r="M825" s="441"/>
      <c r="N825" s="400"/>
      <c r="O825" s="441"/>
      <c r="Q825" s="389"/>
      <c r="R825" s="416" t="str">
        <f t="shared" si="48"/>
        <v>DELETE</v>
      </c>
    </row>
    <row r="826" spans="2:21" ht="31.5" customHeight="1" x14ac:dyDescent="0.45">
      <c r="B826" s="461"/>
      <c r="C826" s="369"/>
      <c r="D826" s="368" t="s">
        <v>1078</v>
      </c>
      <c r="K826" s="415"/>
      <c r="M826" s="441"/>
      <c r="N826" s="400"/>
      <c r="O826" s="434">
        <f>SUM(S803:S824)</f>
        <v>0</v>
      </c>
      <c r="Q826" s="389"/>
      <c r="R826" s="416" t="str">
        <f t="shared" si="48"/>
        <v>DELETE</v>
      </c>
      <c r="U826" s="417" t="b">
        <f>O826=SUM(S829:S833)</f>
        <v>1</v>
      </c>
    </row>
    <row r="827" spans="2:21" ht="9" customHeight="1" thickBot="1" x14ac:dyDescent="0.5">
      <c r="B827" s="461"/>
      <c r="C827" s="369"/>
      <c r="M827" s="441"/>
      <c r="N827" s="400"/>
      <c r="O827" s="439"/>
      <c r="Q827" s="389"/>
      <c r="R827" s="416" t="str">
        <f t="shared" si="48"/>
        <v>DELETE</v>
      </c>
    </row>
    <row r="828" spans="2:21" ht="9" customHeight="1" thickTop="1" x14ac:dyDescent="0.45">
      <c r="B828" s="461"/>
      <c r="C828" s="369"/>
      <c r="M828" s="441"/>
      <c r="N828" s="400"/>
      <c r="O828" s="434"/>
      <c r="Q828" s="389"/>
      <c r="R828" s="416" t="str">
        <f t="shared" si="48"/>
        <v>DELETE</v>
      </c>
    </row>
    <row r="829" spans="2:21" ht="9" customHeight="1" x14ac:dyDescent="0.45">
      <c r="B829" s="461"/>
      <c r="C829" s="369"/>
      <c r="M829" s="441"/>
      <c r="N829" s="400"/>
      <c r="O829" s="455"/>
      <c r="Q829" s="389"/>
      <c r="R829" s="416" t="str">
        <f t="shared" si="48"/>
        <v>DELETE</v>
      </c>
    </row>
    <row r="830" spans="2:21" ht="31.5" customHeight="1" x14ac:dyDescent="0.45">
      <c r="B830" s="461"/>
      <c r="C830" s="369"/>
      <c r="D830" s="368" t="s">
        <v>389</v>
      </c>
      <c r="M830" s="441"/>
      <c r="N830" s="400"/>
      <c r="O830" s="456">
        <f>SUM(TrialBalance!L227:L229)</f>
        <v>0</v>
      </c>
      <c r="Q830" s="389"/>
      <c r="R830" s="416" t="str">
        <f t="shared" si="48"/>
        <v>DELETE</v>
      </c>
      <c r="S830" s="421">
        <f>O830</f>
        <v>0</v>
      </c>
    </row>
    <row r="831" spans="2:21" ht="31.5" customHeight="1" x14ac:dyDescent="0.45">
      <c r="B831" s="461"/>
      <c r="C831" s="369"/>
      <c r="D831" s="368" t="s">
        <v>1075</v>
      </c>
      <c r="M831" s="441"/>
      <c r="N831" s="400"/>
      <c r="O831" s="456">
        <f>SUM(TrialBalance!L236:L238)</f>
        <v>0</v>
      </c>
      <c r="Q831" s="389"/>
      <c r="R831" s="416" t="str">
        <f t="shared" ref="R831:R832" si="49">IF(O831=0,"DELETE"," ")</f>
        <v>DELETE</v>
      </c>
      <c r="S831" s="421">
        <f>O831</f>
        <v>0</v>
      </c>
    </row>
    <row r="832" spans="2:21" ht="31.5" customHeight="1" x14ac:dyDescent="0.45">
      <c r="B832" s="461"/>
      <c r="C832" s="369"/>
      <c r="D832" s="368" t="s">
        <v>1076</v>
      </c>
      <c r="M832" s="441"/>
      <c r="N832" s="400"/>
      <c r="O832" s="456">
        <f>-SUM(TrialBalance!L231:L234)</f>
        <v>0</v>
      </c>
      <c r="Q832" s="389"/>
      <c r="R832" s="416" t="str">
        <f t="shared" si="49"/>
        <v>DELETE</v>
      </c>
      <c r="S832" s="421">
        <f>-O832</f>
        <v>0</v>
      </c>
    </row>
    <row r="833" spans="2:18" ht="9" customHeight="1" x14ac:dyDescent="0.45">
      <c r="B833" s="461"/>
      <c r="C833" s="369"/>
      <c r="M833" s="441"/>
      <c r="N833" s="400"/>
      <c r="O833" s="457"/>
      <c r="Q833" s="389"/>
      <c r="R833" s="416" t="str">
        <f t="shared" ref="R833:R835" si="50">R$800</f>
        <v>DELETE</v>
      </c>
    </row>
    <row r="834" spans="2:18" ht="9" customHeight="1" x14ac:dyDescent="0.45">
      <c r="B834" s="461"/>
      <c r="C834" s="369"/>
      <c r="M834" s="441"/>
      <c r="N834" s="400"/>
      <c r="O834" s="434"/>
      <c r="Q834" s="389"/>
      <c r="R834" s="416" t="str">
        <f t="shared" si="50"/>
        <v>DELETE</v>
      </c>
    </row>
    <row r="835" spans="2:18" ht="31.5" customHeight="1" x14ac:dyDescent="0.45">
      <c r="B835" s="461"/>
      <c r="C835" s="369"/>
      <c r="M835" s="477"/>
      <c r="N835" s="478"/>
      <c r="Q835" s="389"/>
      <c r="R835" s="416" t="str">
        <f t="shared" si="50"/>
        <v>DELETE</v>
      </c>
    </row>
    <row r="836" spans="2:18" ht="31.5" customHeight="1" x14ac:dyDescent="0.45">
      <c r="B836" s="461"/>
      <c r="D836" s="368" t="str">
        <f>IF(Criteria!F69="Yes",CONCATENATE("Property is pledged as security - See note ",'FS2'!B1298)," ")</f>
        <v xml:space="preserve"> </v>
      </c>
      <c r="Q836" s="389"/>
      <c r="R836" s="416" t="str">
        <f>IF(R800="DELETE","DELETE",IF(D836=" ","DELETE"," "))</f>
        <v>DELETE</v>
      </c>
    </row>
    <row r="837" spans="2:18" ht="31.5" customHeight="1" x14ac:dyDescent="0.45">
      <c r="B837" s="461"/>
      <c r="Q837" s="389"/>
      <c r="R837" s="416" t="str">
        <f t="shared" ref="R837:R840" si="51">R$800</f>
        <v>DELETE</v>
      </c>
    </row>
    <row r="838" spans="2:18" ht="31.5" customHeight="1" x14ac:dyDescent="0.45">
      <c r="B838" s="461"/>
      <c r="Q838" s="389"/>
      <c r="R838" s="416" t="str">
        <f t="shared" si="51"/>
        <v>DELETE</v>
      </c>
    </row>
    <row r="839" spans="2:18" ht="31.5" customHeight="1" x14ac:dyDescent="0.45">
      <c r="B839" s="462"/>
      <c r="C839" s="267"/>
      <c r="D839" s="383"/>
      <c r="E839" s="383"/>
      <c r="F839" s="383"/>
      <c r="G839" s="383"/>
      <c r="H839" s="383"/>
      <c r="I839" s="383"/>
      <c r="J839" s="383"/>
      <c r="K839" s="383"/>
      <c r="L839" s="383"/>
      <c r="M839" s="438"/>
      <c r="N839" s="392"/>
      <c r="O839" s="438"/>
      <c r="P839" s="475"/>
      <c r="Q839" s="398"/>
      <c r="R839" s="416" t="str">
        <f t="shared" si="51"/>
        <v>DELETE</v>
      </c>
    </row>
    <row r="840" spans="2:18" ht="31.5" customHeight="1" x14ac:dyDescent="0.45">
      <c r="B840" s="445"/>
      <c r="C840" s="369"/>
      <c r="M840" s="434"/>
      <c r="N840" s="390"/>
      <c r="O840" s="434"/>
      <c r="R840" s="416" t="str">
        <f t="shared" si="51"/>
        <v>DELETE</v>
      </c>
    </row>
    <row r="841" spans="2:18" ht="31.5" customHeight="1" x14ac:dyDescent="0.45">
      <c r="B841" s="445"/>
      <c r="C841" s="369"/>
      <c r="M841" s="434"/>
      <c r="N841" s="390"/>
      <c r="O841" s="434"/>
      <c r="R841" s="416" t="str">
        <f t="shared" ref="R841:R852" si="52">R$893</f>
        <v>DELETE</v>
      </c>
    </row>
    <row r="842" spans="2:18" ht="31.5" customHeight="1" x14ac:dyDescent="0.45">
      <c r="B842" s="445"/>
      <c r="C842" s="369"/>
      <c r="D842" s="369" t="str">
        <f>Criteria!E9</f>
        <v>ABC TRUST</v>
      </c>
      <c r="O842" s="433" t="s">
        <v>105</v>
      </c>
      <c r="Q842" s="370">
        <f>MAX($Q$114:Q841)+1</f>
        <v>15</v>
      </c>
      <c r="R842" s="416" t="str">
        <f t="shared" si="52"/>
        <v>DELETE</v>
      </c>
    </row>
    <row r="843" spans="2:18" ht="31.5" customHeight="1" x14ac:dyDescent="0.45">
      <c r="B843" s="445"/>
      <c r="C843" s="369"/>
      <c r="D843" s="369" t="str">
        <f>Criteria!E10</f>
        <v>T/A RENTAL PROPERTIES, SEAFRONT RESTAURANT AND SURF SHOP</v>
      </c>
      <c r="R843" s="416" t="str">
        <f>IF(R$893="DELETE","DELETE",IF(D843=0,"DELETE"," "))</f>
        <v>DELETE</v>
      </c>
    </row>
    <row r="844" spans="2:18" ht="31.5" customHeight="1" x14ac:dyDescent="0.45">
      <c r="B844" s="445"/>
      <c r="C844" s="369"/>
      <c r="R844" s="416" t="str">
        <f t="shared" si="52"/>
        <v>DELETE</v>
      </c>
    </row>
    <row r="845" spans="2:18" ht="31.5" customHeight="1" x14ac:dyDescent="0.45">
      <c r="B845" s="445"/>
      <c r="C845" s="369"/>
      <c r="D845" s="369" t="s">
        <v>383</v>
      </c>
      <c r="R845" s="416" t="str">
        <f t="shared" si="52"/>
        <v>DELETE</v>
      </c>
    </row>
    <row r="846" spans="2:18" ht="31.5" customHeight="1" x14ac:dyDescent="0.45">
      <c r="B846" s="445"/>
      <c r="C846" s="369"/>
      <c r="D846" s="369" t="str">
        <f>Criteria!E20</f>
        <v>29 FEBRUARY 2024</v>
      </c>
      <c r="J846" s="368" t="s">
        <v>253</v>
      </c>
      <c r="R846" s="416" t="str">
        <f t="shared" si="52"/>
        <v>DELETE</v>
      </c>
    </row>
    <row r="847" spans="2:18" ht="31.5" customHeight="1" x14ac:dyDescent="0.45">
      <c r="B847" s="445"/>
      <c r="C847" s="369"/>
      <c r="M847" s="434"/>
      <c r="N847" s="390"/>
      <c r="O847" s="434"/>
      <c r="R847" s="416" t="str">
        <f t="shared" si="52"/>
        <v>DELETE</v>
      </c>
    </row>
    <row r="848" spans="2:18" ht="31.5" customHeight="1" x14ac:dyDescent="0.45">
      <c r="B848" s="465"/>
      <c r="C848" s="410"/>
      <c r="D848" s="386"/>
      <c r="E848" s="386"/>
      <c r="F848" s="386"/>
      <c r="G848" s="386"/>
      <c r="H848" s="386"/>
      <c r="I848" s="386"/>
      <c r="J848" s="386"/>
      <c r="K848" s="386"/>
      <c r="L848" s="386"/>
      <c r="M848" s="446"/>
      <c r="N848" s="391"/>
      <c r="O848" s="446"/>
      <c r="P848" s="481"/>
      <c r="Q848" s="387"/>
      <c r="R848" s="416" t="str">
        <f t="shared" si="52"/>
        <v>DELETE</v>
      </c>
    </row>
    <row r="849" spans="2:18" ht="31.5" customHeight="1" x14ac:dyDescent="0.45">
      <c r="B849" s="461"/>
      <c r="C849" s="369"/>
      <c r="M849" s="441"/>
      <c r="N849" s="400"/>
      <c r="O849" s="430">
        <f>Criteria!E22</f>
        <v>2024</v>
      </c>
      <c r="P849" s="478"/>
      <c r="Q849" s="389"/>
      <c r="R849" s="416" t="str">
        <f t="shared" si="52"/>
        <v>DELETE</v>
      </c>
    </row>
    <row r="850" spans="2:18" ht="31.5" customHeight="1" x14ac:dyDescent="0.45">
      <c r="B850" s="461"/>
      <c r="C850" s="369"/>
      <c r="M850" s="441"/>
      <c r="N850" s="400"/>
      <c r="O850" s="441"/>
      <c r="P850" s="478"/>
      <c r="Q850" s="389"/>
      <c r="R850" s="416" t="str">
        <f t="shared" si="52"/>
        <v>DELETE</v>
      </c>
    </row>
    <row r="851" spans="2:18" ht="31.5" customHeight="1" x14ac:dyDescent="0.45">
      <c r="B851" s="461"/>
      <c r="C851" s="368" t="s">
        <v>1192</v>
      </c>
      <c r="M851" s="441"/>
      <c r="N851" s="400"/>
      <c r="O851" s="441"/>
      <c r="P851" s="478"/>
      <c r="Q851" s="389"/>
      <c r="R851" s="416" t="str">
        <f t="shared" si="52"/>
        <v>DELETE</v>
      </c>
    </row>
    <row r="852" spans="2:18" ht="31.5" customHeight="1" x14ac:dyDescent="0.45">
      <c r="B852" s="461"/>
      <c r="C852" s="369"/>
      <c r="M852" s="441"/>
      <c r="N852" s="400"/>
      <c r="O852" s="441"/>
      <c r="P852" s="478"/>
      <c r="Q852" s="389"/>
      <c r="R852" s="416" t="str">
        <f t="shared" si="52"/>
        <v>DELETE</v>
      </c>
    </row>
    <row r="853" spans="2:18" ht="31.5" customHeight="1" x14ac:dyDescent="0.45">
      <c r="B853" s="461"/>
      <c r="C853" s="369"/>
      <c r="D853" s="368">
        <f>Criteria!C74</f>
        <v>0</v>
      </c>
      <c r="M853" s="441"/>
      <c r="N853" s="400"/>
      <c r="O853" s="441">
        <f>Criteria!F74</f>
        <v>0</v>
      </c>
      <c r="P853" s="478"/>
      <c r="Q853" s="389"/>
      <c r="R853" s="416" t="str">
        <f>IF(O853=0,"DELETE"," ")</f>
        <v>DELETE</v>
      </c>
    </row>
    <row r="854" spans="2:18" ht="31.5" customHeight="1" x14ac:dyDescent="0.45">
      <c r="B854" s="461"/>
      <c r="C854" s="369"/>
      <c r="D854" s="368">
        <f>Criteria!C75</f>
        <v>0</v>
      </c>
      <c r="M854" s="441"/>
      <c r="N854" s="400"/>
      <c r="O854" s="441">
        <f>Criteria!F75</f>
        <v>0</v>
      </c>
      <c r="P854" s="478"/>
      <c r="Q854" s="389"/>
      <c r="R854" s="416" t="str">
        <f t="shared" ref="R854:R890" si="53">IF(O854=0,"DELETE"," ")</f>
        <v>DELETE</v>
      </c>
    </row>
    <row r="855" spans="2:18" ht="31.5" customHeight="1" x14ac:dyDescent="0.45">
      <c r="B855" s="461"/>
      <c r="C855" s="369"/>
      <c r="D855" s="368">
        <f>Criteria!C76</f>
        <v>0</v>
      </c>
      <c r="M855" s="441"/>
      <c r="N855" s="400"/>
      <c r="O855" s="441">
        <f>Criteria!F76</f>
        <v>0</v>
      </c>
      <c r="P855" s="478"/>
      <c r="Q855" s="389"/>
      <c r="R855" s="416" t="str">
        <f t="shared" si="53"/>
        <v>DELETE</v>
      </c>
    </row>
    <row r="856" spans="2:18" ht="31.5" customHeight="1" x14ac:dyDescent="0.45">
      <c r="B856" s="461"/>
      <c r="C856" s="369"/>
      <c r="D856" s="368">
        <f>Criteria!C77</f>
        <v>0</v>
      </c>
      <c r="M856" s="441"/>
      <c r="N856" s="400"/>
      <c r="O856" s="441">
        <f>Criteria!F77</f>
        <v>0</v>
      </c>
      <c r="P856" s="478"/>
      <c r="Q856" s="389"/>
      <c r="R856" s="416" t="str">
        <f t="shared" si="53"/>
        <v>DELETE</v>
      </c>
    </row>
    <row r="857" spans="2:18" ht="31.5" customHeight="1" x14ac:dyDescent="0.45">
      <c r="B857" s="461"/>
      <c r="C857" s="369"/>
      <c r="D857" s="368">
        <f>Criteria!C78</f>
        <v>0</v>
      </c>
      <c r="M857" s="441"/>
      <c r="N857" s="400"/>
      <c r="O857" s="441">
        <f>Criteria!F78</f>
        <v>0</v>
      </c>
      <c r="P857" s="478"/>
      <c r="Q857" s="389"/>
      <c r="R857" s="416" t="str">
        <f t="shared" si="53"/>
        <v>DELETE</v>
      </c>
    </row>
    <row r="858" spans="2:18" ht="31.5" customHeight="1" x14ac:dyDescent="0.45">
      <c r="B858" s="461"/>
      <c r="C858" s="369"/>
      <c r="D858" s="368">
        <f>Criteria!C79</f>
        <v>0</v>
      </c>
      <c r="M858" s="441"/>
      <c r="N858" s="400"/>
      <c r="O858" s="441">
        <f>Criteria!F79</f>
        <v>0</v>
      </c>
      <c r="P858" s="478"/>
      <c r="Q858" s="389"/>
      <c r="R858" s="416" t="str">
        <f t="shared" si="53"/>
        <v>DELETE</v>
      </c>
    </row>
    <row r="859" spans="2:18" ht="31.5" customHeight="1" x14ac:dyDescent="0.45">
      <c r="B859" s="461"/>
      <c r="C859" s="369"/>
      <c r="D859" s="368">
        <f>Criteria!C80</f>
        <v>0</v>
      </c>
      <c r="M859" s="441"/>
      <c r="N859" s="400"/>
      <c r="O859" s="441">
        <f>Criteria!F80</f>
        <v>0</v>
      </c>
      <c r="P859" s="478"/>
      <c r="Q859" s="389"/>
      <c r="R859" s="416" t="str">
        <f t="shared" si="53"/>
        <v>DELETE</v>
      </c>
    </row>
    <row r="860" spans="2:18" ht="31.5" customHeight="1" x14ac:dyDescent="0.45">
      <c r="B860" s="461"/>
      <c r="C860" s="369"/>
      <c r="D860" s="368">
        <f>Criteria!C81</f>
        <v>0</v>
      </c>
      <c r="M860" s="441"/>
      <c r="N860" s="400"/>
      <c r="O860" s="441">
        <f>Criteria!F81</f>
        <v>0</v>
      </c>
      <c r="P860" s="478"/>
      <c r="Q860" s="389"/>
      <c r="R860" s="416" t="str">
        <f t="shared" si="53"/>
        <v>DELETE</v>
      </c>
    </row>
    <row r="861" spans="2:18" ht="31.5" customHeight="1" x14ac:dyDescent="0.45">
      <c r="B861" s="461"/>
      <c r="C861" s="369"/>
      <c r="D861" s="368">
        <f>Criteria!C82</f>
        <v>0</v>
      </c>
      <c r="M861" s="441"/>
      <c r="N861" s="400"/>
      <c r="O861" s="441">
        <f>Criteria!F82</f>
        <v>0</v>
      </c>
      <c r="P861" s="478"/>
      <c r="Q861" s="389"/>
      <c r="R861" s="416" t="str">
        <f t="shared" si="53"/>
        <v>DELETE</v>
      </c>
    </row>
    <row r="862" spans="2:18" ht="31.5" customHeight="1" x14ac:dyDescent="0.45">
      <c r="B862" s="461"/>
      <c r="C862" s="369"/>
      <c r="D862" s="368">
        <f>Criteria!C83</f>
        <v>0</v>
      </c>
      <c r="M862" s="441"/>
      <c r="N862" s="400"/>
      <c r="O862" s="441">
        <f>Criteria!F83</f>
        <v>0</v>
      </c>
      <c r="P862" s="478"/>
      <c r="Q862" s="389"/>
      <c r="R862" s="416" t="str">
        <f t="shared" si="53"/>
        <v>DELETE</v>
      </c>
    </row>
    <row r="863" spans="2:18" ht="31.5" customHeight="1" x14ac:dyDescent="0.45">
      <c r="B863" s="461"/>
      <c r="C863" s="369"/>
      <c r="D863" s="368">
        <f>Criteria!C84</f>
        <v>0</v>
      </c>
      <c r="M863" s="441"/>
      <c r="N863" s="400"/>
      <c r="O863" s="441">
        <f>Criteria!F84</f>
        <v>0</v>
      </c>
      <c r="P863" s="478"/>
      <c r="Q863" s="389"/>
      <c r="R863" s="416" t="str">
        <f t="shared" si="53"/>
        <v>DELETE</v>
      </c>
    </row>
    <row r="864" spans="2:18" ht="31.5" customHeight="1" x14ac:dyDescent="0.45">
      <c r="B864" s="461"/>
      <c r="C864" s="369"/>
      <c r="D864" s="368">
        <f>Criteria!C85</f>
        <v>0</v>
      </c>
      <c r="M864" s="441"/>
      <c r="N864" s="400"/>
      <c r="O864" s="441">
        <f>Criteria!F85</f>
        <v>0</v>
      </c>
      <c r="P864" s="478"/>
      <c r="Q864" s="389"/>
      <c r="R864" s="416" t="str">
        <f t="shared" si="53"/>
        <v>DELETE</v>
      </c>
    </row>
    <row r="865" spans="2:18" ht="31.5" customHeight="1" x14ac:dyDescent="0.45">
      <c r="B865" s="461"/>
      <c r="C865" s="369"/>
      <c r="D865" s="368">
        <f>Criteria!C86</f>
        <v>0</v>
      </c>
      <c r="M865" s="441"/>
      <c r="N865" s="400"/>
      <c r="O865" s="441">
        <f>Criteria!F86</f>
        <v>0</v>
      </c>
      <c r="P865" s="478"/>
      <c r="Q865" s="389"/>
      <c r="R865" s="416" t="str">
        <f t="shared" si="53"/>
        <v>DELETE</v>
      </c>
    </row>
    <row r="866" spans="2:18" ht="31.5" customHeight="1" x14ac:dyDescent="0.45">
      <c r="B866" s="461"/>
      <c r="C866" s="369"/>
      <c r="D866" s="368">
        <f>Criteria!C87</f>
        <v>0</v>
      </c>
      <c r="M866" s="441"/>
      <c r="N866" s="400"/>
      <c r="O866" s="441">
        <f>Criteria!F87</f>
        <v>0</v>
      </c>
      <c r="P866" s="478"/>
      <c r="Q866" s="389"/>
      <c r="R866" s="416" t="str">
        <f t="shared" si="53"/>
        <v>DELETE</v>
      </c>
    </row>
    <row r="867" spans="2:18" ht="31.5" customHeight="1" x14ac:dyDescent="0.45">
      <c r="B867" s="461"/>
      <c r="C867" s="369"/>
      <c r="D867" s="368">
        <f>Criteria!C88</f>
        <v>0</v>
      </c>
      <c r="M867" s="441"/>
      <c r="N867" s="400"/>
      <c r="O867" s="441">
        <f>Criteria!F88</f>
        <v>0</v>
      </c>
      <c r="P867" s="478"/>
      <c r="Q867" s="389"/>
      <c r="R867" s="416" t="str">
        <f t="shared" si="53"/>
        <v>DELETE</v>
      </c>
    </row>
    <row r="868" spans="2:18" ht="31.5" customHeight="1" x14ac:dyDescent="0.45">
      <c r="B868" s="461"/>
      <c r="C868" s="369"/>
      <c r="D868" s="368">
        <f>Criteria!C89</f>
        <v>0</v>
      </c>
      <c r="M868" s="441"/>
      <c r="N868" s="400"/>
      <c r="O868" s="441">
        <f>Criteria!F89</f>
        <v>0</v>
      </c>
      <c r="P868" s="478"/>
      <c r="Q868" s="389"/>
      <c r="R868" s="416" t="str">
        <f t="shared" si="53"/>
        <v>DELETE</v>
      </c>
    </row>
    <row r="869" spans="2:18" ht="31.5" customHeight="1" x14ac:dyDescent="0.45">
      <c r="B869" s="461"/>
      <c r="C869" s="369"/>
      <c r="D869" s="368">
        <f>Criteria!C90</f>
        <v>0</v>
      </c>
      <c r="M869" s="441"/>
      <c r="N869" s="400"/>
      <c r="O869" s="441">
        <f>Criteria!F90</f>
        <v>0</v>
      </c>
      <c r="P869" s="478"/>
      <c r="Q869" s="389"/>
      <c r="R869" s="416" t="str">
        <f t="shared" si="53"/>
        <v>DELETE</v>
      </c>
    </row>
    <row r="870" spans="2:18" ht="31.5" customHeight="1" x14ac:dyDescent="0.45">
      <c r="B870" s="461"/>
      <c r="C870" s="369"/>
      <c r="D870" s="368">
        <f>Criteria!C91</f>
        <v>0</v>
      </c>
      <c r="M870" s="441"/>
      <c r="N870" s="400"/>
      <c r="O870" s="441">
        <f>Criteria!F91</f>
        <v>0</v>
      </c>
      <c r="P870" s="478"/>
      <c r="Q870" s="389"/>
      <c r="R870" s="416" t="str">
        <f t="shared" si="53"/>
        <v>DELETE</v>
      </c>
    </row>
    <row r="871" spans="2:18" ht="31.5" customHeight="1" x14ac:dyDescent="0.45">
      <c r="B871" s="461"/>
      <c r="C871" s="369"/>
      <c r="D871" s="368">
        <f>Criteria!C92</f>
        <v>0</v>
      </c>
      <c r="M871" s="441"/>
      <c r="N871" s="400"/>
      <c r="O871" s="441">
        <f>Criteria!F92</f>
        <v>0</v>
      </c>
      <c r="P871" s="478"/>
      <c r="Q871" s="389"/>
      <c r="R871" s="416" t="str">
        <f t="shared" si="53"/>
        <v>DELETE</v>
      </c>
    </row>
    <row r="872" spans="2:18" ht="31.5" customHeight="1" x14ac:dyDescent="0.45">
      <c r="B872" s="461"/>
      <c r="C872" s="369"/>
      <c r="D872" s="368">
        <f>Criteria!C93</f>
        <v>0</v>
      </c>
      <c r="M872" s="441"/>
      <c r="N872" s="400"/>
      <c r="O872" s="441">
        <f>Criteria!F93</f>
        <v>0</v>
      </c>
      <c r="P872" s="478"/>
      <c r="Q872" s="389"/>
      <c r="R872" s="416" t="str">
        <f t="shared" si="53"/>
        <v>DELETE</v>
      </c>
    </row>
    <row r="873" spans="2:18" ht="31.5" customHeight="1" x14ac:dyDescent="0.45">
      <c r="B873" s="461"/>
      <c r="C873" s="369"/>
      <c r="D873" s="368">
        <f>Criteria!C94</f>
        <v>0</v>
      </c>
      <c r="M873" s="441"/>
      <c r="N873" s="400"/>
      <c r="O873" s="441">
        <f>Criteria!F94</f>
        <v>0</v>
      </c>
      <c r="P873" s="478"/>
      <c r="Q873" s="389"/>
      <c r="R873" s="416" t="str">
        <f t="shared" si="53"/>
        <v>DELETE</v>
      </c>
    </row>
    <row r="874" spans="2:18" ht="31.5" customHeight="1" x14ac:dyDescent="0.45">
      <c r="B874" s="461"/>
      <c r="C874" s="369"/>
      <c r="D874" s="368">
        <f>Criteria!C95</f>
        <v>0</v>
      </c>
      <c r="M874" s="441"/>
      <c r="N874" s="400"/>
      <c r="O874" s="441">
        <f>Criteria!F95</f>
        <v>0</v>
      </c>
      <c r="P874" s="478"/>
      <c r="Q874" s="389"/>
      <c r="R874" s="416" t="str">
        <f t="shared" si="53"/>
        <v>DELETE</v>
      </c>
    </row>
    <row r="875" spans="2:18" ht="31.5" customHeight="1" x14ac:dyDescent="0.45">
      <c r="B875" s="461"/>
      <c r="C875" s="369"/>
      <c r="D875" s="368">
        <f>Criteria!C96</f>
        <v>0</v>
      </c>
      <c r="M875" s="441"/>
      <c r="N875" s="400"/>
      <c r="O875" s="441">
        <f>Criteria!F96</f>
        <v>0</v>
      </c>
      <c r="P875" s="478"/>
      <c r="Q875" s="389"/>
      <c r="R875" s="416" t="str">
        <f t="shared" si="53"/>
        <v>DELETE</v>
      </c>
    </row>
    <row r="876" spans="2:18" ht="31.5" customHeight="1" x14ac:dyDescent="0.45">
      <c r="B876" s="461"/>
      <c r="C876" s="369"/>
      <c r="D876" s="368">
        <f>Criteria!C97</f>
        <v>0</v>
      </c>
      <c r="M876" s="441"/>
      <c r="N876" s="400"/>
      <c r="O876" s="441">
        <f>Criteria!F97</f>
        <v>0</v>
      </c>
      <c r="P876" s="478"/>
      <c r="Q876" s="389"/>
      <c r="R876" s="416" t="str">
        <f t="shared" si="53"/>
        <v>DELETE</v>
      </c>
    </row>
    <row r="877" spans="2:18" ht="31.5" customHeight="1" x14ac:dyDescent="0.45">
      <c r="B877" s="461"/>
      <c r="C877" s="369"/>
      <c r="D877" s="368">
        <f>Criteria!C98</f>
        <v>0</v>
      </c>
      <c r="M877" s="441"/>
      <c r="N877" s="400"/>
      <c r="O877" s="441">
        <f>Criteria!F98</f>
        <v>0</v>
      </c>
      <c r="P877" s="478"/>
      <c r="Q877" s="389"/>
      <c r="R877" s="416" t="str">
        <f t="shared" si="53"/>
        <v>DELETE</v>
      </c>
    </row>
    <row r="878" spans="2:18" ht="31.5" customHeight="1" x14ac:dyDescent="0.45">
      <c r="B878" s="461"/>
      <c r="C878" s="369"/>
      <c r="D878" s="368">
        <f>Criteria!C99</f>
        <v>0</v>
      </c>
      <c r="M878" s="441"/>
      <c r="N878" s="400"/>
      <c r="O878" s="441">
        <f>Criteria!F99</f>
        <v>0</v>
      </c>
      <c r="P878" s="478"/>
      <c r="Q878" s="389"/>
      <c r="R878" s="416" t="str">
        <f t="shared" si="53"/>
        <v>DELETE</v>
      </c>
    </row>
    <row r="879" spans="2:18" ht="31.5" customHeight="1" x14ac:dyDescent="0.45">
      <c r="B879" s="461"/>
      <c r="C879" s="369"/>
      <c r="D879" s="368">
        <f>Criteria!C100</f>
        <v>0</v>
      </c>
      <c r="M879" s="441"/>
      <c r="N879" s="400"/>
      <c r="O879" s="441">
        <f>Criteria!F100</f>
        <v>0</v>
      </c>
      <c r="P879" s="478"/>
      <c r="Q879" s="389"/>
      <c r="R879" s="416" t="str">
        <f t="shared" si="53"/>
        <v>DELETE</v>
      </c>
    </row>
    <row r="880" spans="2:18" ht="31.5" customHeight="1" x14ac:dyDescent="0.45">
      <c r="B880" s="461"/>
      <c r="C880" s="369"/>
      <c r="D880" s="368">
        <f>Criteria!C101</f>
        <v>0</v>
      </c>
      <c r="M880" s="441"/>
      <c r="N880" s="400"/>
      <c r="O880" s="441">
        <f>Criteria!F101</f>
        <v>0</v>
      </c>
      <c r="P880" s="478"/>
      <c r="Q880" s="389"/>
      <c r="R880" s="416" t="str">
        <f t="shared" si="53"/>
        <v>DELETE</v>
      </c>
    </row>
    <row r="881" spans="2:21" ht="31.5" customHeight="1" x14ac:dyDescent="0.45">
      <c r="B881" s="461"/>
      <c r="C881" s="369"/>
      <c r="D881" s="368">
        <f>Criteria!C102</f>
        <v>0</v>
      </c>
      <c r="M881" s="441"/>
      <c r="N881" s="400"/>
      <c r="O881" s="441">
        <f>Criteria!F102</f>
        <v>0</v>
      </c>
      <c r="P881" s="478"/>
      <c r="Q881" s="389"/>
      <c r="R881" s="416" t="str">
        <f t="shared" si="53"/>
        <v>DELETE</v>
      </c>
    </row>
    <row r="882" spans="2:21" ht="31.5" customHeight="1" x14ac:dyDescent="0.45">
      <c r="B882" s="461"/>
      <c r="C882" s="369"/>
      <c r="D882" s="368">
        <f>Criteria!C103</f>
        <v>0</v>
      </c>
      <c r="M882" s="441"/>
      <c r="N882" s="400"/>
      <c r="O882" s="441">
        <f>Criteria!F103</f>
        <v>0</v>
      </c>
      <c r="P882" s="478"/>
      <c r="Q882" s="389"/>
      <c r="R882" s="416" t="str">
        <f t="shared" si="53"/>
        <v>DELETE</v>
      </c>
    </row>
    <row r="883" spans="2:21" ht="31.5" customHeight="1" x14ac:dyDescent="0.45">
      <c r="B883" s="461"/>
      <c r="C883" s="369"/>
      <c r="D883" s="368">
        <f>Criteria!C104</f>
        <v>0</v>
      </c>
      <c r="M883" s="441"/>
      <c r="N883" s="400"/>
      <c r="O883" s="441">
        <f>Criteria!F104</f>
        <v>0</v>
      </c>
      <c r="P883" s="478"/>
      <c r="Q883" s="389"/>
      <c r="R883" s="416" t="str">
        <f t="shared" si="53"/>
        <v>DELETE</v>
      </c>
    </row>
    <row r="884" spans="2:21" ht="31.5" customHeight="1" x14ac:dyDescent="0.45">
      <c r="B884" s="461"/>
      <c r="C884" s="369"/>
      <c r="D884" s="368">
        <f>Criteria!C105</f>
        <v>0</v>
      </c>
      <c r="M884" s="441"/>
      <c r="N884" s="400"/>
      <c r="O884" s="441">
        <f>Criteria!F105</f>
        <v>0</v>
      </c>
      <c r="P884" s="478"/>
      <c r="Q884" s="389"/>
      <c r="R884" s="416" t="str">
        <f t="shared" si="53"/>
        <v>DELETE</v>
      </c>
    </row>
    <row r="885" spans="2:21" ht="31.5" customHeight="1" x14ac:dyDescent="0.45">
      <c r="B885" s="461"/>
      <c r="C885" s="369"/>
      <c r="D885" s="368">
        <f>Criteria!C106</f>
        <v>0</v>
      </c>
      <c r="M885" s="441"/>
      <c r="N885" s="400"/>
      <c r="O885" s="441">
        <f>Criteria!F106</f>
        <v>0</v>
      </c>
      <c r="P885" s="478"/>
      <c r="Q885" s="389"/>
      <c r="R885" s="416" t="str">
        <f t="shared" si="53"/>
        <v>DELETE</v>
      </c>
    </row>
    <row r="886" spans="2:21" ht="31.5" customHeight="1" x14ac:dyDescent="0.45">
      <c r="B886" s="461"/>
      <c r="C886" s="369"/>
      <c r="D886" s="368">
        <f>Criteria!C107</f>
        <v>0</v>
      </c>
      <c r="M886" s="441"/>
      <c r="N886" s="400"/>
      <c r="O886" s="441">
        <f>Criteria!F107</f>
        <v>0</v>
      </c>
      <c r="P886" s="478"/>
      <c r="Q886" s="389"/>
      <c r="R886" s="416" t="str">
        <f t="shared" si="53"/>
        <v>DELETE</v>
      </c>
    </row>
    <row r="887" spans="2:21" ht="31.5" customHeight="1" x14ac:dyDescent="0.45">
      <c r="B887" s="461"/>
      <c r="C887" s="369"/>
      <c r="D887" s="368">
        <f>Criteria!C108</f>
        <v>0</v>
      </c>
      <c r="M887" s="441"/>
      <c r="N887" s="400"/>
      <c r="O887" s="441">
        <f>Criteria!F108</f>
        <v>0</v>
      </c>
      <c r="P887" s="478"/>
      <c r="Q887" s="389"/>
      <c r="R887" s="416" t="str">
        <f t="shared" si="53"/>
        <v>DELETE</v>
      </c>
    </row>
    <row r="888" spans="2:21" ht="31.5" customHeight="1" x14ac:dyDescent="0.45">
      <c r="B888" s="461"/>
      <c r="C888" s="369"/>
      <c r="D888" s="368">
        <f>Criteria!C109</f>
        <v>0</v>
      </c>
      <c r="M888" s="441"/>
      <c r="N888" s="400"/>
      <c r="O888" s="441">
        <f>Criteria!F109</f>
        <v>0</v>
      </c>
      <c r="P888" s="478"/>
      <c r="Q888" s="389"/>
      <c r="R888" s="416" t="str">
        <f t="shared" si="53"/>
        <v>DELETE</v>
      </c>
    </row>
    <row r="889" spans="2:21" ht="31.5" customHeight="1" x14ac:dyDescent="0.45">
      <c r="B889" s="461"/>
      <c r="C889" s="369"/>
      <c r="D889" s="368">
        <f>Criteria!C110</f>
        <v>0</v>
      </c>
      <c r="M889" s="441"/>
      <c r="N889" s="400"/>
      <c r="O889" s="441">
        <f>Criteria!F110</f>
        <v>0</v>
      </c>
      <c r="P889" s="478"/>
      <c r="Q889" s="389"/>
      <c r="R889" s="416" t="str">
        <f t="shared" si="53"/>
        <v>DELETE</v>
      </c>
    </row>
    <row r="890" spans="2:21" ht="31.5" customHeight="1" x14ac:dyDescent="0.45">
      <c r="B890" s="461"/>
      <c r="C890" s="369"/>
      <c r="D890" s="368">
        <f>Criteria!C111</f>
        <v>0</v>
      </c>
      <c r="M890" s="441"/>
      <c r="N890" s="400"/>
      <c r="O890" s="441">
        <f>Criteria!F111</f>
        <v>0</v>
      </c>
      <c r="P890" s="478"/>
      <c r="Q890" s="389"/>
      <c r="R890" s="416" t="str">
        <f t="shared" si="53"/>
        <v>DELETE</v>
      </c>
    </row>
    <row r="891" spans="2:21" ht="9" customHeight="1" x14ac:dyDescent="0.45">
      <c r="B891" s="461"/>
      <c r="C891" s="369"/>
      <c r="M891" s="441"/>
      <c r="N891" s="400"/>
      <c r="O891" s="438"/>
      <c r="P891" s="478"/>
      <c r="Q891" s="389"/>
      <c r="R891" s="416" t="str">
        <f>R$893</f>
        <v>DELETE</v>
      </c>
    </row>
    <row r="892" spans="2:21" ht="9" customHeight="1" x14ac:dyDescent="0.45">
      <c r="B892" s="461"/>
      <c r="C892" s="369"/>
      <c r="M892" s="441"/>
      <c r="N892" s="400"/>
      <c r="O892" s="441"/>
      <c r="P892" s="478"/>
      <c r="Q892" s="389"/>
      <c r="R892" s="416" t="str">
        <f>R$893</f>
        <v>DELETE</v>
      </c>
    </row>
    <row r="893" spans="2:21" ht="31.5" customHeight="1" x14ac:dyDescent="0.45">
      <c r="B893" s="461"/>
      <c r="C893" s="369"/>
      <c r="M893" s="441"/>
      <c r="N893" s="400"/>
      <c r="O893" s="441">
        <f>SUM(O853:O891)</f>
        <v>0</v>
      </c>
      <c r="P893" s="478"/>
      <c r="Q893" s="389"/>
      <c r="R893" s="416" t="str">
        <f t="shared" ref="R893" si="54">IF(O893=0,"DELETE"," ")</f>
        <v>DELETE</v>
      </c>
      <c r="U893" s="417" t="b">
        <f>O893=SUM(O830:O831)</f>
        <v>1</v>
      </c>
    </row>
    <row r="894" spans="2:21" ht="9" customHeight="1" thickBot="1" x14ac:dyDescent="0.5">
      <c r="B894" s="461"/>
      <c r="C894" s="369"/>
      <c r="M894" s="441"/>
      <c r="N894" s="400"/>
      <c r="O894" s="439"/>
      <c r="P894" s="478"/>
      <c r="Q894" s="389"/>
      <c r="R894" s="416" t="str">
        <f t="shared" ref="R894:R898" si="55">R$893</f>
        <v>DELETE</v>
      </c>
    </row>
    <row r="895" spans="2:21" ht="9" customHeight="1" thickTop="1" x14ac:dyDescent="0.45">
      <c r="B895" s="461"/>
      <c r="C895" s="369"/>
      <c r="M895" s="441"/>
      <c r="N895" s="400"/>
      <c r="O895" s="441"/>
      <c r="P895" s="478"/>
      <c r="Q895" s="389"/>
      <c r="R895" s="416" t="str">
        <f t="shared" si="55"/>
        <v>DELETE</v>
      </c>
    </row>
    <row r="896" spans="2:21" ht="31.5" customHeight="1" x14ac:dyDescent="0.45">
      <c r="B896" s="461"/>
      <c r="C896" s="369"/>
      <c r="M896" s="441"/>
      <c r="N896" s="400"/>
      <c r="O896" s="441"/>
      <c r="P896" s="478"/>
      <c r="Q896" s="389"/>
      <c r="R896" s="416" t="str">
        <f t="shared" si="55"/>
        <v>DELETE</v>
      </c>
    </row>
    <row r="897" spans="2:18" ht="31.5" customHeight="1" x14ac:dyDescent="0.45">
      <c r="B897" s="462"/>
      <c r="C897" s="407"/>
      <c r="D897" s="383"/>
      <c r="E897" s="383"/>
      <c r="F897" s="383"/>
      <c r="G897" s="383"/>
      <c r="H897" s="383"/>
      <c r="I897" s="383"/>
      <c r="J897" s="383"/>
      <c r="K897" s="383"/>
      <c r="L897" s="383"/>
      <c r="M897" s="438"/>
      <c r="N897" s="392"/>
      <c r="O897" s="438"/>
      <c r="P897" s="475"/>
      <c r="Q897" s="398"/>
      <c r="R897" s="416" t="str">
        <f t="shared" si="55"/>
        <v>DELETE</v>
      </c>
    </row>
    <row r="898" spans="2:18" ht="31.5" customHeight="1" x14ac:dyDescent="0.45">
      <c r="B898" s="445"/>
      <c r="C898" s="369"/>
      <c r="M898" s="434"/>
      <c r="N898" s="390"/>
      <c r="O898" s="434"/>
      <c r="R898" s="416" t="str">
        <f t="shared" si="55"/>
        <v>DELETE</v>
      </c>
    </row>
    <row r="899" spans="2:18" ht="31.5" customHeight="1" x14ac:dyDescent="0.45">
      <c r="D899" s="369"/>
      <c r="R899" s="416" t="str">
        <f t="shared" ref="R899:R906" si="56">R$907</f>
        <v>DELETE</v>
      </c>
    </row>
    <row r="900" spans="2:18" ht="31.5" customHeight="1" x14ac:dyDescent="0.45">
      <c r="D900" s="369" t="str">
        <f>Criteria!E9</f>
        <v>ABC TRUST</v>
      </c>
      <c r="O900" s="433" t="s">
        <v>105</v>
      </c>
      <c r="Q900" s="370">
        <f>MAX($Q$114:Q899)+1</f>
        <v>16</v>
      </c>
      <c r="R900" s="416" t="str">
        <f t="shared" si="56"/>
        <v>DELETE</v>
      </c>
    </row>
    <row r="901" spans="2:18" ht="31.5" customHeight="1" x14ac:dyDescent="0.45">
      <c r="D901" s="369" t="str">
        <f>Criteria!E10</f>
        <v>T/A RENTAL PROPERTIES, SEAFRONT RESTAURANT AND SURF SHOP</v>
      </c>
      <c r="R901" s="416" t="str">
        <f>IF(R$907="DELETE","DELETE",IF(D901=0,"DELETE"," "))</f>
        <v>DELETE</v>
      </c>
    </row>
    <row r="902" spans="2:18" ht="31.5" customHeight="1" x14ac:dyDescent="0.45">
      <c r="R902" s="416" t="str">
        <f t="shared" si="56"/>
        <v>DELETE</v>
      </c>
    </row>
    <row r="903" spans="2:18" ht="31.5" customHeight="1" x14ac:dyDescent="0.45">
      <c r="D903" s="369" t="s">
        <v>383</v>
      </c>
      <c r="R903" s="416" t="str">
        <f t="shared" si="56"/>
        <v>DELETE</v>
      </c>
    </row>
    <row r="904" spans="2:18" ht="31.5" customHeight="1" x14ac:dyDescent="0.45">
      <c r="D904" s="369" t="str">
        <f>Criteria!E20</f>
        <v>29 FEBRUARY 2024</v>
      </c>
      <c r="J904" s="368" t="s">
        <v>253</v>
      </c>
      <c r="R904" s="416" t="str">
        <f t="shared" si="56"/>
        <v>DELETE</v>
      </c>
    </row>
    <row r="905" spans="2:18" ht="31.5" customHeight="1" x14ac:dyDescent="0.45">
      <c r="R905" s="416" t="str">
        <f t="shared" si="56"/>
        <v>DELETE</v>
      </c>
    </row>
    <row r="906" spans="2:18" ht="31.5" customHeight="1" x14ac:dyDescent="0.45">
      <c r="B906" s="385"/>
      <c r="C906" s="386"/>
      <c r="D906" s="386"/>
      <c r="E906" s="386"/>
      <c r="F906" s="386"/>
      <c r="G906" s="386"/>
      <c r="H906" s="386"/>
      <c r="I906" s="386"/>
      <c r="J906" s="386"/>
      <c r="K906" s="386"/>
      <c r="L906" s="386"/>
      <c r="M906" s="480"/>
      <c r="N906" s="481"/>
      <c r="O906" s="480"/>
      <c r="P906" s="481"/>
      <c r="Q906" s="387"/>
      <c r="R906" s="416" t="str">
        <f t="shared" si="56"/>
        <v>DELETE</v>
      </c>
    </row>
    <row r="907" spans="2:18" ht="31.5" customHeight="1" x14ac:dyDescent="0.45">
      <c r="B907" s="461">
        <f>MAX($B$429:B906)+1</f>
        <v>9</v>
      </c>
      <c r="C907" s="369" t="s">
        <v>182</v>
      </c>
      <c r="Q907" s="389"/>
      <c r="R907" s="416" t="str">
        <f>IF(O917+O921+O939&gt;0," ","DELETE")</f>
        <v>DELETE</v>
      </c>
    </row>
    <row r="908" spans="2:18" ht="31.5" customHeight="1" x14ac:dyDescent="0.45">
      <c r="B908" s="461"/>
      <c r="G908" s="468"/>
      <c r="H908" s="380"/>
      <c r="I908" s="380"/>
      <c r="J908" s="380" t="s">
        <v>938</v>
      </c>
      <c r="K908" s="380"/>
      <c r="L908" s="380"/>
      <c r="M908" s="433" t="s">
        <v>939</v>
      </c>
      <c r="N908" s="380"/>
      <c r="O908" s="433" t="s">
        <v>388</v>
      </c>
      <c r="P908" s="380"/>
      <c r="Q908" s="389"/>
      <c r="R908" s="416" t="str">
        <f t="shared" ref="R908:R941" si="57">R$907</f>
        <v>DELETE</v>
      </c>
    </row>
    <row r="909" spans="2:18" ht="31.5" customHeight="1" x14ac:dyDescent="0.45">
      <c r="B909" s="461"/>
      <c r="G909" s="468"/>
      <c r="H909" s="380" t="s">
        <v>386</v>
      </c>
      <c r="I909" s="380"/>
      <c r="J909" s="380" t="s">
        <v>1041</v>
      </c>
      <c r="K909" s="380" t="s">
        <v>807</v>
      </c>
      <c r="L909" s="380"/>
      <c r="M909" s="433" t="s">
        <v>940</v>
      </c>
      <c r="N909" s="380"/>
      <c r="O909" s="433"/>
      <c r="P909" s="380"/>
      <c r="Q909" s="389"/>
      <c r="R909" s="416" t="str">
        <f t="shared" si="57"/>
        <v>DELETE</v>
      </c>
    </row>
    <row r="910" spans="2:18" ht="33" customHeight="1" x14ac:dyDescent="0.45">
      <c r="B910" s="461"/>
      <c r="G910" s="468"/>
      <c r="H910" s="380" t="s">
        <v>524</v>
      </c>
      <c r="I910" s="380"/>
      <c r="J910" s="380" t="s">
        <v>1040</v>
      </c>
      <c r="K910" s="380" t="s">
        <v>524</v>
      </c>
      <c r="L910" s="380"/>
      <c r="M910" s="433" t="s">
        <v>941</v>
      </c>
      <c r="N910" s="380"/>
      <c r="O910" s="433"/>
      <c r="P910" s="380"/>
      <c r="Q910" s="389"/>
      <c r="R910" s="416" t="str">
        <f t="shared" si="57"/>
        <v>DELETE</v>
      </c>
    </row>
    <row r="911" spans="2:18" ht="9" customHeight="1" x14ac:dyDescent="0.45">
      <c r="B911" s="461"/>
      <c r="G911" s="468"/>
      <c r="H911" s="392"/>
      <c r="I911" s="392"/>
      <c r="J911" s="392"/>
      <c r="K911" s="392"/>
      <c r="L911" s="392"/>
      <c r="M911" s="438"/>
      <c r="N911" s="392"/>
      <c r="O911" s="438"/>
      <c r="P911" s="380"/>
      <c r="Q911" s="389"/>
      <c r="R911" s="416" t="str">
        <f t="shared" si="57"/>
        <v>DELETE</v>
      </c>
    </row>
    <row r="912" spans="2:18" ht="9" customHeight="1" x14ac:dyDescent="0.45">
      <c r="B912" s="461"/>
      <c r="G912" s="468"/>
      <c r="H912" s="390"/>
      <c r="I912" s="390"/>
      <c r="J912" s="390"/>
      <c r="K912" s="390"/>
      <c r="L912" s="390"/>
      <c r="M912" s="434"/>
      <c r="N912" s="390"/>
      <c r="O912" s="434"/>
      <c r="P912" s="380"/>
      <c r="Q912" s="389"/>
      <c r="R912" s="416" t="str">
        <f t="shared" si="57"/>
        <v>DELETE</v>
      </c>
    </row>
    <row r="913" spans="2:21" ht="31.5" customHeight="1" x14ac:dyDescent="0.45">
      <c r="B913" s="461"/>
      <c r="D913" s="277" t="s">
        <v>205</v>
      </c>
      <c r="G913" s="495">
        <f>Criteria!G21+1</f>
        <v>44986</v>
      </c>
      <c r="H913" s="282">
        <f>H917-H918</f>
        <v>0</v>
      </c>
      <c r="I913" s="282"/>
      <c r="J913" s="282">
        <f t="shared" ref="J913:O913" si="58">J917-J918</f>
        <v>0</v>
      </c>
      <c r="K913" s="282">
        <f t="shared" si="58"/>
        <v>0</v>
      </c>
      <c r="L913" s="282"/>
      <c r="M913" s="282">
        <f t="shared" si="58"/>
        <v>0</v>
      </c>
      <c r="N913" s="282"/>
      <c r="O913" s="282">
        <f t="shared" si="58"/>
        <v>0</v>
      </c>
      <c r="P913" s="380"/>
      <c r="Q913" s="389"/>
      <c r="R913" s="416" t="str">
        <f t="shared" si="57"/>
        <v>DELETE</v>
      </c>
      <c r="U913" s="417" t="b">
        <f>O913=SUM(H913:N913)</f>
        <v>1</v>
      </c>
    </row>
    <row r="914" spans="2:21" ht="9" customHeight="1" thickBot="1" x14ac:dyDescent="0.5">
      <c r="B914" s="461"/>
      <c r="D914" s="277"/>
      <c r="G914" s="487"/>
      <c r="H914" s="265"/>
      <c r="I914" s="265"/>
      <c r="J914" s="265"/>
      <c r="K914" s="265"/>
      <c r="L914" s="265"/>
      <c r="M914" s="265"/>
      <c r="N914" s="265"/>
      <c r="O914" s="265"/>
      <c r="P914" s="380"/>
      <c r="Q914" s="389"/>
      <c r="R914" s="416" t="str">
        <f t="shared" si="57"/>
        <v>DELETE</v>
      </c>
    </row>
    <row r="915" spans="2:21" ht="9" customHeight="1" thickTop="1" x14ac:dyDescent="0.45">
      <c r="B915" s="461"/>
      <c r="D915" s="277"/>
      <c r="G915" s="487"/>
      <c r="H915" s="263"/>
      <c r="I915" s="263"/>
      <c r="J915" s="263"/>
      <c r="K915" s="263"/>
      <c r="L915" s="263"/>
      <c r="M915" s="263"/>
      <c r="N915" s="263"/>
      <c r="O915" s="263"/>
      <c r="P915" s="380"/>
      <c r="Q915" s="389"/>
      <c r="R915" s="416" t="str">
        <f t="shared" si="57"/>
        <v>DELETE</v>
      </c>
    </row>
    <row r="916" spans="2:21" ht="9" customHeight="1" x14ac:dyDescent="0.45">
      <c r="B916" s="461"/>
      <c r="D916" s="277"/>
      <c r="G916" s="487"/>
      <c r="H916" s="279"/>
      <c r="I916" s="264"/>
      <c r="J916" s="264"/>
      <c r="K916" s="264"/>
      <c r="L916" s="264"/>
      <c r="M916" s="264"/>
      <c r="N916" s="264"/>
      <c r="O916" s="283"/>
      <c r="P916" s="380"/>
      <c r="Q916" s="389"/>
      <c r="R916" s="416" t="str">
        <f t="shared" si="57"/>
        <v>DELETE</v>
      </c>
    </row>
    <row r="917" spans="2:21" ht="31.5" customHeight="1" x14ac:dyDescent="0.45">
      <c r="B917" s="461"/>
      <c r="D917" s="277" t="s">
        <v>389</v>
      </c>
      <c r="G917" s="468"/>
      <c r="H917" s="280">
        <f>TrialBalance!L240</f>
        <v>0</v>
      </c>
      <c r="I917" s="275"/>
      <c r="J917" s="275">
        <f>TrialBalance!L248</f>
        <v>0</v>
      </c>
      <c r="K917" s="275">
        <f>TrialBalance!L256</f>
        <v>0</v>
      </c>
      <c r="L917" s="275"/>
      <c r="M917" s="275">
        <f>TrialBalance!L264</f>
        <v>0</v>
      </c>
      <c r="N917" s="275"/>
      <c r="O917" s="284">
        <f>SUM(H917:M917)</f>
        <v>0</v>
      </c>
      <c r="P917" s="380"/>
      <c r="Q917" s="389"/>
      <c r="R917" s="416" t="str">
        <f t="shared" si="57"/>
        <v>DELETE</v>
      </c>
    </row>
    <row r="918" spans="2:21" ht="31.5" customHeight="1" x14ac:dyDescent="0.45">
      <c r="B918" s="461"/>
      <c r="D918" s="277" t="s">
        <v>526</v>
      </c>
      <c r="G918" s="468"/>
      <c r="H918" s="280">
        <f>-TrialBalance!L244</f>
        <v>0</v>
      </c>
      <c r="I918" s="275"/>
      <c r="J918" s="275">
        <f>-TrialBalance!L252</f>
        <v>0</v>
      </c>
      <c r="K918" s="275">
        <f>-TrialBalance!L260</f>
        <v>0</v>
      </c>
      <c r="L918" s="275"/>
      <c r="M918" s="275">
        <f>-TrialBalance!L268</f>
        <v>0</v>
      </c>
      <c r="N918" s="275"/>
      <c r="O918" s="284">
        <f>SUM(H918:M918)</f>
        <v>0</v>
      </c>
      <c r="P918" s="380"/>
      <c r="Q918" s="389"/>
      <c r="R918" s="416" t="str">
        <f t="shared" si="57"/>
        <v>DELETE</v>
      </c>
    </row>
    <row r="919" spans="2:21" ht="9" customHeight="1" x14ac:dyDescent="0.45">
      <c r="B919" s="461"/>
      <c r="D919" s="277"/>
      <c r="G919" s="468"/>
      <c r="H919" s="281"/>
      <c r="I919" s="276"/>
      <c r="J919" s="276"/>
      <c r="K919" s="276"/>
      <c r="L919" s="276"/>
      <c r="M919" s="276"/>
      <c r="N919" s="276"/>
      <c r="O919" s="285"/>
      <c r="P919" s="380"/>
      <c r="Q919" s="389"/>
      <c r="R919" s="416" t="str">
        <f t="shared" si="57"/>
        <v>DELETE</v>
      </c>
    </row>
    <row r="920" spans="2:21" ht="9" customHeight="1" x14ac:dyDescent="0.45">
      <c r="B920" s="461"/>
      <c r="D920" s="277"/>
      <c r="G920" s="468"/>
      <c r="H920" s="263"/>
      <c r="I920" s="263"/>
      <c r="J920" s="263"/>
      <c r="K920" s="263"/>
      <c r="L920" s="263"/>
      <c r="M920" s="263"/>
      <c r="N920" s="263"/>
      <c r="O920" s="263"/>
      <c r="P920" s="380"/>
      <c r="Q920" s="389"/>
      <c r="R920" s="416" t="str">
        <f t="shared" si="57"/>
        <v>DELETE</v>
      </c>
    </row>
    <row r="921" spans="2:21" ht="31.5" customHeight="1" x14ac:dyDescent="0.45">
      <c r="B921" s="461"/>
      <c r="D921" s="277" t="s">
        <v>390</v>
      </c>
      <c r="G921" s="468"/>
      <c r="H921" s="263">
        <f>TrialBalance!L241</f>
        <v>0</v>
      </c>
      <c r="I921" s="263"/>
      <c r="J921" s="263">
        <f>TrialBalance!L249</f>
        <v>0</v>
      </c>
      <c r="K921" s="263">
        <f>TrialBalance!L257</f>
        <v>0</v>
      </c>
      <c r="L921" s="263"/>
      <c r="M921" s="263">
        <f>+TrialBalance!L265</f>
        <v>0</v>
      </c>
      <c r="N921" s="263"/>
      <c r="O921" s="263">
        <f>SUM(H921:M921)</f>
        <v>0</v>
      </c>
      <c r="P921" s="380"/>
      <c r="Q921" s="389"/>
      <c r="R921" s="416" t="str">
        <f t="shared" si="57"/>
        <v>DELETE</v>
      </c>
    </row>
    <row r="922" spans="2:21" ht="9" customHeight="1" x14ac:dyDescent="0.45">
      <c r="B922" s="461"/>
      <c r="D922" s="277"/>
      <c r="G922" s="468"/>
      <c r="H922" s="276"/>
      <c r="I922" s="276"/>
      <c r="J922" s="276"/>
      <c r="K922" s="276"/>
      <c r="L922" s="276"/>
      <c r="M922" s="276"/>
      <c r="N922" s="276"/>
      <c r="O922" s="276"/>
      <c r="P922" s="380"/>
      <c r="Q922" s="389"/>
      <c r="R922" s="416" t="str">
        <f t="shared" si="57"/>
        <v>DELETE</v>
      </c>
    </row>
    <row r="923" spans="2:21" ht="9" customHeight="1" x14ac:dyDescent="0.45">
      <c r="B923" s="461"/>
      <c r="D923" s="277"/>
      <c r="G923" s="468"/>
      <c r="H923" s="263"/>
      <c r="I923" s="263"/>
      <c r="J923" s="263"/>
      <c r="K923" s="263"/>
      <c r="L923" s="263"/>
      <c r="M923" s="263"/>
      <c r="N923" s="263"/>
      <c r="O923" s="263"/>
      <c r="P923" s="380"/>
      <c r="Q923" s="389"/>
      <c r="R923" s="416" t="str">
        <f t="shared" si="57"/>
        <v>DELETE</v>
      </c>
    </row>
    <row r="924" spans="2:21" ht="31.5" customHeight="1" x14ac:dyDescent="0.45">
      <c r="B924" s="461"/>
      <c r="D924" s="277"/>
      <c r="G924" s="468"/>
      <c r="H924" s="263">
        <f>+H913+H921</f>
        <v>0</v>
      </c>
      <c r="I924" s="263"/>
      <c r="J924" s="263">
        <f>+J913+J921</f>
        <v>0</v>
      </c>
      <c r="K924" s="263">
        <f>+K913+K921</f>
        <v>0</v>
      </c>
      <c r="L924" s="263"/>
      <c r="M924" s="263">
        <f>+M913+M921</f>
        <v>0</v>
      </c>
      <c r="N924" s="263"/>
      <c r="O924" s="263">
        <f>+O913+O921</f>
        <v>0</v>
      </c>
      <c r="P924" s="380"/>
      <c r="Q924" s="389"/>
      <c r="R924" s="416" t="str">
        <f t="shared" si="57"/>
        <v>DELETE</v>
      </c>
    </row>
    <row r="925" spans="2:21" ht="31.5" customHeight="1" x14ac:dyDescent="0.45">
      <c r="B925" s="461"/>
      <c r="D925" s="277" t="s">
        <v>170</v>
      </c>
      <c r="G925" s="468"/>
      <c r="H925" s="263">
        <f>H928-H929</f>
        <v>0</v>
      </c>
      <c r="I925" s="263"/>
      <c r="J925" s="263">
        <f>J928-J929</f>
        <v>0</v>
      </c>
      <c r="K925" s="263">
        <f>K928-K929</f>
        <v>0</v>
      </c>
      <c r="L925" s="263"/>
      <c r="M925" s="263">
        <f>M928-M929</f>
        <v>0</v>
      </c>
      <c r="N925" s="263"/>
      <c r="O925" s="263">
        <f>O928-O929</f>
        <v>0</v>
      </c>
      <c r="P925" s="380"/>
      <c r="Q925" s="389"/>
      <c r="R925" s="416" t="str">
        <f t="shared" si="57"/>
        <v>DELETE</v>
      </c>
    </row>
    <row r="926" spans="2:21" ht="9" customHeight="1" x14ac:dyDescent="0.45">
      <c r="B926" s="461"/>
      <c r="D926" s="277"/>
      <c r="G926" s="468"/>
      <c r="H926" s="263"/>
      <c r="I926" s="263"/>
      <c r="J926" s="263"/>
      <c r="K926" s="263"/>
      <c r="L926" s="263"/>
      <c r="M926" s="263"/>
      <c r="N926" s="263"/>
      <c r="O926" s="263"/>
      <c r="P926" s="380"/>
      <c r="Q926" s="389"/>
      <c r="R926" s="416" t="str">
        <f t="shared" si="57"/>
        <v>DELETE</v>
      </c>
    </row>
    <row r="927" spans="2:21" ht="9" customHeight="1" x14ac:dyDescent="0.45">
      <c r="B927" s="461"/>
      <c r="D927" s="277"/>
      <c r="G927" s="468"/>
      <c r="H927" s="279"/>
      <c r="I927" s="264"/>
      <c r="J927" s="264"/>
      <c r="K927" s="264"/>
      <c r="L927" s="264"/>
      <c r="M927" s="264"/>
      <c r="N927" s="264"/>
      <c r="O927" s="283"/>
      <c r="P927" s="380"/>
      <c r="Q927" s="389"/>
      <c r="R927" s="416" t="str">
        <f t="shared" si="57"/>
        <v>DELETE</v>
      </c>
    </row>
    <row r="928" spans="2:21" ht="31.5" customHeight="1" x14ac:dyDescent="0.45">
      <c r="B928" s="461"/>
      <c r="D928" s="277" t="s">
        <v>57</v>
      </c>
      <c r="G928" s="468"/>
      <c r="H928" s="280">
        <f>-TrialBalance!L242</f>
        <v>0</v>
      </c>
      <c r="I928" s="263"/>
      <c r="J928" s="263">
        <f>-TrialBalance!L250</f>
        <v>0</v>
      </c>
      <c r="K928" s="263">
        <f>-TrialBalance!L258</f>
        <v>0</v>
      </c>
      <c r="L928" s="263"/>
      <c r="M928" s="263">
        <f>-TrialBalance!L266</f>
        <v>0</v>
      </c>
      <c r="N928" s="263"/>
      <c r="O928" s="284">
        <f>SUM(H928:M928)</f>
        <v>0</v>
      </c>
      <c r="P928" s="380"/>
      <c r="Q928" s="389"/>
      <c r="R928" s="416" t="str">
        <f t="shared" si="57"/>
        <v>DELETE</v>
      </c>
    </row>
    <row r="929" spans="2:21" ht="31.5" customHeight="1" x14ac:dyDescent="0.45">
      <c r="B929" s="461"/>
      <c r="D929" s="277" t="s">
        <v>527</v>
      </c>
      <c r="G929" s="468"/>
      <c r="H929" s="280">
        <f>TrialBalance!L246</f>
        <v>0</v>
      </c>
      <c r="I929" s="263"/>
      <c r="J929" s="263">
        <f>TrialBalance!L254</f>
        <v>0</v>
      </c>
      <c r="K929" s="263">
        <f>TrialBalance!L262</f>
        <v>0</v>
      </c>
      <c r="L929" s="263"/>
      <c r="M929" s="263">
        <f>+TrialBalance!L270</f>
        <v>0</v>
      </c>
      <c r="N929" s="263"/>
      <c r="O929" s="284">
        <f>SUM(H929:M929)</f>
        <v>0</v>
      </c>
      <c r="P929" s="380"/>
      <c r="Q929" s="389"/>
      <c r="R929" s="416" t="str">
        <f t="shared" si="57"/>
        <v>DELETE</v>
      </c>
    </row>
    <row r="930" spans="2:21" ht="9" customHeight="1" x14ac:dyDescent="0.45">
      <c r="B930" s="461"/>
      <c r="D930" s="277"/>
      <c r="G930" s="468"/>
      <c r="H930" s="281"/>
      <c r="I930" s="276"/>
      <c r="J930" s="276"/>
      <c r="K930" s="276"/>
      <c r="L930" s="276"/>
      <c r="M930" s="276"/>
      <c r="N930" s="276"/>
      <c r="O930" s="285"/>
      <c r="P930" s="380"/>
      <c r="Q930" s="389"/>
      <c r="R930" s="416" t="str">
        <f t="shared" si="57"/>
        <v>DELETE</v>
      </c>
    </row>
    <row r="931" spans="2:21" ht="9" customHeight="1" x14ac:dyDescent="0.45">
      <c r="B931" s="461"/>
      <c r="D931" s="277"/>
      <c r="G931" s="468"/>
      <c r="H931" s="263"/>
      <c r="I931" s="263"/>
      <c r="J931" s="263"/>
      <c r="K931" s="263"/>
      <c r="L931" s="263"/>
      <c r="M931" s="263"/>
      <c r="N931" s="263"/>
      <c r="O931" s="263"/>
      <c r="P931" s="380"/>
      <c r="Q931" s="389"/>
      <c r="R931" s="416" t="str">
        <f t="shared" si="57"/>
        <v>DELETE</v>
      </c>
    </row>
    <row r="932" spans="2:21" ht="31.5" customHeight="1" x14ac:dyDescent="0.45">
      <c r="B932" s="461"/>
      <c r="D932" s="277" t="s">
        <v>378</v>
      </c>
      <c r="G932" s="468"/>
      <c r="H932" s="263">
        <f>TrialBalance!L245</f>
        <v>0</v>
      </c>
      <c r="I932" s="263"/>
      <c r="J932" s="263">
        <f>TrialBalance!L253</f>
        <v>0</v>
      </c>
      <c r="K932" s="263">
        <f>TrialBalance!L261</f>
        <v>0</v>
      </c>
      <c r="L932" s="263"/>
      <c r="M932" s="263">
        <f>+TrialBalance!L269</f>
        <v>0</v>
      </c>
      <c r="N932" s="263"/>
      <c r="O932" s="263">
        <f>SUM(H932:M932)</f>
        <v>0</v>
      </c>
      <c r="P932" s="380"/>
      <c r="Q932" s="389"/>
      <c r="R932" s="416" t="str">
        <f t="shared" si="57"/>
        <v>DELETE</v>
      </c>
    </row>
    <row r="933" spans="2:21" ht="9" customHeight="1" x14ac:dyDescent="0.45">
      <c r="B933" s="461"/>
      <c r="D933" s="277"/>
      <c r="G933" s="468"/>
      <c r="H933" s="276"/>
      <c r="I933" s="276"/>
      <c r="J933" s="276"/>
      <c r="K933" s="276"/>
      <c r="L933" s="276"/>
      <c r="M933" s="276"/>
      <c r="N933" s="276"/>
      <c r="O933" s="276"/>
      <c r="P933" s="380"/>
      <c r="Q933" s="389"/>
      <c r="R933" s="416" t="str">
        <f t="shared" si="57"/>
        <v>DELETE</v>
      </c>
    </row>
    <row r="934" spans="2:21" ht="9" customHeight="1" x14ac:dyDescent="0.45">
      <c r="B934" s="461"/>
      <c r="D934" s="277"/>
      <c r="G934" s="468"/>
      <c r="H934" s="263"/>
      <c r="I934" s="263"/>
      <c r="J934" s="263"/>
      <c r="K934" s="263"/>
      <c r="L934" s="263"/>
      <c r="M934" s="263"/>
      <c r="N934" s="263"/>
      <c r="O934" s="263"/>
      <c r="P934" s="380"/>
      <c r="Q934" s="389"/>
      <c r="R934" s="416" t="str">
        <f t="shared" si="57"/>
        <v>DELETE</v>
      </c>
    </row>
    <row r="935" spans="2:21" ht="31.5" customHeight="1" x14ac:dyDescent="0.45">
      <c r="B935" s="461"/>
      <c r="D935" s="277" t="s">
        <v>205</v>
      </c>
      <c r="G935" s="486">
        <f>Criteria!G20</f>
        <v>45351</v>
      </c>
      <c r="H935" s="282">
        <f>+H913+H921-H925+H932</f>
        <v>0</v>
      </c>
      <c r="I935" s="282"/>
      <c r="J935" s="282">
        <f>+J913+J921-J925+J932</f>
        <v>0</v>
      </c>
      <c r="K935" s="282">
        <f>+K913+K921-K925+K932</f>
        <v>0</v>
      </c>
      <c r="L935" s="282"/>
      <c r="M935" s="282">
        <f>+M913+M921-M925+M932</f>
        <v>0</v>
      </c>
      <c r="N935" s="282"/>
      <c r="O935" s="282">
        <f>+O913+O921-O925+O932</f>
        <v>0</v>
      </c>
      <c r="P935" s="378"/>
      <c r="Q935" s="389"/>
      <c r="R935" s="416" t="str">
        <f t="shared" si="57"/>
        <v>DELETE</v>
      </c>
      <c r="U935" s="417" t="b">
        <f>O935=SUM(H935:N935)</f>
        <v>1</v>
      </c>
    </row>
    <row r="936" spans="2:21" ht="9" customHeight="1" thickBot="1" x14ac:dyDescent="0.5">
      <c r="B936" s="461"/>
      <c r="D936" s="277"/>
      <c r="G936" s="487"/>
      <c r="H936" s="265"/>
      <c r="I936" s="265"/>
      <c r="J936" s="265"/>
      <c r="K936" s="265"/>
      <c r="L936" s="265"/>
      <c r="M936" s="265"/>
      <c r="N936" s="265"/>
      <c r="O936" s="265"/>
      <c r="P936" s="380"/>
      <c r="Q936" s="389"/>
      <c r="R936" s="416" t="str">
        <f t="shared" si="57"/>
        <v>DELETE</v>
      </c>
    </row>
    <row r="937" spans="2:21" ht="9" customHeight="1" thickTop="1" x14ac:dyDescent="0.45">
      <c r="B937" s="461"/>
      <c r="D937" s="277"/>
      <c r="G937" s="487"/>
      <c r="H937" s="263"/>
      <c r="I937" s="263"/>
      <c r="J937" s="263"/>
      <c r="K937" s="263"/>
      <c r="L937" s="263"/>
      <c r="M937" s="263"/>
      <c r="N937" s="263"/>
      <c r="O937" s="263"/>
      <c r="P937" s="380"/>
      <c r="Q937" s="389"/>
      <c r="R937" s="416" t="str">
        <f t="shared" si="57"/>
        <v>DELETE</v>
      </c>
    </row>
    <row r="938" spans="2:21" ht="9" customHeight="1" x14ac:dyDescent="0.45">
      <c r="B938" s="461"/>
      <c r="D938" s="277"/>
      <c r="G938" s="487"/>
      <c r="H938" s="279"/>
      <c r="I938" s="264"/>
      <c r="J938" s="264"/>
      <c r="K938" s="264"/>
      <c r="L938" s="264"/>
      <c r="M938" s="264"/>
      <c r="N938" s="264"/>
      <c r="O938" s="283"/>
      <c r="P938" s="380"/>
      <c r="Q938" s="389"/>
      <c r="R938" s="416" t="str">
        <f t="shared" si="57"/>
        <v>DELETE</v>
      </c>
    </row>
    <row r="939" spans="2:21" ht="31.5" customHeight="1" x14ac:dyDescent="0.45">
      <c r="B939" s="461"/>
      <c r="D939" s="277" t="s">
        <v>389</v>
      </c>
      <c r="G939" s="468"/>
      <c r="H939" s="280">
        <f>H917+H921-H928</f>
        <v>0</v>
      </c>
      <c r="I939" s="275"/>
      <c r="J939" s="275">
        <f>J917+J921-J928</f>
        <v>0</v>
      </c>
      <c r="K939" s="275">
        <f>K917+K921-K928</f>
        <v>0</v>
      </c>
      <c r="L939" s="275"/>
      <c r="M939" s="275">
        <f>M917+M921-M928</f>
        <v>0</v>
      </c>
      <c r="N939" s="275"/>
      <c r="O939" s="284">
        <f>O917+O921-O928</f>
        <v>0</v>
      </c>
      <c r="P939" s="380"/>
      <c r="Q939" s="389"/>
      <c r="R939" s="416" t="str">
        <f t="shared" si="57"/>
        <v>DELETE</v>
      </c>
      <c r="U939" s="417" t="b">
        <f>O939=SUM(H939:N939)</f>
        <v>1</v>
      </c>
    </row>
    <row r="940" spans="2:21" ht="31.5" customHeight="1" x14ac:dyDescent="0.45">
      <c r="B940" s="461"/>
      <c r="D940" s="277" t="s">
        <v>526</v>
      </c>
      <c r="G940" s="468"/>
      <c r="H940" s="280">
        <f>H918-H929-H932</f>
        <v>0</v>
      </c>
      <c r="I940" s="275"/>
      <c r="J940" s="275">
        <f>J918-J929-J932</f>
        <v>0</v>
      </c>
      <c r="K940" s="275">
        <f>K918-K929-K932</f>
        <v>0</v>
      </c>
      <c r="L940" s="275"/>
      <c r="M940" s="275">
        <f>M918-M929-M932</f>
        <v>0</v>
      </c>
      <c r="N940" s="275"/>
      <c r="O940" s="284">
        <f>O918-O929-O932</f>
        <v>0</v>
      </c>
      <c r="P940" s="380"/>
      <c r="Q940" s="389"/>
      <c r="R940" s="416" t="str">
        <f t="shared" si="57"/>
        <v>DELETE</v>
      </c>
      <c r="U940" s="417" t="b">
        <f>O940=SUM(H940:N940)</f>
        <v>1</v>
      </c>
    </row>
    <row r="941" spans="2:21" ht="9" customHeight="1" x14ac:dyDescent="0.45">
      <c r="B941" s="461"/>
      <c r="D941" s="277"/>
      <c r="G941" s="468"/>
      <c r="H941" s="281"/>
      <c r="I941" s="276"/>
      <c r="J941" s="276"/>
      <c r="K941" s="276"/>
      <c r="L941" s="276"/>
      <c r="M941" s="276"/>
      <c r="N941" s="276"/>
      <c r="O941" s="285"/>
      <c r="P941" s="380"/>
      <c r="Q941" s="389"/>
      <c r="R941" s="416" t="str">
        <f t="shared" si="57"/>
        <v>DELETE</v>
      </c>
    </row>
    <row r="942" spans="2:21" ht="31.5" customHeight="1" x14ac:dyDescent="0.45">
      <c r="B942" s="461"/>
      <c r="G942" s="468"/>
      <c r="H942" s="390"/>
      <c r="I942" s="390"/>
      <c r="J942" s="390"/>
      <c r="K942" s="390"/>
      <c r="L942" s="390"/>
      <c r="M942" s="434"/>
      <c r="N942" s="390"/>
      <c r="O942" s="434"/>
      <c r="P942" s="380"/>
      <c r="Q942" s="389"/>
      <c r="R942" s="416" t="str">
        <f t="shared" ref="R942:R944" si="59">R$907</f>
        <v>DELETE</v>
      </c>
    </row>
    <row r="943" spans="2:21" ht="31.5" customHeight="1" x14ac:dyDescent="0.45">
      <c r="B943" s="462"/>
      <c r="C943" s="383"/>
      <c r="D943" s="383"/>
      <c r="E943" s="383"/>
      <c r="F943" s="383"/>
      <c r="G943" s="383"/>
      <c r="H943" s="405"/>
      <c r="I943" s="405"/>
      <c r="J943" s="405"/>
      <c r="K943" s="405"/>
      <c r="L943" s="405"/>
      <c r="M943" s="482"/>
      <c r="N943" s="483"/>
      <c r="O943" s="482"/>
      <c r="P943" s="475"/>
      <c r="Q943" s="398"/>
      <c r="R943" s="416" t="str">
        <f t="shared" si="59"/>
        <v>DELETE</v>
      </c>
    </row>
    <row r="944" spans="2:21" ht="31.5" customHeight="1" x14ac:dyDescent="0.45">
      <c r="B944" s="445"/>
      <c r="R944" s="416" t="str">
        <f t="shared" si="59"/>
        <v>DELETE</v>
      </c>
    </row>
    <row r="945" spans="2:18" ht="31.5" customHeight="1" x14ac:dyDescent="0.45">
      <c r="B945" s="431"/>
      <c r="R945" s="416" t="str">
        <f t="shared" ref="R945:R954" si="60">R$955</f>
        <v>DELETE</v>
      </c>
    </row>
    <row r="946" spans="2:18" ht="31.5" customHeight="1" x14ac:dyDescent="0.45">
      <c r="B946" s="431"/>
      <c r="D946" s="369" t="str">
        <f>Criteria!E9</f>
        <v>ABC TRUST</v>
      </c>
      <c r="O946" s="433" t="s">
        <v>105</v>
      </c>
      <c r="Q946" s="370">
        <f>MAX($Q$114:Q945)+1</f>
        <v>17</v>
      </c>
      <c r="R946" s="416" t="str">
        <f t="shared" si="60"/>
        <v>DELETE</v>
      </c>
    </row>
    <row r="947" spans="2:18" ht="31.5" customHeight="1" x14ac:dyDescent="0.45">
      <c r="B947" s="431"/>
      <c r="D947" s="369" t="str">
        <f>Criteria!E10</f>
        <v>T/A RENTAL PROPERTIES, SEAFRONT RESTAURANT AND SURF SHOP</v>
      </c>
      <c r="R947" s="416" t="str">
        <f>IF(R$955="DELETE","DELETE",IF(D947=0,"DELETE"," "))</f>
        <v>DELETE</v>
      </c>
    </row>
    <row r="948" spans="2:18" ht="31.5" customHeight="1" x14ac:dyDescent="0.45">
      <c r="B948" s="431"/>
      <c r="R948" s="416" t="str">
        <f t="shared" si="60"/>
        <v>DELETE</v>
      </c>
    </row>
    <row r="949" spans="2:18" ht="31.5" customHeight="1" x14ac:dyDescent="0.45">
      <c r="B949" s="431"/>
      <c r="D949" s="369" t="s">
        <v>383</v>
      </c>
      <c r="R949" s="416" t="str">
        <f t="shared" si="60"/>
        <v>DELETE</v>
      </c>
    </row>
    <row r="950" spans="2:18" ht="31.5" customHeight="1" x14ac:dyDescent="0.45">
      <c r="B950" s="431"/>
      <c r="D950" s="369" t="str">
        <f>Criteria!E20</f>
        <v>29 FEBRUARY 2024</v>
      </c>
      <c r="J950" s="368" t="s">
        <v>253</v>
      </c>
      <c r="R950" s="416" t="str">
        <f t="shared" si="60"/>
        <v>DELETE</v>
      </c>
    </row>
    <row r="951" spans="2:18" ht="31.5" customHeight="1" x14ac:dyDescent="0.45">
      <c r="B951" s="431"/>
      <c r="R951" s="416" t="str">
        <f t="shared" si="60"/>
        <v>DELETE</v>
      </c>
    </row>
    <row r="952" spans="2:18" ht="31.5" customHeight="1" x14ac:dyDescent="0.45">
      <c r="B952" s="463"/>
      <c r="C952" s="386"/>
      <c r="D952" s="386"/>
      <c r="E952" s="386"/>
      <c r="F952" s="386"/>
      <c r="G952" s="386"/>
      <c r="H952" s="386"/>
      <c r="I952" s="386"/>
      <c r="J952" s="386"/>
      <c r="K952" s="386"/>
      <c r="L952" s="386"/>
      <c r="M952" s="480"/>
      <c r="N952" s="481"/>
      <c r="O952" s="480"/>
      <c r="P952" s="481"/>
      <c r="Q952" s="387"/>
      <c r="R952" s="416" t="str">
        <f t="shared" si="60"/>
        <v>DELETE</v>
      </c>
    </row>
    <row r="953" spans="2:18" ht="31.5" customHeight="1" x14ac:dyDescent="0.45">
      <c r="B953" s="461"/>
      <c r="C953" s="369"/>
      <c r="L953" s="372"/>
      <c r="M953" s="37"/>
      <c r="N953" s="368"/>
      <c r="O953" s="448">
        <f>Criteria!E22</f>
        <v>2024</v>
      </c>
      <c r="P953" s="478"/>
      <c r="Q953" s="389"/>
      <c r="R953" s="416" t="str">
        <f t="shared" si="60"/>
        <v>DELETE</v>
      </c>
    </row>
    <row r="954" spans="2:18" ht="31.5" customHeight="1" x14ac:dyDescent="0.45">
      <c r="B954" s="461"/>
      <c r="C954" s="369"/>
      <c r="L954" s="372"/>
      <c r="M954" s="37"/>
      <c r="N954" s="368"/>
      <c r="O954" s="448"/>
      <c r="P954" s="478"/>
      <c r="Q954" s="389"/>
      <c r="R954" s="416" t="str">
        <f t="shared" si="60"/>
        <v>DELETE</v>
      </c>
    </row>
    <row r="955" spans="2:18" ht="31.5" customHeight="1" x14ac:dyDescent="0.45">
      <c r="B955" s="461">
        <f>MAX($B$429:B954)+1</f>
        <v>10</v>
      </c>
      <c r="C955" s="369" t="s">
        <v>1049</v>
      </c>
      <c r="M955" s="477"/>
      <c r="N955" s="478"/>
      <c r="O955" s="477"/>
      <c r="P955" s="478"/>
      <c r="Q955" s="389"/>
      <c r="R955" s="416" t="str">
        <f>IF(O1020=0,"DELETE"," ")</f>
        <v>DELETE</v>
      </c>
    </row>
    <row r="956" spans="2:18" ht="31.5" hidden="1" customHeight="1" x14ac:dyDescent="0.45">
      <c r="B956" s="461"/>
      <c r="C956" s="368">
        <f>B955</f>
        <v>10</v>
      </c>
      <c r="M956" s="477"/>
      <c r="N956" s="478"/>
      <c r="O956" s="477"/>
      <c r="P956" s="478"/>
      <c r="Q956" s="389"/>
      <c r="R956" s="416" t="str">
        <f>R$955</f>
        <v>DELETE</v>
      </c>
    </row>
    <row r="957" spans="2:18" ht="31.5" customHeight="1" x14ac:dyDescent="0.45">
      <c r="B957" s="461"/>
      <c r="C957" s="261">
        <f>MAX(C955:C956)+0.1</f>
        <v>10.1</v>
      </c>
      <c r="D957" s="368" t="s">
        <v>1118</v>
      </c>
      <c r="M957" s="441"/>
      <c r="N957" s="400"/>
      <c r="O957" s="441"/>
      <c r="P957" s="478"/>
      <c r="Q957" s="389"/>
      <c r="R957" s="416" t="str">
        <f>IF(O971=0,"DELETE"," ")</f>
        <v>DELETE</v>
      </c>
    </row>
    <row r="958" spans="2:18" ht="31.5" customHeight="1" x14ac:dyDescent="0.45">
      <c r="B958" s="461"/>
      <c r="C958" s="36"/>
      <c r="D958" s="368" t="s">
        <v>1074</v>
      </c>
      <c r="H958" s="372"/>
      <c r="J958" s="372"/>
      <c r="K958" s="466"/>
      <c r="M958" s="441"/>
      <c r="N958" s="400"/>
      <c r="O958" s="441">
        <f>SUM(S960:S964)</f>
        <v>0</v>
      </c>
      <c r="P958" s="478"/>
      <c r="Q958" s="389"/>
      <c r="R958" s="416" t="str">
        <f>R$957</f>
        <v>DELETE</v>
      </c>
    </row>
    <row r="959" spans="2:18" ht="9" customHeight="1" x14ac:dyDescent="0.45">
      <c r="B959" s="461"/>
      <c r="C959" s="36"/>
      <c r="M959" s="441"/>
      <c r="N959" s="400"/>
      <c r="O959" s="441"/>
      <c r="P959" s="478"/>
      <c r="Q959" s="389"/>
      <c r="R959" s="416" t="str">
        <f t="shared" ref="R959:R979" si="61">R$957</f>
        <v>DELETE</v>
      </c>
    </row>
    <row r="960" spans="2:18" ht="9" customHeight="1" x14ac:dyDescent="0.45">
      <c r="B960" s="461"/>
      <c r="C960" s="36"/>
      <c r="M960" s="441"/>
      <c r="N960" s="400"/>
      <c r="O960" s="455"/>
      <c r="P960" s="478"/>
      <c r="Q960" s="389"/>
      <c r="R960" s="416" t="str">
        <f t="shared" si="61"/>
        <v>DELETE</v>
      </c>
    </row>
    <row r="961" spans="2:21" ht="31.5" customHeight="1" x14ac:dyDescent="0.45">
      <c r="B961" s="461"/>
      <c r="C961" s="36"/>
      <c r="D961" s="368" t="s">
        <v>389</v>
      </c>
      <c r="M961" s="441"/>
      <c r="N961" s="400"/>
      <c r="O961" s="456">
        <f>TrialBalance!L273</f>
        <v>0</v>
      </c>
      <c r="P961" s="478"/>
      <c r="Q961" s="389"/>
      <c r="R961" s="416" t="str">
        <f t="shared" si="61"/>
        <v>DELETE</v>
      </c>
      <c r="S961" s="421">
        <f>O961</f>
        <v>0</v>
      </c>
    </row>
    <row r="962" spans="2:21" ht="31.5" customHeight="1" x14ac:dyDescent="0.45">
      <c r="B962" s="461"/>
      <c r="C962" s="36"/>
      <c r="D962" s="368" t="s">
        <v>1119</v>
      </c>
      <c r="M962" s="441"/>
      <c r="N962" s="400"/>
      <c r="O962" s="456">
        <f>-TrialBalance!L276</f>
        <v>0</v>
      </c>
      <c r="P962" s="478"/>
      <c r="Q962" s="389"/>
      <c r="R962" s="416" t="str">
        <f t="shared" si="61"/>
        <v>DELETE</v>
      </c>
      <c r="S962" s="421">
        <f>-O962</f>
        <v>0</v>
      </c>
    </row>
    <row r="963" spans="2:21" ht="31.5" customHeight="1" x14ac:dyDescent="0.45">
      <c r="B963" s="461"/>
      <c r="C963" s="36"/>
      <c r="D963" s="368" t="s">
        <v>1120</v>
      </c>
      <c r="M963" s="441"/>
      <c r="N963" s="400"/>
      <c r="O963" s="456">
        <f>-TrialBalance!L279</f>
        <v>0</v>
      </c>
      <c r="P963" s="478"/>
      <c r="Q963" s="389"/>
      <c r="R963" s="416" t="str">
        <f>IF(O963=0,"DELETE"," ")</f>
        <v>DELETE</v>
      </c>
      <c r="S963" s="421">
        <f>-O963</f>
        <v>0</v>
      </c>
    </row>
    <row r="964" spans="2:21" ht="9" customHeight="1" x14ac:dyDescent="0.45">
      <c r="B964" s="461"/>
      <c r="C964" s="36"/>
      <c r="M964" s="441"/>
      <c r="N964" s="400"/>
      <c r="O964" s="457"/>
      <c r="P964" s="478"/>
      <c r="Q964" s="389"/>
      <c r="R964" s="416" t="str">
        <f t="shared" si="61"/>
        <v>DELETE</v>
      </c>
    </row>
    <row r="965" spans="2:21" ht="9" customHeight="1" x14ac:dyDescent="0.45">
      <c r="B965" s="461"/>
      <c r="C965" s="36"/>
      <c r="M965" s="441"/>
      <c r="N965" s="400"/>
      <c r="O965" s="441"/>
      <c r="P965" s="478"/>
      <c r="Q965" s="389"/>
      <c r="R965" s="416" t="str">
        <f t="shared" si="61"/>
        <v>DELETE</v>
      </c>
    </row>
    <row r="966" spans="2:21" ht="31.5" customHeight="1" x14ac:dyDescent="0.45">
      <c r="B966" s="461"/>
      <c r="C966" s="36"/>
      <c r="D966" s="368" t="s">
        <v>385</v>
      </c>
      <c r="M966" s="441"/>
      <c r="N966" s="400"/>
      <c r="O966" s="441">
        <f>TrialBalance!L274</f>
        <v>0</v>
      </c>
      <c r="P966" s="478"/>
      <c r="Q966" s="389"/>
      <c r="R966" s="416" t="str">
        <f t="shared" si="61"/>
        <v>DELETE</v>
      </c>
      <c r="S966" s="421">
        <f>O966</f>
        <v>0</v>
      </c>
    </row>
    <row r="967" spans="2:21" ht="31.5" customHeight="1" x14ac:dyDescent="0.45">
      <c r="B967" s="461"/>
      <c r="C967" s="36"/>
      <c r="D967" s="368" t="s">
        <v>1121</v>
      </c>
      <c r="M967" s="441"/>
      <c r="N967" s="400"/>
      <c r="O967" s="441">
        <f>TrialBalance!L277</f>
        <v>0</v>
      </c>
      <c r="P967" s="478"/>
      <c r="Q967" s="389"/>
      <c r="R967" s="416" t="str">
        <f t="shared" si="61"/>
        <v>DELETE</v>
      </c>
      <c r="S967" s="421">
        <f t="shared" ref="S967:S968" si="62">O967</f>
        <v>0</v>
      </c>
    </row>
    <row r="968" spans="2:21" ht="31.5" customHeight="1" x14ac:dyDescent="0.45">
      <c r="B968" s="461"/>
      <c r="C968" s="36"/>
      <c r="D968" s="368" t="s">
        <v>1122</v>
      </c>
      <c r="M968" s="441"/>
      <c r="N968" s="400"/>
      <c r="O968" s="441">
        <f>TrialBalance!L280</f>
        <v>0</v>
      </c>
      <c r="P968" s="478"/>
      <c r="Q968" s="389"/>
      <c r="R968" s="416" t="str">
        <f>IF(O968=0,"DELETE"," ")</f>
        <v>DELETE</v>
      </c>
      <c r="S968" s="421">
        <f t="shared" si="62"/>
        <v>0</v>
      </c>
    </row>
    <row r="969" spans="2:21" ht="9" customHeight="1" x14ac:dyDescent="0.45">
      <c r="B969" s="461"/>
      <c r="C969" s="36"/>
      <c r="M969" s="441"/>
      <c r="N969" s="400"/>
      <c r="O969" s="438"/>
      <c r="P969" s="478"/>
      <c r="Q969" s="389"/>
      <c r="R969" s="416" t="str">
        <f t="shared" si="61"/>
        <v>DELETE</v>
      </c>
    </row>
    <row r="970" spans="2:21" ht="9" customHeight="1" x14ac:dyDescent="0.45">
      <c r="B970" s="461"/>
      <c r="C970" s="36"/>
      <c r="M970" s="441"/>
      <c r="N970" s="400"/>
      <c r="O970" s="441"/>
      <c r="P970" s="478"/>
      <c r="Q970" s="389"/>
      <c r="R970" s="416" t="str">
        <f t="shared" si="61"/>
        <v>DELETE</v>
      </c>
    </row>
    <row r="971" spans="2:21" ht="31.5" customHeight="1" x14ac:dyDescent="0.45">
      <c r="B971" s="461"/>
      <c r="C971" s="36"/>
      <c r="D971" s="368" t="s">
        <v>1078</v>
      </c>
      <c r="M971" s="441"/>
      <c r="N971" s="400"/>
      <c r="O971" s="441">
        <f>SUM(S974:S978)</f>
        <v>0</v>
      </c>
      <c r="P971" s="478"/>
      <c r="Q971" s="389"/>
      <c r="R971" s="416" t="str">
        <f t="shared" si="61"/>
        <v>DELETE</v>
      </c>
      <c r="U971" s="417" t="b">
        <f>O971=SUM(S960:S969)</f>
        <v>1</v>
      </c>
    </row>
    <row r="972" spans="2:21" ht="9" customHeight="1" thickBot="1" x14ac:dyDescent="0.5">
      <c r="B972" s="461"/>
      <c r="C972" s="36"/>
      <c r="M972" s="441"/>
      <c r="N972" s="400"/>
      <c r="O972" s="439"/>
      <c r="P972" s="478"/>
      <c r="Q972" s="389"/>
      <c r="R972" s="416" t="str">
        <f t="shared" si="61"/>
        <v>DELETE</v>
      </c>
    </row>
    <row r="973" spans="2:21" ht="9" customHeight="1" thickTop="1" x14ac:dyDescent="0.45">
      <c r="B973" s="461"/>
      <c r="C973" s="36"/>
      <c r="M973" s="441"/>
      <c r="N973" s="400"/>
      <c r="O973" s="441"/>
      <c r="P973" s="478"/>
      <c r="Q973" s="389"/>
      <c r="R973" s="416" t="str">
        <f t="shared" si="61"/>
        <v>DELETE</v>
      </c>
    </row>
    <row r="974" spans="2:21" ht="9" customHeight="1" x14ac:dyDescent="0.45">
      <c r="B974" s="461"/>
      <c r="C974" s="36"/>
      <c r="M974" s="441"/>
      <c r="N974" s="400"/>
      <c r="O974" s="455"/>
      <c r="P974" s="478"/>
      <c r="Q974" s="389"/>
      <c r="R974" s="416" t="str">
        <f t="shared" si="61"/>
        <v>DELETE</v>
      </c>
    </row>
    <row r="975" spans="2:21" ht="31.5" customHeight="1" x14ac:dyDescent="0.45">
      <c r="B975" s="461"/>
      <c r="C975" s="36"/>
      <c r="D975" s="368" t="s">
        <v>389</v>
      </c>
      <c r="M975" s="441"/>
      <c r="N975" s="400"/>
      <c r="O975" s="456">
        <f>TrialBalance!L273+TrialBalance!L274</f>
        <v>0</v>
      </c>
      <c r="P975" s="478"/>
      <c r="Q975" s="389"/>
      <c r="R975" s="416" t="str">
        <f t="shared" si="61"/>
        <v>DELETE</v>
      </c>
      <c r="S975" s="421">
        <f>O975</f>
        <v>0</v>
      </c>
    </row>
    <row r="976" spans="2:21" ht="31.5" customHeight="1" x14ac:dyDescent="0.45">
      <c r="B976" s="461"/>
      <c r="C976" s="36"/>
      <c r="D976" s="368" t="s">
        <v>1119</v>
      </c>
      <c r="M976" s="441"/>
      <c r="N976" s="400"/>
      <c r="O976" s="456">
        <f>-TrialBalance!L276-TrialBalance!L277</f>
        <v>0</v>
      </c>
      <c r="P976" s="478"/>
      <c r="Q976" s="389"/>
      <c r="R976" s="416" t="str">
        <f t="shared" si="61"/>
        <v>DELETE</v>
      </c>
      <c r="S976" s="421">
        <f>-O976</f>
        <v>0</v>
      </c>
    </row>
    <row r="977" spans="2:19" ht="31.5" customHeight="1" x14ac:dyDescent="0.45">
      <c r="B977" s="461"/>
      <c r="C977" s="36"/>
      <c r="D977" s="368" t="s">
        <v>1120</v>
      </c>
      <c r="M977" s="441"/>
      <c r="N977" s="400"/>
      <c r="O977" s="456">
        <f>-TrialBalance!L279-TrialBalance!L280</f>
        <v>0</v>
      </c>
      <c r="P977" s="478"/>
      <c r="Q977" s="389"/>
      <c r="R977" s="416" t="str">
        <f>IF(O977=0,"DELETE"," ")</f>
        <v>DELETE</v>
      </c>
      <c r="S977" s="421">
        <f>-O977</f>
        <v>0</v>
      </c>
    </row>
    <row r="978" spans="2:19" ht="9" customHeight="1" x14ac:dyDescent="0.45">
      <c r="B978" s="461"/>
      <c r="C978" s="36"/>
      <c r="M978" s="441"/>
      <c r="N978" s="400"/>
      <c r="O978" s="457"/>
      <c r="P978" s="478"/>
      <c r="Q978" s="389"/>
      <c r="R978" s="416" t="str">
        <f t="shared" si="61"/>
        <v>DELETE</v>
      </c>
    </row>
    <row r="979" spans="2:19" ht="9" customHeight="1" x14ac:dyDescent="0.45">
      <c r="B979" s="461"/>
      <c r="C979" s="36"/>
      <c r="M979" s="441"/>
      <c r="N979" s="400"/>
      <c r="O979" s="441"/>
      <c r="P979" s="478"/>
      <c r="Q979" s="389"/>
      <c r="R979" s="416" t="str">
        <f t="shared" si="61"/>
        <v>DELETE</v>
      </c>
    </row>
    <row r="980" spans="2:19" ht="31.5" customHeight="1" x14ac:dyDescent="0.45">
      <c r="B980" s="461"/>
      <c r="C980" s="36"/>
      <c r="M980" s="441"/>
      <c r="N980" s="400"/>
      <c r="O980" s="441"/>
      <c r="P980" s="478"/>
      <c r="Q980" s="389"/>
      <c r="R980" s="416" t="str">
        <f>IF(R957="DELETE","DELETE",IF(R994="DELETE","DELETE"," "))</f>
        <v>DELETE</v>
      </c>
    </row>
    <row r="981" spans="2:19" ht="31.5" customHeight="1" x14ac:dyDescent="0.45">
      <c r="B981" s="461"/>
      <c r="C981" s="36"/>
      <c r="M981" s="441"/>
      <c r="N981" s="400"/>
      <c r="O981" s="441"/>
      <c r="P981" s="478"/>
      <c r="Q981" s="389"/>
      <c r="R981" s="416" t="str">
        <f>R$980</f>
        <v>DELETE</v>
      </c>
    </row>
    <row r="982" spans="2:19" ht="31.5" customHeight="1" x14ac:dyDescent="0.45">
      <c r="B982" s="462"/>
      <c r="C982" s="267"/>
      <c r="D982" s="383"/>
      <c r="E982" s="383"/>
      <c r="F982" s="383"/>
      <c r="G982" s="383"/>
      <c r="H982" s="383"/>
      <c r="I982" s="383"/>
      <c r="J982" s="383"/>
      <c r="K982" s="383"/>
      <c r="L982" s="383"/>
      <c r="M982" s="438"/>
      <c r="N982" s="392"/>
      <c r="O982" s="438"/>
      <c r="P982" s="475"/>
      <c r="Q982" s="398"/>
      <c r="R982" s="416" t="str">
        <f t="shared" ref="R982:R983" si="63">R$980</f>
        <v>DELETE</v>
      </c>
    </row>
    <row r="983" spans="2:19" ht="31.5" customHeight="1" x14ac:dyDescent="0.45">
      <c r="B983" s="445"/>
      <c r="C983" s="36"/>
      <c r="M983" s="441"/>
      <c r="N983" s="400"/>
      <c r="O983" s="441"/>
      <c r="P983" s="478"/>
      <c r="R983" s="416" t="str">
        <f t="shared" si="63"/>
        <v>DELETE</v>
      </c>
    </row>
    <row r="984" spans="2:19" ht="31.5" customHeight="1" x14ac:dyDescent="0.45">
      <c r="B984" s="445"/>
      <c r="C984" s="36"/>
      <c r="M984" s="441"/>
      <c r="N984" s="400"/>
      <c r="O984" s="441"/>
      <c r="P984" s="478"/>
      <c r="R984" s="416" t="str">
        <f>IF(R994="DELETE","DELETE",IF(R957="DELETE","DELETE"," "))</f>
        <v>DELETE</v>
      </c>
    </row>
    <row r="985" spans="2:19" ht="31.5" customHeight="1" x14ac:dyDescent="0.45">
      <c r="B985" s="445"/>
      <c r="C985" s="36"/>
      <c r="D985" s="369" t="str">
        <f>Criteria!E9</f>
        <v>ABC TRUST</v>
      </c>
      <c r="O985" s="433" t="s">
        <v>105</v>
      </c>
      <c r="Q985" s="370">
        <f>MAX($Q$114:Q984)+1</f>
        <v>18</v>
      </c>
      <c r="R985" s="416" t="str">
        <f>R$984</f>
        <v>DELETE</v>
      </c>
    </row>
    <row r="986" spans="2:19" ht="31.5" customHeight="1" x14ac:dyDescent="0.45">
      <c r="B986" s="445"/>
      <c r="C986" s="36"/>
      <c r="D986" s="369" t="str">
        <f>Criteria!E10</f>
        <v>T/A RENTAL PROPERTIES, SEAFRONT RESTAURANT AND SURF SHOP</v>
      </c>
      <c r="R986" s="416" t="str">
        <f>IF(R$984="DELETE","DELETE",IF(D986=0,"DELETE"," "))</f>
        <v>DELETE</v>
      </c>
    </row>
    <row r="987" spans="2:19" ht="31.5" customHeight="1" x14ac:dyDescent="0.45">
      <c r="B987" s="445"/>
      <c r="C987" s="36"/>
      <c r="R987" s="416" t="str">
        <f t="shared" ref="R987:R993" si="64">R$984</f>
        <v>DELETE</v>
      </c>
    </row>
    <row r="988" spans="2:19" ht="31.5" customHeight="1" x14ac:dyDescent="0.45">
      <c r="B988" s="445"/>
      <c r="C988" s="36"/>
      <c r="D988" s="369" t="s">
        <v>383</v>
      </c>
      <c r="R988" s="416" t="str">
        <f t="shared" si="64"/>
        <v>DELETE</v>
      </c>
    </row>
    <row r="989" spans="2:19" ht="31.5" customHeight="1" x14ac:dyDescent="0.45">
      <c r="B989" s="445"/>
      <c r="C989" s="36"/>
      <c r="D989" s="369" t="str">
        <f>Criteria!E20</f>
        <v>29 FEBRUARY 2024</v>
      </c>
      <c r="J989" s="368" t="s">
        <v>253</v>
      </c>
      <c r="R989" s="416" t="str">
        <f t="shared" si="64"/>
        <v>DELETE</v>
      </c>
    </row>
    <row r="990" spans="2:19" ht="31.5" customHeight="1" x14ac:dyDescent="0.45">
      <c r="B990" s="445"/>
      <c r="C990" s="36"/>
      <c r="M990" s="441"/>
      <c r="N990" s="400"/>
      <c r="O990" s="441"/>
      <c r="P990" s="478"/>
      <c r="R990" s="416" t="str">
        <f t="shared" si="64"/>
        <v>DELETE</v>
      </c>
    </row>
    <row r="991" spans="2:19" ht="31.5" customHeight="1" x14ac:dyDescent="0.45">
      <c r="B991" s="465"/>
      <c r="C991" s="268"/>
      <c r="D991" s="386"/>
      <c r="E991" s="386"/>
      <c r="F991" s="386"/>
      <c r="G991" s="386"/>
      <c r="H991" s="386"/>
      <c r="I991" s="386"/>
      <c r="J991" s="386"/>
      <c r="K991" s="386"/>
      <c r="L991" s="386"/>
      <c r="M991" s="446"/>
      <c r="N991" s="391"/>
      <c r="O991" s="446"/>
      <c r="P991" s="481"/>
      <c r="Q991" s="387"/>
      <c r="R991" s="416" t="str">
        <f t="shared" si="64"/>
        <v>DELETE</v>
      </c>
    </row>
    <row r="992" spans="2:19" ht="31.5" customHeight="1" x14ac:dyDescent="0.45">
      <c r="B992" s="461"/>
      <c r="C992" s="36"/>
      <c r="M992" s="441"/>
      <c r="N992" s="400"/>
      <c r="O992" s="448">
        <f>Criteria!E22</f>
        <v>2024</v>
      </c>
      <c r="P992" s="478"/>
      <c r="Q992" s="389"/>
      <c r="R992" s="416" t="str">
        <f t="shared" si="64"/>
        <v>DELETE</v>
      </c>
    </row>
    <row r="993" spans="2:21" ht="31.5" customHeight="1" x14ac:dyDescent="0.45">
      <c r="B993" s="461"/>
      <c r="C993" s="36"/>
      <c r="M993" s="441"/>
      <c r="N993" s="400"/>
      <c r="O993" s="441"/>
      <c r="P993" s="478"/>
      <c r="Q993" s="389"/>
      <c r="R993" s="416" t="str">
        <f t="shared" si="64"/>
        <v>DELETE</v>
      </c>
    </row>
    <row r="994" spans="2:21" ht="31.5" customHeight="1" x14ac:dyDescent="0.45">
      <c r="B994" s="461"/>
      <c r="C994" s="261">
        <f>MAX(C955:C993)+0.1</f>
        <v>10.199999999999999</v>
      </c>
      <c r="D994" s="368" t="s">
        <v>1123</v>
      </c>
      <c r="M994" s="441"/>
      <c r="N994" s="400"/>
      <c r="O994" s="441"/>
      <c r="P994" s="478"/>
      <c r="Q994" s="389"/>
      <c r="R994" s="416" t="str">
        <f>IF(O1008=0,"DELETE"," ")</f>
        <v>DELETE</v>
      </c>
    </row>
    <row r="995" spans="2:21" ht="31.5" customHeight="1" x14ac:dyDescent="0.45">
      <c r="B995" s="461"/>
      <c r="C995" s="261"/>
      <c r="D995" s="368" t="s">
        <v>1074</v>
      </c>
      <c r="H995" s="372"/>
      <c r="J995" s="372"/>
      <c r="K995" s="466"/>
      <c r="M995" s="441"/>
      <c r="N995" s="400"/>
      <c r="O995" s="441">
        <f>SUM(S997:S1001)</f>
        <v>0</v>
      </c>
      <c r="P995" s="478"/>
      <c r="Q995" s="389"/>
      <c r="R995" s="416" t="str">
        <f>R$994</f>
        <v>DELETE</v>
      </c>
    </row>
    <row r="996" spans="2:21" ht="9" customHeight="1" x14ac:dyDescent="0.45">
      <c r="B996" s="461"/>
      <c r="C996" s="261"/>
      <c r="M996" s="441"/>
      <c r="N996" s="400"/>
      <c r="O996" s="441"/>
      <c r="P996" s="478"/>
      <c r="Q996" s="389"/>
      <c r="R996" s="416" t="str">
        <f t="shared" ref="R996:R1017" si="65">R$994</f>
        <v>DELETE</v>
      </c>
    </row>
    <row r="997" spans="2:21" ht="9" customHeight="1" x14ac:dyDescent="0.45">
      <c r="B997" s="461"/>
      <c r="C997" s="261"/>
      <c r="M997" s="441"/>
      <c r="N997" s="400"/>
      <c r="O997" s="455"/>
      <c r="P997" s="478"/>
      <c r="Q997" s="389"/>
      <c r="R997" s="416" t="str">
        <f t="shared" si="65"/>
        <v>DELETE</v>
      </c>
    </row>
    <row r="998" spans="2:21" ht="31.5" customHeight="1" x14ac:dyDescent="0.45">
      <c r="B998" s="461"/>
      <c r="C998" s="261"/>
      <c r="D998" s="368" t="s">
        <v>389</v>
      </c>
      <c r="M998" s="441"/>
      <c r="N998" s="400"/>
      <c r="O998" s="456">
        <f>TrialBalance!L282</f>
        <v>0</v>
      </c>
      <c r="P998" s="478"/>
      <c r="Q998" s="389"/>
      <c r="R998" s="416" t="str">
        <f t="shared" si="65"/>
        <v>DELETE</v>
      </c>
      <c r="S998" s="421">
        <f>O998</f>
        <v>0</v>
      </c>
    </row>
    <row r="999" spans="2:21" ht="31.5" customHeight="1" x14ac:dyDescent="0.45">
      <c r="B999" s="461"/>
      <c r="C999" s="261"/>
      <c r="D999" s="368" t="s">
        <v>1119</v>
      </c>
      <c r="M999" s="441"/>
      <c r="N999" s="400"/>
      <c r="O999" s="456">
        <f>-TrialBalance!L285</f>
        <v>0</v>
      </c>
      <c r="P999" s="478"/>
      <c r="Q999" s="389"/>
      <c r="R999" s="416" t="str">
        <f t="shared" si="65"/>
        <v>DELETE</v>
      </c>
      <c r="S999" s="421">
        <f>-O999</f>
        <v>0</v>
      </c>
    </row>
    <row r="1000" spans="2:21" ht="31.5" customHeight="1" x14ac:dyDescent="0.45">
      <c r="B1000" s="461"/>
      <c r="C1000" s="261"/>
      <c r="D1000" s="368" t="s">
        <v>1120</v>
      </c>
      <c r="M1000" s="441"/>
      <c r="N1000" s="400"/>
      <c r="O1000" s="456">
        <f>-TrialBalance!L288</f>
        <v>0</v>
      </c>
      <c r="P1000" s="478"/>
      <c r="Q1000" s="389"/>
      <c r="R1000" s="416" t="str">
        <f>IF(O1000=0,"DELETE"," ")</f>
        <v>DELETE</v>
      </c>
      <c r="S1000" s="421">
        <f>-O1000</f>
        <v>0</v>
      </c>
    </row>
    <row r="1001" spans="2:21" ht="9" customHeight="1" x14ac:dyDescent="0.45">
      <c r="B1001" s="461"/>
      <c r="C1001" s="261"/>
      <c r="M1001" s="441"/>
      <c r="N1001" s="400"/>
      <c r="O1001" s="457"/>
      <c r="P1001" s="478"/>
      <c r="Q1001" s="389"/>
      <c r="R1001" s="416" t="str">
        <f t="shared" si="65"/>
        <v>DELETE</v>
      </c>
    </row>
    <row r="1002" spans="2:21" ht="9" customHeight="1" x14ac:dyDescent="0.45">
      <c r="B1002" s="461"/>
      <c r="C1002" s="261"/>
      <c r="M1002" s="441"/>
      <c r="N1002" s="400"/>
      <c r="O1002" s="441"/>
      <c r="P1002" s="478"/>
      <c r="Q1002" s="389"/>
      <c r="R1002" s="416" t="str">
        <f t="shared" si="65"/>
        <v>DELETE</v>
      </c>
    </row>
    <row r="1003" spans="2:21" ht="31.5" customHeight="1" x14ac:dyDescent="0.45">
      <c r="B1003" s="461"/>
      <c r="C1003" s="261"/>
      <c r="D1003" s="368" t="s">
        <v>385</v>
      </c>
      <c r="M1003" s="441"/>
      <c r="N1003" s="400"/>
      <c r="O1003" s="441">
        <f>TrialBalance!L283</f>
        <v>0</v>
      </c>
      <c r="P1003" s="478"/>
      <c r="Q1003" s="389"/>
      <c r="R1003" s="416" t="str">
        <f t="shared" si="65"/>
        <v>DELETE</v>
      </c>
      <c r="S1003" s="421">
        <f>O1003</f>
        <v>0</v>
      </c>
    </row>
    <row r="1004" spans="2:21" ht="31.5" customHeight="1" x14ac:dyDescent="0.45">
      <c r="B1004" s="461"/>
      <c r="C1004" s="261"/>
      <c r="D1004" s="368" t="s">
        <v>1121</v>
      </c>
      <c r="M1004" s="441"/>
      <c r="N1004" s="400"/>
      <c r="O1004" s="441">
        <f>TrialBalance!L286</f>
        <v>0</v>
      </c>
      <c r="P1004" s="478"/>
      <c r="Q1004" s="389"/>
      <c r="R1004" s="416" t="str">
        <f t="shared" si="65"/>
        <v>DELETE</v>
      </c>
      <c r="S1004" s="421">
        <f t="shared" ref="S1004:S1005" si="66">O1004</f>
        <v>0</v>
      </c>
    </row>
    <row r="1005" spans="2:21" ht="31.5" customHeight="1" x14ac:dyDescent="0.45">
      <c r="B1005" s="461"/>
      <c r="C1005" s="261"/>
      <c r="D1005" s="368" t="s">
        <v>1122</v>
      </c>
      <c r="M1005" s="441"/>
      <c r="N1005" s="400"/>
      <c r="O1005" s="441">
        <f>TrialBalance!L289</f>
        <v>0</v>
      </c>
      <c r="P1005" s="478"/>
      <c r="Q1005" s="389"/>
      <c r="R1005" s="416" t="str">
        <f>IF(O1005=0,"DELETE"," ")</f>
        <v>DELETE</v>
      </c>
      <c r="S1005" s="421">
        <f t="shared" si="66"/>
        <v>0</v>
      </c>
    </row>
    <row r="1006" spans="2:21" ht="9" customHeight="1" x14ac:dyDescent="0.45">
      <c r="B1006" s="461"/>
      <c r="C1006" s="261"/>
      <c r="M1006" s="441"/>
      <c r="N1006" s="400"/>
      <c r="O1006" s="438"/>
      <c r="P1006" s="478"/>
      <c r="Q1006" s="389"/>
      <c r="R1006" s="416" t="str">
        <f t="shared" si="65"/>
        <v>DELETE</v>
      </c>
    </row>
    <row r="1007" spans="2:21" ht="9" customHeight="1" x14ac:dyDescent="0.45">
      <c r="B1007" s="461"/>
      <c r="C1007" s="261"/>
      <c r="M1007" s="441"/>
      <c r="N1007" s="400"/>
      <c r="O1007" s="441"/>
      <c r="P1007" s="478"/>
      <c r="Q1007" s="389"/>
      <c r="R1007" s="416" t="str">
        <f t="shared" si="65"/>
        <v>DELETE</v>
      </c>
    </row>
    <row r="1008" spans="2:21" ht="31.5" customHeight="1" x14ac:dyDescent="0.45">
      <c r="B1008" s="461"/>
      <c r="C1008" s="261"/>
      <c r="D1008" s="368" t="s">
        <v>1078</v>
      </c>
      <c r="M1008" s="441"/>
      <c r="N1008" s="400"/>
      <c r="O1008" s="441">
        <f>SUM(S1011:S1015)</f>
        <v>0</v>
      </c>
      <c r="P1008" s="478"/>
      <c r="Q1008" s="389"/>
      <c r="R1008" s="416" t="str">
        <f t="shared" si="65"/>
        <v>DELETE</v>
      </c>
      <c r="U1008" s="417" t="b">
        <f>O1008=SUM(S997:S1006)</f>
        <v>1</v>
      </c>
    </row>
    <row r="1009" spans="2:19" ht="9" customHeight="1" thickBot="1" x14ac:dyDescent="0.5">
      <c r="B1009" s="461"/>
      <c r="C1009" s="261"/>
      <c r="M1009" s="441"/>
      <c r="N1009" s="400"/>
      <c r="O1009" s="439"/>
      <c r="P1009" s="478"/>
      <c r="Q1009" s="389"/>
      <c r="R1009" s="416" t="str">
        <f t="shared" si="65"/>
        <v>DELETE</v>
      </c>
    </row>
    <row r="1010" spans="2:19" ht="9" customHeight="1" thickTop="1" x14ac:dyDescent="0.45">
      <c r="B1010" s="461"/>
      <c r="C1010" s="261"/>
      <c r="M1010" s="441"/>
      <c r="N1010" s="400"/>
      <c r="O1010" s="441"/>
      <c r="P1010" s="478"/>
      <c r="Q1010" s="389"/>
      <c r="R1010" s="416" t="str">
        <f t="shared" si="65"/>
        <v>DELETE</v>
      </c>
    </row>
    <row r="1011" spans="2:19" ht="9" customHeight="1" x14ac:dyDescent="0.45">
      <c r="B1011" s="461"/>
      <c r="C1011" s="261"/>
      <c r="M1011" s="441"/>
      <c r="N1011" s="400"/>
      <c r="O1011" s="455"/>
      <c r="P1011" s="478"/>
      <c r="Q1011" s="389"/>
      <c r="R1011" s="416" t="str">
        <f t="shared" si="65"/>
        <v>DELETE</v>
      </c>
    </row>
    <row r="1012" spans="2:19" ht="31.5" customHeight="1" x14ac:dyDescent="0.45">
      <c r="B1012" s="461"/>
      <c r="C1012" s="261"/>
      <c r="D1012" s="368" t="s">
        <v>389</v>
      </c>
      <c r="M1012" s="441"/>
      <c r="N1012" s="400"/>
      <c r="O1012" s="456">
        <f>TrialBalance!L282+TrialBalance!L283</f>
        <v>0</v>
      </c>
      <c r="P1012" s="478"/>
      <c r="Q1012" s="389"/>
      <c r="R1012" s="416" t="str">
        <f t="shared" si="65"/>
        <v>DELETE</v>
      </c>
      <c r="S1012" s="421">
        <f>O1012</f>
        <v>0</v>
      </c>
    </row>
    <row r="1013" spans="2:19" ht="31.5" customHeight="1" x14ac:dyDescent="0.45">
      <c r="B1013" s="461"/>
      <c r="C1013" s="261"/>
      <c r="D1013" s="368" t="s">
        <v>1119</v>
      </c>
      <c r="M1013" s="441"/>
      <c r="N1013" s="400"/>
      <c r="O1013" s="456">
        <f>-TrialBalance!L285-TrialBalance!L286</f>
        <v>0</v>
      </c>
      <c r="P1013" s="478"/>
      <c r="Q1013" s="389"/>
      <c r="R1013" s="416" t="str">
        <f t="shared" si="65"/>
        <v>DELETE</v>
      </c>
      <c r="S1013" s="421">
        <f>-O1013</f>
        <v>0</v>
      </c>
    </row>
    <row r="1014" spans="2:19" ht="31.5" customHeight="1" x14ac:dyDescent="0.45">
      <c r="B1014" s="461"/>
      <c r="C1014" s="261"/>
      <c r="D1014" s="368" t="s">
        <v>1120</v>
      </c>
      <c r="M1014" s="441"/>
      <c r="N1014" s="400"/>
      <c r="O1014" s="456">
        <f>-TrialBalance!L288-TrialBalance!L289</f>
        <v>0</v>
      </c>
      <c r="P1014" s="478"/>
      <c r="Q1014" s="389"/>
      <c r="R1014" s="416" t="str">
        <f>IF(O1014=0,"DELETE"," ")</f>
        <v>DELETE</v>
      </c>
      <c r="S1014" s="421">
        <f>-O1014</f>
        <v>0</v>
      </c>
    </row>
    <row r="1015" spans="2:19" ht="9" customHeight="1" x14ac:dyDescent="0.45">
      <c r="B1015" s="461"/>
      <c r="C1015" s="261"/>
      <c r="M1015" s="441"/>
      <c r="N1015" s="400"/>
      <c r="O1015" s="457"/>
      <c r="P1015" s="478"/>
      <c r="Q1015" s="389"/>
      <c r="R1015" s="416" t="str">
        <f t="shared" si="65"/>
        <v>DELETE</v>
      </c>
    </row>
    <row r="1016" spans="2:19" ht="9" customHeight="1" x14ac:dyDescent="0.45">
      <c r="B1016" s="461"/>
      <c r="C1016" s="261"/>
      <c r="M1016" s="441"/>
      <c r="N1016" s="400"/>
      <c r="O1016" s="441"/>
      <c r="P1016" s="478"/>
      <c r="Q1016" s="389"/>
      <c r="R1016" s="416" t="str">
        <f t="shared" si="65"/>
        <v>DELETE</v>
      </c>
    </row>
    <row r="1017" spans="2:19" ht="31.5" customHeight="1" x14ac:dyDescent="0.45">
      <c r="B1017" s="461"/>
      <c r="C1017" s="261"/>
      <c r="M1017" s="441"/>
      <c r="N1017" s="400"/>
      <c r="O1017" s="441"/>
      <c r="P1017" s="478"/>
      <c r="Q1017" s="389"/>
      <c r="R1017" s="416" t="str">
        <f t="shared" si="65"/>
        <v>DELETE</v>
      </c>
    </row>
    <row r="1018" spans="2:19" ht="9" customHeight="1" x14ac:dyDescent="0.45">
      <c r="B1018" s="461"/>
      <c r="C1018" s="261"/>
      <c r="M1018" s="441"/>
      <c r="N1018" s="400"/>
      <c r="O1018" s="438"/>
      <c r="P1018" s="478"/>
      <c r="Q1018" s="389"/>
      <c r="R1018" s="416" t="str">
        <f t="shared" ref="R1018:R1026" si="67">R$955</f>
        <v>DELETE</v>
      </c>
    </row>
    <row r="1019" spans="2:19" ht="9" customHeight="1" x14ac:dyDescent="0.45">
      <c r="B1019" s="461"/>
      <c r="C1019" s="261"/>
      <c r="M1019" s="441"/>
      <c r="N1019" s="400"/>
      <c r="O1019" s="441"/>
      <c r="P1019" s="478"/>
      <c r="Q1019" s="389"/>
      <c r="R1019" s="416" t="str">
        <f t="shared" si="67"/>
        <v>DELETE</v>
      </c>
    </row>
    <row r="1020" spans="2:19" ht="31.5" customHeight="1" x14ac:dyDescent="0.45">
      <c r="B1020" s="461"/>
      <c r="C1020" s="261"/>
      <c r="D1020" s="368" t="s">
        <v>388</v>
      </c>
      <c r="M1020" s="441"/>
      <c r="N1020" s="400"/>
      <c r="O1020" s="441">
        <f>SUM(TrialBalance!L273:L289)</f>
        <v>0</v>
      </c>
      <c r="P1020" s="478"/>
      <c r="Q1020" s="389"/>
      <c r="R1020" s="416" t="str">
        <f t="shared" si="67"/>
        <v>DELETE</v>
      </c>
    </row>
    <row r="1021" spans="2:19" ht="9" customHeight="1" thickBot="1" x14ac:dyDescent="0.5">
      <c r="B1021" s="461"/>
      <c r="C1021" s="261"/>
      <c r="M1021" s="441"/>
      <c r="N1021" s="400"/>
      <c r="O1021" s="439"/>
      <c r="P1021" s="478"/>
      <c r="Q1021" s="389"/>
      <c r="R1021" s="416" t="str">
        <f t="shared" si="67"/>
        <v>DELETE</v>
      </c>
    </row>
    <row r="1022" spans="2:19" ht="9" customHeight="1" thickTop="1" x14ac:dyDescent="0.45">
      <c r="B1022" s="461"/>
      <c r="C1022" s="261"/>
      <c r="M1022" s="441"/>
      <c r="N1022" s="400"/>
      <c r="O1022" s="441"/>
      <c r="P1022" s="478"/>
      <c r="Q1022" s="389"/>
      <c r="R1022" s="416" t="str">
        <f t="shared" si="67"/>
        <v>DELETE</v>
      </c>
    </row>
    <row r="1023" spans="2:19" ht="31.5" customHeight="1" x14ac:dyDescent="0.45">
      <c r="B1023" s="461"/>
      <c r="C1023" s="369"/>
      <c r="L1023" s="372"/>
      <c r="M1023" s="37"/>
      <c r="N1023" s="368"/>
      <c r="O1023" s="441"/>
      <c r="P1023" s="478"/>
      <c r="Q1023" s="389"/>
      <c r="R1023" s="416" t="str">
        <f t="shared" si="67"/>
        <v>DELETE</v>
      </c>
    </row>
    <row r="1024" spans="2:19" ht="31.5" customHeight="1" x14ac:dyDescent="0.45">
      <c r="B1024" s="461"/>
      <c r="C1024" s="369"/>
      <c r="M1024" s="441"/>
      <c r="N1024" s="400"/>
      <c r="O1024" s="441"/>
      <c r="P1024" s="478"/>
      <c r="Q1024" s="389"/>
      <c r="R1024" s="416" t="str">
        <f t="shared" si="67"/>
        <v>DELETE</v>
      </c>
    </row>
    <row r="1025" spans="2:18" ht="31.5" customHeight="1" x14ac:dyDescent="0.45">
      <c r="B1025" s="462"/>
      <c r="C1025" s="407"/>
      <c r="D1025" s="383"/>
      <c r="E1025" s="383"/>
      <c r="F1025" s="383"/>
      <c r="G1025" s="383"/>
      <c r="H1025" s="383"/>
      <c r="I1025" s="383"/>
      <c r="J1025" s="383"/>
      <c r="K1025" s="383"/>
      <c r="L1025" s="383"/>
      <c r="M1025" s="438"/>
      <c r="N1025" s="392"/>
      <c r="O1025" s="438"/>
      <c r="P1025" s="475"/>
      <c r="Q1025" s="398"/>
      <c r="R1025" s="416" t="str">
        <f t="shared" si="67"/>
        <v>DELETE</v>
      </c>
    </row>
    <row r="1026" spans="2:18" ht="31.5" customHeight="1" x14ac:dyDescent="0.45">
      <c r="B1026" s="431"/>
      <c r="R1026" s="416" t="str">
        <f t="shared" si="67"/>
        <v>DELETE</v>
      </c>
    </row>
    <row r="1027" spans="2:18" ht="31.5" customHeight="1" x14ac:dyDescent="0.45">
      <c r="B1027" s="431"/>
      <c r="R1027" s="416" t="str">
        <f>R$1045</f>
        <v>DELETE</v>
      </c>
    </row>
    <row r="1028" spans="2:18" ht="31.5" customHeight="1" x14ac:dyDescent="0.45">
      <c r="B1028" s="431"/>
      <c r="D1028" s="369" t="str">
        <f>Criteria!E9</f>
        <v>ABC TRUST</v>
      </c>
      <c r="O1028" s="433" t="s">
        <v>105</v>
      </c>
      <c r="Q1028" s="370">
        <f>MAX($Q$114:Q1027)+1</f>
        <v>19</v>
      </c>
      <c r="R1028" s="416" t="str">
        <f t="shared" ref="R1028:R1037" si="68">R$1045</f>
        <v>DELETE</v>
      </c>
    </row>
    <row r="1029" spans="2:18" ht="31.5" customHeight="1" x14ac:dyDescent="0.45">
      <c r="B1029" s="431"/>
      <c r="D1029" s="369" t="str">
        <f>Criteria!E10</f>
        <v>T/A RENTAL PROPERTIES, SEAFRONT RESTAURANT AND SURF SHOP</v>
      </c>
      <c r="R1029" s="416" t="str">
        <f>IF(R$1045="DELETE","DELETE",IF(D1029=0,"DELETE"," "))</f>
        <v>DELETE</v>
      </c>
    </row>
    <row r="1030" spans="2:18" ht="31.5" customHeight="1" x14ac:dyDescent="0.45">
      <c r="B1030" s="431"/>
      <c r="R1030" s="416" t="str">
        <f t="shared" si="68"/>
        <v>DELETE</v>
      </c>
    </row>
    <row r="1031" spans="2:18" ht="31.5" customHeight="1" x14ac:dyDescent="0.45">
      <c r="B1031" s="431"/>
      <c r="D1031" s="369" t="s">
        <v>383</v>
      </c>
      <c r="R1031" s="416" t="str">
        <f t="shared" si="68"/>
        <v>DELETE</v>
      </c>
    </row>
    <row r="1032" spans="2:18" ht="31.5" customHeight="1" x14ac:dyDescent="0.45">
      <c r="B1032" s="431"/>
      <c r="D1032" s="369" t="str">
        <f>Criteria!E20</f>
        <v>29 FEBRUARY 2024</v>
      </c>
      <c r="J1032" s="368" t="s">
        <v>253</v>
      </c>
      <c r="R1032" s="416" t="str">
        <f t="shared" si="68"/>
        <v>DELETE</v>
      </c>
    </row>
    <row r="1033" spans="2:18" ht="31.5" customHeight="1" x14ac:dyDescent="0.45">
      <c r="B1033" s="431"/>
      <c r="R1033" s="416" t="str">
        <f t="shared" si="68"/>
        <v>DELETE</v>
      </c>
    </row>
    <row r="1034" spans="2:18" ht="31.5" customHeight="1" x14ac:dyDescent="0.45">
      <c r="B1034" s="463"/>
      <c r="C1034" s="386"/>
      <c r="D1034" s="386"/>
      <c r="E1034" s="386"/>
      <c r="F1034" s="386"/>
      <c r="G1034" s="386"/>
      <c r="H1034" s="386"/>
      <c r="I1034" s="386"/>
      <c r="J1034" s="386"/>
      <c r="K1034" s="386"/>
      <c r="L1034" s="386"/>
      <c r="M1034" s="480"/>
      <c r="N1034" s="481"/>
      <c r="O1034" s="480"/>
      <c r="P1034" s="481"/>
      <c r="Q1034" s="387"/>
      <c r="R1034" s="416" t="str">
        <f t="shared" si="68"/>
        <v>DELETE</v>
      </c>
    </row>
    <row r="1035" spans="2:18" ht="31.5" customHeight="1" x14ac:dyDescent="0.45">
      <c r="B1035" s="464"/>
      <c r="L1035" s="372"/>
      <c r="M1035" s="37"/>
      <c r="N1035" s="368"/>
      <c r="O1035" s="430">
        <f>Criteria!E22</f>
        <v>2024</v>
      </c>
      <c r="Q1035" s="389"/>
      <c r="R1035" s="416" t="str">
        <f t="shared" si="68"/>
        <v>DELETE</v>
      </c>
    </row>
    <row r="1036" spans="2:18" ht="31.5" customHeight="1" x14ac:dyDescent="0.45">
      <c r="B1036" s="464"/>
      <c r="L1036" s="372"/>
      <c r="M1036" s="37"/>
      <c r="N1036" s="368"/>
      <c r="Q1036" s="389"/>
      <c r="R1036" s="416" t="str">
        <f t="shared" si="68"/>
        <v>DELETE</v>
      </c>
    </row>
    <row r="1037" spans="2:18" ht="31.5" customHeight="1" x14ac:dyDescent="0.45">
      <c r="B1037" s="461">
        <f>MAX($B$429:B1036)+1</f>
        <v>11</v>
      </c>
      <c r="C1037" s="369" t="str">
        <f>IF(COUNTIF(TrialBalance!L292:L296,"&gt;0")&gt;1,"LISTED INVESTMENTS","LISTED INVESTMENT")</f>
        <v>LISTED INVESTMENT</v>
      </c>
      <c r="L1037" s="372"/>
      <c r="M1037" s="37"/>
      <c r="N1037" s="368"/>
      <c r="O1037" s="479"/>
      <c r="Q1037" s="389"/>
      <c r="R1037" s="416" t="str">
        <f t="shared" si="68"/>
        <v>DELETE</v>
      </c>
    </row>
    <row r="1038" spans="2:18" ht="31.5" customHeight="1" x14ac:dyDescent="0.45">
      <c r="B1038" s="461"/>
      <c r="C1038" s="369"/>
      <c r="D1038" s="368">
        <f>TrialBalance!C292</f>
        <v>0</v>
      </c>
      <c r="L1038" s="372"/>
      <c r="M1038" s="37"/>
      <c r="N1038" s="368"/>
      <c r="O1038" s="434">
        <f>TrialBalance!L292</f>
        <v>0</v>
      </c>
      <c r="Q1038" s="389"/>
      <c r="R1038" s="416" t="str">
        <f>IF(O1038=0,"DELETE"," ")</f>
        <v>DELETE</v>
      </c>
    </row>
    <row r="1039" spans="2:18" ht="31.5" customHeight="1" x14ac:dyDescent="0.45">
      <c r="B1039" s="461"/>
      <c r="C1039" s="369"/>
      <c r="D1039" s="368">
        <f>TrialBalance!C293</f>
        <v>0</v>
      </c>
      <c r="L1039" s="372"/>
      <c r="M1039" s="37"/>
      <c r="N1039" s="368"/>
      <c r="O1039" s="434">
        <f>TrialBalance!L293</f>
        <v>0</v>
      </c>
      <c r="Q1039" s="389"/>
      <c r="R1039" s="416" t="str">
        <f t="shared" ref="R1039:R1042" si="69">IF(O1039=0,"DELETE"," ")</f>
        <v>DELETE</v>
      </c>
    </row>
    <row r="1040" spans="2:18" ht="31.5" customHeight="1" x14ac:dyDescent="0.45">
      <c r="B1040" s="461"/>
      <c r="C1040" s="369"/>
      <c r="D1040" s="368">
        <f>TrialBalance!C294</f>
        <v>0</v>
      </c>
      <c r="L1040" s="372"/>
      <c r="M1040" s="37"/>
      <c r="N1040" s="368"/>
      <c r="O1040" s="434">
        <f>TrialBalance!L294</f>
        <v>0</v>
      </c>
      <c r="Q1040" s="389"/>
      <c r="R1040" s="416" t="str">
        <f t="shared" si="69"/>
        <v>DELETE</v>
      </c>
    </row>
    <row r="1041" spans="2:18" ht="31.5" customHeight="1" x14ac:dyDescent="0.45">
      <c r="B1041" s="461"/>
      <c r="C1041" s="369"/>
      <c r="D1041" s="368">
        <f>TrialBalance!C295</f>
        <v>0</v>
      </c>
      <c r="L1041" s="372"/>
      <c r="M1041" s="37"/>
      <c r="N1041" s="368"/>
      <c r="O1041" s="434">
        <f>TrialBalance!L295</f>
        <v>0</v>
      </c>
      <c r="Q1041" s="389"/>
      <c r="R1041" s="416" t="str">
        <f t="shared" si="69"/>
        <v>DELETE</v>
      </c>
    </row>
    <row r="1042" spans="2:18" ht="31.5" customHeight="1" x14ac:dyDescent="0.45">
      <c r="B1042" s="461"/>
      <c r="C1042" s="369"/>
      <c r="D1042" s="368">
        <f>TrialBalance!C296</f>
        <v>0</v>
      </c>
      <c r="L1042" s="372"/>
      <c r="M1042" s="37"/>
      <c r="N1042" s="368"/>
      <c r="O1042" s="434">
        <f>TrialBalance!L296</f>
        <v>0</v>
      </c>
      <c r="Q1042" s="389"/>
      <c r="R1042" s="416" t="str">
        <f t="shared" si="69"/>
        <v>DELETE</v>
      </c>
    </row>
    <row r="1043" spans="2:18" ht="9" customHeight="1" x14ac:dyDescent="0.45">
      <c r="B1043" s="461"/>
      <c r="C1043" s="369"/>
      <c r="L1043" s="372"/>
      <c r="M1043" s="37"/>
      <c r="N1043" s="368"/>
      <c r="O1043" s="438"/>
      <c r="Q1043" s="389"/>
      <c r="R1043" s="416" t="str">
        <f>R1045</f>
        <v>DELETE</v>
      </c>
    </row>
    <row r="1044" spans="2:18" ht="9" customHeight="1" x14ac:dyDescent="0.45">
      <c r="B1044" s="461"/>
      <c r="C1044" s="369"/>
      <c r="L1044" s="372"/>
      <c r="M1044" s="37"/>
      <c r="N1044" s="368"/>
      <c r="O1044" s="434"/>
      <c r="Q1044" s="389"/>
      <c r="R1044" s="416" t="str">
        <f>R1045</f>
        <v>DELETE</v>
      </c>
    </row>
    <row r="1045" spans="2:18" ht="31.5" customHeight="1" x14ac:dyDescent="0.45">
      <c r="B1045" s="461"/>
      <c r="C1045" s="369"/>
      <c r="L1045" s="372"/>
      <c r="M1045" s="37"/>
      <c r="N1045" s="368"/>
      <c r="O1045" s="434">
        <f>SUM(O1038:O1044)</f>
        <v>0</v>
      </c>
      <c r="Q1045" s="389"/>
      <c r="R1045" s="416" t="str">
        <f t="shared" ref="R1045" si="70">IF(O1045=0,"DELETE"," ")</f>
        <v>DELETE</v>
      </c>
    </row>
    <row r="1046" spans="2:18" ht="9" customHeight="1" thickBot="1" x14ac:dyDescent="0.5">
      <c r="B1046" s="461"/>
      <c r="C1046" s="369"/>
      <c r="L1046" s="372"/>
      <c r="M1046" s="37"/>
      <c r="N1046" s="368"/>
      <c r="O1046" s="439"/>
      <c r="Q1046" s="389"/>
      <c r="R1046" s="416" t="str">
        <f>R1045</f>
        <v>DELETE</v>
      </c>
    </row>
    <row r="1047" spans="2:18" ht="9" customHeight="1" thickTop="1" x14ac:dyDescent="0.45">
      <c r="B1047" s="461"/>
      <c r="C1047" s="369"/>
      <c r="L1047" s="372"/>
      <c r="M1047" s="37"/>
      <c r="N1047" s="368"/>
      <c r="O1047" s="441"/>
      <c r="Q1047" s="389"/>
      <c r="R1047" s="416" t="str">
        <f>R1046</f>
        <v>DELETE</v>
      </c>
    </row>
    <row r="1048" spans="2:18" ht="31.5" customHeight="1" x14ac:dyDescent="0.45">
      <c r="B1048" s="461"/>
      <c r="C1048" s="369"/>
      <c r="L1048" s="372"/>
      <c r="M1048" s="37"/>
      <c r="N1048" s="368"/>
      <c r="O1048" s="441"/>
      <c r="Q1048" s="389"/>
      <c r="R1048" s="416" t="str">
        <f t="shared" ref="R1048:R1050" si="71">R$1045</f>
        <v>DELETE</v>
      </c>
    </row>
    <row r="1049" spans="2:18" ht="31.5" customHeight="1" x14ac:dyDescent="0.45">
      <c r="B1049" s="461"/>
      <c r="C1049" s="369"/>
      <c r="L1049" s="372"/>
      <c r="M1049" s="37"/>
      <c r="N1049" s="368"/>
      <c r="O1049" s="441"/>
      <c r="Q1049" s="389"/>
      <c r="R1049" s="416" t="str">
        <f t="shared" si="71"/>
        <v>DELETE</v>
      </c>
    </row>
    <row r="1050" spans="2:18" ht="31.5" customHeight="1" x14ac:dyDescent="0.45">
      <c r="B1050" s="461"/>
      <c r="C1050" s="369"/>
      <c r="M1050" s="441"/>
      <c r="N1050" s="400"/>
      <c r="O1050" s="441"/>
      <c r="Q1050" s="389"/>
      <c r="R1050" s="416" t="str">
        <f t="shared" si="71"/>
        <v>DELETE</v>
      </c>
    </row>
    <row r="1051" spans="2:18" ht="31.5" customHeight="1" x14ac:dyDescent="0.45">
      <c r="B1051" s="462"/>
      <c r="C1051" s="407"/>
      <c r="D1051" s="383"/>
      <c r="E1051" s="383"/>
      <c r="F1051" s="383"/>
      <c r="G1051" s="383"/>
      <c r="H1051" s="383"/>
      <c r="I1051" s="383"/>
      <c r="J1051" s="383"/>
      <c r="K1051" s="383"/>
      <c r="L1051" s="383"/>
      <c r="M1051" s="438"/>
      <c r="N1051" s="392"/>
      <c r="O1051" s="438"/>
      <c r="P1051" s="475"/>
      <c r="Q1051" s="398"/>
      <c r="R1051" s="416" t="str">
        <f>R$1045</f>
        <v>DELETE</v>
      </c>
    </row>
    <row r="1052" spans="2:18" ht="31.5" customHeight="1" x14ac:dyDescent="0.45">
      <c r="B1052" s="445"/>
      <c r="C1052" s="369"/>
      <c r="M1052" s="434"/>
      <c r="N1052" s="390"/>
      <c r="O1052" s="434"/>
      <c r="R1052" s="416" t="str">
        <f>R$1045</f>
        <v>DELETE</v>
      </c>
    </row>
    <row r="1053" spans="2:18" ht="31.5" customHeight="1" x14ac:dyDescent="0.45">
      <c r="B1053" s="445"/>
      <c r="C1053" s="369"/>
      <c r="M1053" s="434"/>
      <c r="N1053" s="390"/>
      <c r="O1053" s="434"/>
      <c r="R1053" s="416" t="str">
        <f>R$1105</f>
        <v>DELETE</v>
      </c>
    </row>
    <row r="1054" spans="2:18" ht="31.5" customHeight="1" x14ac:dyDescent="0.45">
      <c r="B1054" s="431"/>
      <c r="D1054" s="369" t="str">
        <f>Criteria!E9</f>
        <v>ABC TRUST</v>
      </c>
      <c r="O1054" s="433" t="s">
        <v>105</v>
      </c>
      <c r="Q1054" s="370">
        <f>MAX($Q$114:Q1053)+1</f>
        <v>20</v>
      </c>
      <c r="R1054" s="416" t="str">
        <f>R$1105</f>
        <v>DELETE</v>
      </c>
    </row>
    <row r="1055" spans="2:18" ht="31.5" customHeight="1" x14ac:dyDescent="0.45">
      <c r="B1055" s="431"/>
      <c r="D1055" s="369" t="str">
        <f>Criteria!E10</f>
        <v>T/A RENTAL PROPERTIES, SEAFRONT RESTAURANT AND SURF SHOP</v>
      </c>
      <c r="R1055" s="416" t="str">
        <f>IF(R$1105="DELETE","DELETE",IF(D1055=0,"DELETE"," "))</f>
        <v>DELETE</v>
      </c>
    </row>
    <row r="1056" spans="2:18" ht="31.5" customHeight="1" x14ac:dyDescent="0.45">
      <c r="B1056" s="431"/>
      <c r="R1056" s="416" t="str">
        <f t="shared" ref="R1056:R1063" si="72">R$1105</f>
        <v>DELETE</v>
      </c>
    </row>
    <row r="1057" spans="2:22" ht="31.5" customHeight="1" x14ac:dyDescent="0.45">
      <c r="B1057" s="431"/>
      <c r="D1057" s="369" t="s">
        <v>383</v>
      </c>
      <c r="R1057" s="416" t="str">
        <f t="shared" si="72"/>
        <v>DELETE</v>
      </c>
    </row>
    <row r="1058" spans="2:22" ht="31.5" customHeight="1" x14ac:dyDescent="0.45">
      <c r="B1058" s="431"/>
      <c r="D1058" s="369" t="str">
        <f>Criteria!E20</f>
        <v>29 FEBRUARY 2024</v>
      </c>
      <c r="J1058" s="368" t="s">
        <v>253</v>
      </c>
      <c r="R1058" s="416" t="str">
        <f t="shared" si="72"/>
        <v>DELETE</v>
      </c>
    </row>
    <row r="1059" spans="2:22" ht="31.5" customHeight="1" x14ac:dyDescent="0.45">
      <c r="B1059" s="431"/>
      <c r="R1059" s="416" t="str">
        <f t="shared" si="72"/>
        <v>DELETE</v>
      </c>
    </row>
    <row r="1060" spans="2:22" ht="31.5" customHeight="1" x14ac:dyDescent="0.45">
      <c r="B1060" s="463"/>
      <c r="C1060" s="386"/>
      <c r="D1060" s="386"/>
      <c r="E1060" s="386"/>
      <c r="F1060" s="386"/>
      <c r="G1060" s="386"/>
      <c r="H1060" s="386"/>
      <c r="I1060" s="386"/>
      <c r="J1060" s="386"/>
      <c r="K1060" s="386"/>
      <c r="L1060" s="386"/>
      <c r="M1060" s="480"/>
      <c r="N1060" s="481"/>
      <c r="O1060" s="480"/>
      <c r="P1060" s="481"/>
      <c r="Q1060" s="387"/>
      <c r="R1060" s="416" t="str">
        <f t="shared" si="72"/>
        <v>DELETE</v>
      </c>
    </row>
    <row r="1061" spans="2:22" ht="31.5" customHeight="1" x14ac:dyDescent="0.45">
      <c r="B1061" s="464"/>
      <c r="L1061" s="372"/>
      <c r="M1061" s="37"/>
      <c r="N1061" s="368"/>
      <c r="O1061" s="430">
        <f>Criteria!E22</f>
        <v>2024</v>
      </c>
      <c r="Q1061" s="389"/>
      <c r="R1061" s="416" t="str">
        <f t="shared" si="72"/>
        <v>DELETE</v>
      </c>
    </row>
    <row r="1062" spans="2:22" ht="31.5" customHeight="1" x14ac:dyDescent="0.45">
      <c r="B1062" s="461"/>
      <c r="C1062" s="369"/>
      <c r="L1062" s="372"/>
      <c r="M1062" s="37"/>
      <c r="N1062" s="368"/>
      <c r="O1062" s="434"/>
      <c r="Q1062" s="389"/>
      <c r="R1062" s="416" t="str">
        <f t="shared" si="72"/>
        <v>DELETE</v>
      </c>
    </row>
    <row r="1063" spans="2:22" ht="31.5" customHeight="1" x14ac:dyDescent="0.45">
      <c r="B1063" s="461">
        <f>MAX($B$429:B1062)+1</f>
        <v>12</v>
      </c>
      <c r="C1063" s="369" t="str">
        <f>IF(COUNTIF(TrialBalance!L298:L324,"&gt;0")&gt;1,"OTHER INVESTMENTS","OTHER INVESTMENT")</f>
        <v>OTHER INVESTMENT</v>
      </c>
      <c r="D1063" s="372"/>
      <c r="L1063" s="372"/>
      <c r="M1063" s="37"/>
      <c r="N1063" s="368"/>
      <c r="O1063" s="434"/>
      <c r="Q1063" s="389"/>
      <c r="R1063" s="416" t="str">
        <f t="shared" si="72"/>
        <v>DELETE</v>
      </c>
      <c r="S1063" s="422"/>
      <c r="T1063" s="422"/>
      <c r="U1063" s="422"/>
      <c r="V1063" s="422"/>
    </row>
    <row r="1064" spans="2:22" ht="31.5" customHeight="1" x14ac:dyDescent="0.45">
      <c r="B1064" s="461"/>
      <c r="C1064" s="369"/>
      <c r="D1064" s="368" t="str">
        <f>IF(COUNTIF(TrialBalance!L298:L312,"&gt;0")&gt;1,"Shares in private companies","Shares in a private company")</f>
        <v>Shares in a private company</v>
      </c>
      <c r="L1064" s="372"/>
      <c r="M1064" s="37"/>
      <c r="N1064" s="368"/>
      <c r="O1064" s="434">
        <f>SUM(O1066:O1082)</f>
        <v>0</v>
      </c>
      <c r="Q1064" s="389"/>
      <c r="R1064" s="416" t="str">
        <f>IF(O1064=0,"DELETE"," ")</f>
        <v>DELETE</v>
      </c>
      <c r="S1064" s="422">
        <f>O1064</f>
        <v>0</v>
      </c>
      <c r="T1064" s="422"/>
      <c r="U1064" s="422"/>
      <c r="V1064" s="422"/>
    </row>
    <row r="1065" spans="2:22" ht="9" customHeight="1" x14ac:dyDescent="0.45">
      <c r="B1065" s="461"/>
      <c r="C1065" s="369"/>
      <c r="L1065" s="372"/>
      <c r="M1065" s="37"/>
      <c r="N1065" s="368"/>
      <c r="O1065" s="434"/>
      <c r="Q1065" s="389"/>
      <c r="R1065" s="416" t="str">
        <f>R1064</f>
        <v>DELETE</v>
      </c>
      <c r="S1065" s="422"/>
      <c r="T1065" s="422"/>
      <c r="U1065" s="422"/>
      <c r="V1065" s="422"/>
    </row>
    <row r="1066" spans="2:22" ht="9" customHeight="1" x14ac:dyDescent="0.45">
      <c r="B1066" s="461"/>
      <c r="C1066" s="369"/>
      <c r="L1066" s="372"/>
      <c r="M1066" s="37"/>
      <c r="N1066" s="368"/>
      <c r="O1066" s="455"/>
      <c r="Q1066" s="389"/>
      <c r="R1066" s="416" t="str">
        <f>R1064</f>
        <v>DELETE</v>
      </c>
      <c r="S1066" s="422"/>
      <c r="T1066" s="422"/>
      <c r="U1066" s="422"/>
      <c r="V1066" s="422"/>
    </row>
    <row r="1067" spans="2:22" ht="31.5" customHeight="1" x14ac:dyDescent="0.45">
      <c r="B1067" s="461"/>
      <c r="C1067" s="369"/>
      <c r="D1067" s="368">
        <f>TrialBalance!C298</f>
        <v>0</v>
      </c>
      <c r="L1067" s="372"/>
      <c r="M1067" s="37"/>
      <c r="N1067" s="368"/>
      <c r="O1067" s="456">
        <f>TrialBalance!L298</f>
        <v>0</v>
      </c>
      <c r="Q1067" s="389"/>
      <c r="R1067" s="416" t="str">
        <f t="shared" ref="R1067:R1081" si="73">IF(O1067=0,"DELETE"," ")</f>
        <v>DELETE</v>
      </c>
    </row>
    <row r="1068" spans="2:22" ht="31.5" customHeight="1" x14ac:dyDescent="0.45">
      <c r="B1068" s="461"/>
      <c r="C1068" s="369"/>
      <c r="D1068" s="368">
        <f>TrialBalance!C299</f>
        <v>0</v>
      </c>
      <c r="L1068" s="372"/>
      <c r="M1068" s="37"/>
      <c r="N1068" s="368"/>
      <c r="O1068" s="456">
        <f>TrialBalance!L299</f>
        <v>0</v>
      </c>
      <c r="Q1068" s="389"/>
      <c r="R1068" s="416" t="str">
        <f t="shared" si="73"/>
        <v>DELETE</v>
      </c>
    </row>
    <row r="1069" spans="2:22" ht="31.5" customHeight="1" x14ac:dyDescent="0.45">
      <c r="B1069" s="461"/>
      <c r="C1069" s="369"/>
      <c r="D1069" s="368">
        <f>TrialBalance!C300</f>
        <v>0</v>
      </c>
      <c r="L1069" s="372"/>
      <c r="M1069" s="37"/>
      <c r="N1069" s="368"/>
      <c r="O1069" s="456">
        <f>TrialBalance!L300</f>
        <v>0</v>
      </c>
      <c r="Q1069" s="389"/>
      <c r="R1069" s="416" t="str">
        <f t="shared" si="73"/>
        <v>DELETE</v>
      </c>
    </row>
    <row r="1070" spans="2:22" ht="31.5" customHeight="1" x14ac:dyDescent="0.45">
      <c r="B1070" s="461"/>
      <c r="C1070" s="369"/>
      <c r="D1070" s="368">
        <f>TrialBalance!C301</f>
        <v>0</v>
      </c>
      <c r="L1070" s="372"/>
      <c r="M1070" s="37"/>
      <c r="N1070" s="368"/>
      <c r="O1070" s="456">
        <f>TrialBalance!L301</f>
        <v>0</v>
      </c>
      <c r="Q1070" s="389"/>
      <c r="R1070" s="416" t="str">
        <f t="shared" si="73"/>
        <v>DELETE</v>
      </c>
    </row>
    <row r="1071" spans="2:22" ht="31.5" customHeight="1" x14ac:dyDescent="0.45">
      <c r="B1071" s="461"/>
      <c r="C1071" s="369"/>
      <c r="D1071" s="368">
        <f>TrialBalance!C302</f>
        <v>0</v>
      </c>
      <c r="L1071" s="372"/>
      <c r="M1071" s="37"/>
      <c r="N1071" s="368"/>
      <c r="O1071" s="456">
        <f>TrialBalance!L302</f>
        <v>0</v>
      </c>
      <c r="Q1071" s="389"/>
      <c r="R1071" s="416" t="str">
        <f t="shared" si="73"/>
        <v>DELETE</v>
      </c>
    </row>
    <row r="1072" spans="2:22" ht="31.5" customHeight="1" x14ac:dyDescent="0.45">
      <c r="B1072" s="461"/>
      <c r="C1072" s="369"/>
      <c r="D1072" s="368">
        <f>TrialBalance!C303</f>
        <v>0</v>
      </c>
      <c r="L1072" s="372"/>
      <c r="M1072" s="37"/>
      <c r="N1072" s="368"/>
      <c r="O1072" s="456">
        <f>TrialBalance!L303</f>
        <v>0</v>
      </c>
      <c r="Q1072" s="389"/>
      <c r="R1072" s="416" t="str">
        <f t="shared" si="73"/>
        <v>DELETE</v>
      </c>
    </row>
    <row r="1073" spans="2:20" ht="31.5" customHeight="1" x14ac:dyDescent="0.45">
      <c r="B1073" s="461"/>
      <c r="C1073" s="369"/>
      <c r="D1073" s="368">
        <f>TrialBalance!C304</f>
        <v>0</v>
      </c>
      <c r="L1073" s="372"/>
      <c r="M1073" s="37"/>
      <c r="N1073" s="368"/>
      <c r="O1073" s="456">
        <f>TrialBalance!L304</f>
        <v>0</v>
      </c>
      <c r="Q1073" s="389"/>
      <c r="R1073" s="416" t="str">
        <f t="shared" si="73"/>
        <v>DELETE</v>
      </c>
    </row>
    <row r="1074" spans="2:20" ht="31.5" customHeight="1" x14ac:dyDescent="0.45">
      <c r="B1074" s="461"/>
      <c r="C1074" s="369"/>
      <c r="D1074" s="368">
        <f>TrialBalance!C305</f>
        <v>0</v>
      </c>
      <c r="L1074" s="372"/>
      <c r="M1074" s="37"/>
      <c r="N1074" s="368"/>
      <c r="O1074" s="456">
        <f>TrialBalance!L305</f>
        <v>0</v>
      </c>
      <c r="Q1074" s="389"/>
      <c r="R1074" s="416" t="str">
        <f t="shared" si="73"/>
        <v>DELETE</v>
      </c>
    </row>
    <row r="1075" spans="2:20" ht="31.5" customHeight="1" x14ac:dyDescent="0.45">
      <c r="B1075" s="461"/>
      <c r="C1075" s="369"/>
      <c r="D1075" s="368">
        <f>TrialBalance!C306</f>
        <v>0</v>
      </c>
      <c r="L1075" s="372"/>
      <c r="M1075" s="37"/>
      <c r="N1075" s="368"/>
      <c r="O1075" s="456">
        <f>TrialBalance!L306</f>
        <v>0</v>
      </c>
      <c r="Q1075" s="389"/>
      <c r="R1075" s="416" t="str">
        <f t="shared" si="73"/>
        <v>DELETE</v>
      </c>
    </row>
    <row r="1076" spans="2:20" ht="31.5" customHeight="1" x14ac:dyDescent="0.45">
      <c r="B1076" s="461"/>
      <c r="C1076" s="369"/>
      <c r="D1076" s="368">
        <f>TrialBalance!C307</f>
        <v>0</v>
      </c>
      <c r="L1076" s="372"/>
      <c r="M1076" s="37"/>
      <c r="N1076" s="368"/>
      <c r="O1076" s="456">
        <f>TrialBalance!L307</f>
        <v>0</v>
      </c>
      <c r="Q1076" s="389"/>
      <c r="R1076" s="416" t="str">
        <f t="shared" si="73"/>
        <v>DELETE</v>
      </c>
    </row>
    <row r="1077" spans="2:20" ht="31.5" customHeight="1" x14ac:dyDescent="0.45">
      <c r="B1077" s="461"/>
      <c r="C1077" s="369"/>
      <c r="D1077" s="368">
        <f>TrialBalance!C308</f>
        <v>0</v>
      </c>
      <c r="L1077" s="372"/>
      <c r="M1077" s="37"/>
      <c r="N1077" s="368"/>
      <c r="O1077" s="456">
        <f>TrialBalance!L308</f>
        <v>0</v>
      </c>
      <c r="Q1077" s="389"/>
      <c r="R1077" s="416" t="str">
        <f t="shared" si="73"/>
        <v>DELETE</v>
      </c>
    </row>
    <row r="1078" spans="2:20" ht="31.5" customHeight="1" x14ac:dyDescent="0.45">
      <c r="B1078" s="461"/>
      <c r="C1078" s="369"/>
      <c r="D1078" s="368">
        <f>TrialBalance!C309</f>
        <v>0</v>
      </c>
      <c r="L1078" s="372"/>
      <c r="M1078" s="37"/>
      <c r="N1078" s="368"/>
      <c r="O1078" s="456">
        <f>TrialBalance!L309</f>
        <v>0</v>
      </c>
      <c r="Q1078" s="389"/>
      <c r="R1078" s="416" t="str">
        <f t="shared" si="73"/>
        <v>DELETE</v>
      </c>
    </row>
    <row r="1079" spans="2:20" ht="31.5" customHeight="1" x14ac:dyDescent="0.45">
      <c r="B1079" s="461"/>
      <c r="C1079" s="369"/>
      <c r="D1079" s="368">
        <f>TrialBalance!C310</f>
        <v>0</v>
      </c>
      <c r="L1079" s="372"/>
      <c r="M1079" s="37"/>
      <c r="N1079" s="368"/>
      <c r="O1079" s="456">
        <f>TrialBalance!L310</f>
        <v>0</v>
      </c>
      <c r="Q1079" s="389"/>
      <c r="R1079" s="416" t="str">
        <f t="shared" si="73"/>
        <v>DELETE</v>
      </c>
    </row>
    <row r="1080" spans="2:20" ht="31.5" customHeight="1" x14ac:dyDescent="0.45">
      <c r="B1080" s="461"/>
      <c r="C1080" s="369"/>
      <c r="D1080" s="368">
        <f>TrialBalance!C311</f>
        <v>0</v>
      </c>
      <c r="L1080" s="372"/>
      <c r="M1080" s="37"/>
      <c r="N1080" s="368"/>
      <c r="O1080" s="456">
        <f>TrialBalance!L311</f>
        <v>0</v>
      </c>
      <c r="Q1080" s="389"/>
      <c r="R1080" s="416" t="str">
        <f t="shared" si="73"/>
        <v>DELETE</v>
      </c>
    </row>
    <row r="1081" spans="2:20" ht="31.5" customHeight="1" x14ac:dyDescent="0.45">
      <c r="B1081" s="461"/>
      <c r="C1081" s="369"/>
      <c r="D1081" s="368">
        <f>TrialBalance!C312</f>
        <v>0</v>
      </c>
      <c r="L1081" s="372"/>
      <c r="M1081" s="37"/>
      <c r="N1081" s="368"/>
      <c r="O1081" s="456">
        <f>TrialBalance!L312</f>
        <v>0</v>
      </c>
      <c r="Q1081" s="389"/>
      <c r="R1081" s="416" t="str">
        <f t="shared" si="73"/>
        <v>DELETE</v>
      </c>
    </row>
    <row r="1082" spans="2:20" ht="9" customHeight="1" x14ac:dyDescent="0.45">
      <c r="B1082" s="461"/>
      <c r="C1082" s="369"/>
      <c r="L1082" s="372"/>
      <c r="M1082" s="37"/>
      <c r="N1082" s="368"/>
      <c r="O1082" s="457"/>
      <c r="Q1082" s="389"/>
      <c r="R1082" s="416" t="str">
        <f>R1064</f>
        <v>DELETE</v>
      </c>
    </row>
    <row r="1083" spans="2:20" ht="9" customHeight="1" x14ac:dyDescent="0.45">
      <c r="B1083" s="461"/>
      <c r="C1083" s="369"/>
      <c r="L1083" s="372"/>
      <c r="M1083" s="37"/>
      <c r="N1083" s="368"/>
      <c r="O1083" s="434"/>
      <c r="Q1083" s="389"/>
      <c r="R1083" s="416" t="str">
        <f>R1064</f>
        <v>DELETE</v>
      </c>
    </row>
    <row r="1084" spans="2:20" ht="31.5" customHeight="1" x14ac:dyDescent="0.45">
      <c r="B1084" s="461"/>
      <c r="C1084" s="369"/>
      <c r="D1084" s="368" t="str">
        <f>IF(COUNTIF(TrialBalance!L314:L318,"&gt;0")&gt;1,"Member's interest in Close Corporations","Member's interest in a Close Corporation")</f>
        <v>Member's interest in a Close Corporation</v>
      </c>
      <c r="L1084" s="372"/>
      <c r="M1084" s="37"/>
      <c r="N1084" s="368"/>
      <c r="O1084" s="434">
        <f>SUM(O1086:O1092)</f>
        <v>0</v>
      </c>
      <c r="Q1084" s="389"/>
      <c r="R1084" s="416" t="str">
        <f t="shared" ref="R1084" si="74">IF(O1084=0,"DELETE"," ")</f>
        <v>DELETE</v>
      </c>
      <c r="S1084" s="422">
        <f>O1084</f>
        <v>0</v>
      </c>
      <c r="T1084" s="422"/>
    </row>
    <row r="1085" spans="2:20" ht="9" customHeight="1" x14ac:dyDescent="0.45">
      <c r="B1085" s="461"/>
      <c r="C1085" s="369"/>
      <c r="L1085" s="372"/>
      <c r="M1085" s="37"/>
      <c r="N1085" s="368"/>
      <c r="O1085" s="434"/>
      <c r="Q1085" s="389"/>
      <c r="R1085" s="416" t="str">
        <f>R1084</f>
        <v>DELETE</v>
      </c>
    </row>
    <row r="1086" spans="2:20" ht="9" customHeight="1" x14ac:dyDescent="0.45">
      <c r="B1086" s="461"/>
      <c r="C1086" s="369"/>
      <c r="L1086" s="372"/>
      <c r="M1086" s="37"/>
      <c r="N1086" s="368"/>
      <c r="O1086" s="455"/>
      <c r="Q1086" s="389"/>
      <c r="R1086" s="416" t="str">
        <f>R1084</f>
        <v>DELETE</v>
      </c>
    </row>
    <row r="1087" spans="2:20" ht="31.5" customHeight="1" x14ac:dyDescent="0.45">
      <c r="B1087" s="461"/>
      <c r="C1087" s="369"/>
      <c r="D1087" s="368">
        <f>TrialBalance!C314</f>
        <v>0</v>
      </c>
      <c r="L1087" s="372"/>
      <c r="M1087" s="37"/>
      <c r="N1087" s="368"/>
      <c r="O1087" s="456">
        <f>TrialBalance!L314</f>
        <v>0</v>
      </c>
      <c r="Q1087" s="389"/>
      <c r="R1087" s="416" t="str">
        <f t="shared" ref="R1087:R1091" si="75">IF(O1087=0,"DELETE"," ")</f>
        <v>DELETE</v>
      </c>
    </row>
    <row r="1088" spans="2:20" ht="31.5" customHeight="1" x14ac:dyDescent="0.45">
      <c r="B1088" s="461"/>
      <c r="C1088" s="369"/>
      <c r="D1088" s="368">
        <f>TrialBalance!C315</f>
        <v>0</v>
      </c>
      <c r="L1088" s="372"/>
      <c r="M1088" s="37"/>
      <c r="N1088" s="368"/>
      <c r="O1088" s="456">
        <f>TrialBalance!L315</f>
        <v>0</v>
      </c>
      <c r="Q1088" s="389"/>
      <c r="R1088" s="416" t="str">
        <f t="shared" si="75"/>
        <v>DELETE</v>
      </c>
    </row>
    <row r="1089" spans="2:20" ht="31.5" customHeight="1" x14ac:dyDescent="0.45">
      <c r="B1089" s="461"/>
      <c r="C1089" s="369"/>
      <c r="D1089" s="368">
        <f>TrialBalance!C316</f>
        <v>0</v>
      </c>
      <c r="L1089" s="372"/>
      <c r="M1089" s="37"/>
      <c r="N1089" s="368"/>
      <c r="O1089" s="456">
        <f>TrialBalance!L316</f>
        <v>0</v>
      </c>
      <c r="Q1089" s="389"/>
      <c r="R1089" s="416" t="str">
        <f t="shared" si="75"/>
        <v>DELETE</v>
      </c>
    </row>
    <row r="1090" spans="2:20" ht="31.5" customHeight="1" x14ac:dyDescent="0.45">
      <c r="B1090" s="461"/>
      <c r="C1090" s="369"/>
      <c r="D1090" s="368">
        <f>TrialBalance!C317</f>
        <v>0</v>
      </c>
      <c r="L1090" s="372"/>
      <c r="M1090" s="37"/>
      <c r="N1090" s="368"/>
      <c r="O1090" s="456">
        <f>TrialBalance!L317</f>
        <v>0</v>
      </c>
      <c r="Q1090" s="389"/>
      <c r="R1090" s="416" t="str">
        <f t="shared" si="75"/>
        <v>DELETE</v>
      </c>
    </row>
    <row r="1091" spans="2:20" ht="31.5" customHeight="1" x14ac:dyDescent="0.45">
      <c r="B1091" s="461"/>
      <c r="C1091" s="369"/>
      <c r="D1091" s="368">
        <f>TrialBalance!C318</f>
        <v>0</v>
      </c>
      <c r="L1091" s="372"/>
      <c r="M1091" s="37"/>
      <c r="N1091" s="368"/>
      <c r="O1091" s="456">
        <f>TrialBalance!L318</f>
        <v>0</v>
      </c>
      <c r="Q1091" s="389"/>
      <c r="R1091" s="416" t="str">
        <f t="shared" si="75"/>
        <v>DELETE</v>
      </c>
    </row>
    <row r="1092" spans="2:20" ht="9" customHeight="1" x14ac:dyDescent="0.45">
      <c r="B1092" s="461"/>
      <c r="C1092" s="369"/>
      <c r="L1092" s="372"/>
      <c r="M1092" s="37"/>
      <c r="N1092" s="368"/>
      <c r="O1092" s="457"/>
      <c r="Q1092" s="389"/>
      <c r="R1092" s="416" t="str">
        <f>R1084</f>
        <v>DELETE</v>
      </c>
    </row>
    <row r="1093" spans="2:20" ht="9" customHeight="1" x14ac:dyDescent="0.45">
      <c r="B1093" s="461"/>
      <c r="C1093" s="369"/>
      <c r="L1093" s="372"/>
      <c r="M1093" s="37"/>
      <c r="N1093" s="368"/>
      <c r="O1093" s="434"/>
      <c r="Q1093" s="389"/>
      <c r="R1093" s="416" t="str">
        <f>R1084</f>
        <v>DELETE</v>
      </c>
    </row>
    <row r="1094" spans="2:20" ht="31.5" customHeight="1" x14ac:dyDescent="0.45">
      <c r="B1094" s="461"/>
      <c r="C1094" s="369"/>
      <c r="D1094" s="368" t="str">
        <f>IF(COUNTIF(TrialBalance!L320:L324,"&gt;0")&gt;1,"Other investments","Other investment")</f>
        <v>Other investment</v>
      </c>
      <c r="L1094" s="372"/>
      <c r="M1094" s="37"/>
      <c r="N1094" s="368"/>
      <c r="O1094" s="434">
        <f>SUM(O1096:O1102)</f>
        <v>0</v>
      </c>
      <c r="Q1094" s="389"/>
      <c r="R1094" s="416" t="str">
        <f t="shared" ref="R1094" si="76">IF(O1094=0,"DELETE"," ")</f>
        <v>DELETE</v>
      </c>
      <c r="S1094" s="422">
        <f>O1094</f>
        <v>0</v>
      </c>
      <c r="T1094" s="422"/>
    </row>
    <row r="1095" spans="2:20" ht="9" customHeight="1" x14ac:dyDescent="0.45">
      <c r="B1095" s="461"/>
      <c r="C1095" s="369"/>
      <c r="L1095" s="372"/>
      <c r="M1095" s="37"/>
      <c r="N1095" s="368"/>
      <c r="O1095" s="434"/>
      <c r="Q1095" s="389"/>
      <c r="R1095" s="416" t="str">
        <f>R1094</f>
        <v>DELETE</v>
      </c>
    </row>
    <row r="1096" spans="2:20" ht="9" customHeight="1" x14ac:dyDescent="0.45">
      <c r="B1096" s="461"/>
      <c r="C1096" s="369"/>
      <c r="L1096" s="372"/>
      <c r="M1096" s="37"/>
      <c r="N1096" s="368"/>
      <c r="O1096" s="455"/>
      <c r="Q1096" s="389"/>
      <c r="R1096" s="416" t="str">
        <f>R1094</f>
        <v>DELETE</v>
      </c>
    </row>
    <row r="1097" spans="2:20" ht="31.5" customHeight="1" x14ac:dyDescent="0.45">
      <c r="B1097" s="461"/>
      <c r="C1097" s="369"/>
      <c r="D1097" s="368">
        <f>TrialBalance!C320</f>
        <v>0</v>
      </c>
      <c r="L1097" s="372"/>
      <c r="M1097" s="37"/>
      <c r="N1097" s="368"/>
      <c r="O1097" s="456">
        <f>TrialBalance!L320</f>
        <v>0</v>
      </c>
      <c r="Q1097" s="389"/>
      <c r="R1097" s="416" t="str">
        <f t="shared" ref="R1097:R1101" si="77">IF(O1097=0,"DELETE"," ")</f>
        <v>DELETE</v>
      </c>
    </row>
    <row r="1098" spans="2:20" ht="31.5" customHeight="1" x14ac:dyDescent="0.45">
      <c r="B1098" s="461"/>
      <c r="C1098" s="369"/>
      <c r="D1098" s="368">
        <f>TrialBalance!C321</f>
        <v>0</v>
      </c>
      <c r="L1098" s="372"/>
      <c r="M1098" s="37"/>
      <c r="N1098" s="368"/>
      <c r="O1098" s="456">
        <f>TrialBalance!L321</f>
        <v>0</v>
      </c>
      <c r="Q1098" s="389"/>
      <c r="R1098" s="416" t="str">
        <f t="shared" si="77"/>
        <v>DELETE</v>
      </c>
    </row>
    <row r="1099" spans="2:20" ht="31.5" customHeight="1" x14ac:dyDescent="0.45">
      <c r="B1099" s="461"/>
      <c r="C1099" s="369"/>
      <c r="D1099" s="368">
        <f>TrialBalance!C322</f>
        <v>0</v>
      </c>
      <c r="L1099" s="372"/>
      <c r="M1099" s="37"/>
      <c r="N1099" s="368"/>
      <c r="O1099" s="456">
        <f>TrialBalance!L322</f>
        <v>0</v>
      </c>
      <c r="Q1099" s="389"/>
      <c r="R1099" s="416" t="str">
        <f t="shared" si="77"/>
        <v>DELETE</v>
      </c>
    </row>
    <row r="1100" spans="2:20" ht="31.5" customHeight="1" x14ac:dyDescent="0.45">
      <c r="B1100" s="461"/>
      <c r="C1100" s="369"/>
      <c r="D1100" s="368">
        <f>TrialBalance!C323</f>
        <v>0</v>
      </c>
      <c r="L1100" s="372"/>
      <c r="M1100" s="37"/>
      <c r="N1100" s="368"/>
      <c r="O1100" s="456">
        <f>TrialBalance!L323</f>
        <v>0</v>
      </c>
      <c r="Q1100" s="389"/>
      <c r="R1100" s="416" t="str">
        <f t="shared" si="77"/>
        <v>DELETE</v>
      </c>
    </row>
    <row r="1101" spans="2:20" ht="31.5" customHeight="1" x14ac:dyDescent="0.45">
      <c r="B1101" s="461"/>
      <c r="C1101" s="369"/>
      <c r="D1101" s="368">
        <f>TrialBalance!C324</f>
        <v>0</v>
      </c>
      <c r="L1101" s="372"/>
      <c r="M1101" s="37"/>
      <c r="N1101" s="368"/>
      <c r="O1101" s="456">
        <f>TrialBalance!L324</f>
        <v>0</v>
      </c>
      <c r="Q1101" s="389"/>
      <c r="R1101" s="416" t="str">
        <f t="shared" si="77"/>
        <v>DELETE</v>
      </c>
    </row>
    <row r="1102" spans="2:20" ht="9" customHeight="1" x14ac:dyDescent="0.45">
      <c r="B1102" s="461"/>
      <c r="C1102" s="369"/>
      <c r="L1102" s="372"/>
      <c r="M1102" s="37"/>
      <c r="N1102" s="368"/>
      <c r="O1102" s="457"/>
      <c r="Q1102" s="389"/>
      <c r="R1102" s="416" t="str">
        <f>R1094</f>
        <v>DELETE</v>
      </c>
    </row>
    <row r="1103" spans="2:20" ht="9" customHeight="1" x14ac:dyDescent="0.45">
      <c r="B1103" s="461"/>
      <c r="C1103" s="369"/>
      <c r="L1103" s="372"/>
      <c r="M1103" s="37"/>
      <c r="N1103" s="368"/>
      <c r="O1103" s="447"/>
      <c r="Q1103" s="389"/>
      <c r="R1103" s="416" t="str">
        <f>R1105</f>
        <v>DELETE</v>
      </c>
    </row>
    <row r="1104" spans="2:20" ht="9" customHeight="1" x14ac:dyDescent="0.45">
      <c r="B1104" s="461"/>
      <c r="C1104" s="369"/>
      <c r="L1104" s="372"/>
      <c r="M1104" s="37"/>
      <c r="N1104" s="368"/>
      <c r="O1104" s="434"/>
      <c r="Q1104" s="389"/>
      <c r="R1104" s="416" t="str">
        <f>R1105</f>
        <v>DELETE</v>
      </c>
    </row>
    <row r="1105" spans="2:22" ht="31.5" customHeight="1" x14ac:dyDescent="0.45">
      <c r="B1105" s="461"/>
      <c r="C1105" s="369"/>
      <c r="L1105" s="372"/>
      <c r="M1105" s="37"/>
      <c r="N1105" s="368"/>
      <c r="O1105" s="434">
        <f>SUM(S1064:S1101)</f>
        <v>0</v>
      </c>
      <c r="Q1105" s="389"/>
      <c r="R1105" s="416" t="str">
        <f t="shared" ref="R1105" si="78">IF(O1105=0,"DELETE"," ")</f>
        <v>DELETE</v>
      </c>
      <c r="U1105" s="426"/>
      <c r="V1105" s="426"/>
    </row>
    <row r="1106" spans="2:22" ht="9" customHeight="1" thickBot="1" x14ac:dyDescent="0.5">
      <c r="B1106" s="461"/>
      <c r="C1106" s="369"/>
      <c r="L1106" s="372"/>
      <c r="M1106" s="37"/>
      <c r="N1106" s="368"/>
      <c r="O1106" s="439"/>
      <c r="Q1106" s="389"/>
      <c r="R1106" s="416" t="str">
        <f>R1105</f>
        <v>DELETE</v>
      </c>
    </row>
    <row r="1107" spans="2:22" ht="9" customHeight="1" thickTop="1" x14ac:dyDescent="0.45">
      <c r="B1107" s="461"/>
      <c r="C1107" s="369"/>
      <c r="L1107" s="372"/>
      <c r="M1107" s="37"/>
      <c r="N1107" s="368"/>
      <c r="O1107" s="441"/>
      <c r="Q1107" s="389"/>
      <c r="R1107" s="416" t="str">
        <f>R1106</f>
        <v>DELETE</v>
      </c>
    </row>
    <row r="1108" spans="2:22" ht="31.5" customHeight="1" x14ac:dyDescent="0.45">
      <c r="B1108" s="461"/>
      <c r="C1108" s="369"/>
      <c r="M1108" s="434"/>
      <c r="N1108" s="390"/>
      <c r="O1108" s="434"/>
      <c r="Q1108" s="389"/>
      <c r="R1108" s="416" t="str">
        <f t="shared" ref="R1108:R1112" si="79">R$1105</f>
        <v>DELETE</v>
      </c>
    </row>
    <row r="1109" spans="2:22" ht="31.5" customHeight="1" x14ac:dyDescent="0.45">
      <c r="B1109" s="461"/>
      <c r="C1109" s="369"/>
      <c r="M1109" s="434"/>
      <c r="N1109" s="390"/>
      <c r="O1109" s="434"/>
      <c r="Q1109" s="389"/>
      <c r="R1109" s="416" t="str">
        <f t="shared" si="79"/>
        <v>DELETE</v>
      </c>
    </row>
    <row r="1110" spans="2:22" ht="31.5" customHeight="1" x14ac:dyDescent="0.45">
      <c r="B1110" s="461"/>
      <c r="C1110" s="369"/>
      <c r="M1110" s="434"/>
      <c r="N1110" s="390"/>
      <c r="O1110" s="434"/>
      <c r="Q1110" s="389"/>
      <c r="R1110" s="416" t="str">
        <f t="shared" si="79"/>
        <v>DELETE</v>
      </c>
    </row>
    <row r="1111" spans="2:22" ht="31.5" customHeight="1" x14ac:dyDescent="0.45">
      <c r="B1111" s="462"/>
      <c r="C1111" s="407"/>
      <c r="D1111" s="383"/>
      <c r="E1111" s="383"/>
      <c r="F1111" s="383"/>
      <c r="G1111" s="383"/>
      <c r="H1111" s="383"/>
      <c r="I1111" s="383"/>
      <c r="J1111" s="383"/>
      <c r="K1111" s="383"/>
      <c r="L1111" s="383"/>
      <c r="M1111" s="438"/>
      <c r="N1111" s="392"/>
      <c r="O1111" s="438"/>
      <c r="P1111" s="475"/>
      <c r="Q1111" s="398"/>
      <c r="R1111" s="416" t="str">
        <f t="shared" si="79"/>
        <v>DELETE</v>
      </c>
    </row>
    <row r="1112" spans="2:22" ht="31.5" customHeight="1" x14ac:dyDescent="0.45">
      <c r="B1112" s="445"/>
      <c r="C1112" s="369"/>
      <c r="M1112" s="434"/>
      <c r="N1112" s="390"/>
      <c r="O1112" s="434"/>
      <c r="R1112" s="416" t="str">
        <f t="shared" si="79"/>
        <v>DELETE</v>
      </c>
    </row>
    <row r="1113" spans="2:22" ht="31.5" customHeight="1" x14ac:dyDescent="0.45">
      <c r="B1113" s="445"/>
      <c r="C1113" s="369"/>
      <c r="M1113" s="434"/>
      <c r="N1113" s="390"/>
      <c r="O1113" s="434"/>
      <c r="R1113" s="416" t="str">
        <f>R$1129</f>
        <v>DELETE</v>
      </c>
    </row>
    <row r="1114" spans="2:22" ht="31.5" customHeight="1" x14ac:dyDescent="0.45">
      <c r="B1114" s="431"/>
      <c r="D1114" s="369" t="str">
        <f>Criteria!E9</f>
        <v>ABC TRUST</v>
      </c>
      <c r="O1114" s="433" t="s">
        <v>105</v>
      </c>
      <c r="Q1114" s="370">
        <f>MAX($Q$114:Q1113)+1</f>
        <v>21</v>
      </c>
      <c r="R1114" s="416" t="str">
        <f>R$1129</f>
        <v>DELETE</v>
      </c>
    </row>
    <row r="1115" spans="2:22" ht="31.5" customHeight="1" x14ac:dyDescent="0.45">
      <c r="B1115" s="431"/>
      <c r="D1115" s="369" t="str">
        <f>Criteria!E10</f>
        <v>T/A RENTAL PROPERTIES, SEAFRONT RESTAURANT AND SURF SHOP</v>
      </c>
      <c r="R1115" s="416" t="str">
        <f>IF(R$1129="DELETE","DELETE",IF(D1115=0,"DELETE"," "))</f>
        <v>DELETE</v>
      </c>
    </row>
    <row r="1116" spans="2:22" ht="31.5" customHeight="1" x14ac:dyDescent="0.45">
      <c r="B1116" s="431"/>
      <c r="R1116" s="416" t="str">
        <f t="shared" ref="R1116:R1123" si="80">R$1129</f>
        <v>DELETE</v>
      </c>
    </row>
    <row r="1117" spans="2:22" ht="31.5" customHeight="1" x14ac:dyDescent="0.45">
      <c r="B1117" s="431"/>
      <c r="D1117" s="369" t="s">
        <v>383</v>
      </c>
      <c r="R1117" s="416" t="str">
        <f t="shared" si="80"/>
        <v>DELETE</v>
      </c>
    </row>
    <row r="1118" spans="2:22" ht="31.5" customHeight="1" x14ac:dyDescent="0.45">
      <c r="B1118" s="431"/>
      <c r="D1118" s="369" t="str">
        <f>Criteria!E20</f>
        <v>29 FEBRUARY 2024</v>
      </c>
      <c r="J1118" s="368" t="s">
        <v>253</v>
      </c>
      <c r="R1118" s="416" t="str">
        <f t="shared" si="80"/>
        <v>DELETE</v>
      </c>
    </row>
    <row r="1119" spans="2:22" ht="31.5" customHeight="1" x14ac:dyDescent="0.45">
      <c r="B1119" s="431"/>
      <c r="R1119" s="416" t="str">
        <f t="shared" si="80"/>
        <v>DELETE</v>
      </c>
    </row>
    <row r="1120" spans="2:22" ht="31.5" customHeight="1" x14ac:dyDescent="0.45">
      <c r="B1120" s="463"/>
      <c r="C1120" s="386"/>
      <c r="D1120" s="386"/>
      <c r="E1120" s="386"/>
      <c r="F1120" s="386"/>
      <c r="G1120" s="386"/>
      <c r="H1120" s="386"/>
      <c r="I1120" s="386"/>
      <c r="J1120" s="386"/>
      <c r="K1120" s="386"/>
      <c r="L1120" s="386"/>
      <c r="M1120" s="480"/>
      <c r="N1120" s="481"/>
      <c r="O1120" s="480"/>
      <c r="P1120" s="481"/>
      <c r="Q1120" s="387"/>
      <c r="R1120" s="416" t="str">
        <f t="shared" si="80"/>
        <v>DELETE</v>
      </c>
    </row>
    <row r="1121" spans="2:18" ht="31.5" customHeight="1" x14ac:dyDescent="0.45">
      <c r="B1121" s="464"/>
      <c r="M1121" s="37"/>
      <c r="N1121" s="409"/>
      <c r="O1121" s="448">
        <f>Criteria!E22</f>
        <v>2024</v>
      </c>
      <c r="P1121" s="478"/>
      <c r="Q1121" s="389"/>
      <c r="R1121" s="416" t="str">
        <f t="shared" si="80"/>
        <v>DELETE</v>
      </c>
    </row>
    <row r="1122" spans="2:18" ht="31.5" customHeight="1" x14ac:dyDescent="0.45">
      <c r="B1122" s="461"/>
      <c r="C1122" s="369"/>
      <c r="M1122" s="441"/>
      <c r="N1122" s="400"/>
      <c r="O1122" s="441"/>
      <c r="P1122" s="478"/>
      <c r="Q1122" s="389"/>
      <c r="R1122" s="416" t="str">
        <f t="shared" si="80"/>
        <v>DELETE</v>
      </c>
    </row>
    <row r="1123" spans="2:18" ht="31.5" customHeight="1" x14ac:dyDescent="0.45">
      <c r="B1123" s="461">
        <f>MAX($B$429:B1122)+1</f>
        <v>13</v>
      </c>
      <c r="C1123" s="369" t="s">
        <v>934</v>
      </c>
      <c r="M1123" s="441"/>
      <c r="N1123" s="400"/>
      <c r="O1123" s="441"/>
      <c r="P1123" s="478"/>
      <c r="Q1123" s="389"/>
      <c r="R1123" s="416" t="str">
        <f t="shared" si="80"/>
        <v>DELETE</v>
      </c>
    </row>
    <row r="1124" spans="2:18" ht="31.5" customHeight="1" x14ac:dyDescent="0.45">
      <c r="B1124" s="461"/>
      <c r="C1124" s="369"/>
      <c r="D1124" s="368">
        <f>TrialBalance!C349</f>
        <v>0</v>
      </c>
      <c r="L1124" s="372"/>
      <c r="M1124" s="37"/>
      <c r="N1124" s="368"/>
      <c r="O1124" s="441">
        <f>TrialBalance!L349</f>
        <v>0</v>
      </c>
      <c r="P1124" s="478"/>
      <c r="Q1124" s="389"/>
      <c r="R1124" s="416" t="str">
        <f>IF(O1124=0,"DELETE"," ")</f>
        <v>DELETE</v>
      </c>
    </row>
    <row r="1125" spans="2:18" ht="31.5" customHeight="1" x14ac:dyDescent="0.45">
      <c r="B1125" s="461"/>
      <c r="C1125" s="369"/>
      <c r="D1125" s="368">
        <f>TrialBalance!C350</f>
        <v>0</v>
      </c>
      <c r="L1125" s="372"/>
      <c r="M1125" s="37"/>
      <c r="N1125" s="368"/>
      <c r="O1125" s="441">
        <f>TrialBalance!L350</f>
        <v>0</v>
      </c>
      <c r="P1125" s="478"/>
      <c r="Q1125" s="389"/>
      <c r="R1125" s="416" t="str">
        <f t="shared" ref="R1125:R1126" si="81">IF(O1125=0,"DELETE"," ")</f>
        <v>DELETE</v>
      </c>
    </row>
    <row r="1126" spans="2:18" ht="31.5" customHeight="1" x14ac:dyDescent="0.45">
      <c r="B1126" s="461"/>
      <c r="C1126" s="369"/>
      <c r="D1126" s="368">
        <f>TrialBalance!C351</f>
        <v>0</v>
      </c>
      <c r="L1126" s="372"/>
      <c r="M1126" s="37"/>
      <c r="N1126" s="368"/>
      <c r="O1126" s="441">
        <f>TrialBalance!L351</f>
        <v>0</v>
      </c>
      <c r="P1126" s="478"/>
      <c r="Q1126" s="389"/>
      <c r="R1126" s="416" t="str">
        <f t="shared" si="81"/>
        <v>DELETE</v>
      </c>
    </row>
    <row r="1127" spans="2:18" ht="9" customHeight="1" x14ac:dyDescent="0.45">
      <c r="B1127" s="461"/>
      <c r="C1127" s="369"/>
      <c r="L1127" s="372"/>
      <c r="M1127" s="37"/>
      <c r="N1127" s="368"/>
      <c r="O1127" s="438"/>
      <c r="P1127" s="478"/>
      <c r="Q1127" s="389"/>
      <c r="R1127" s="416" t="str">
        <f>R1129</f>
        <v>DELETE</v>
      </c>
    </row>
    <row r="1128" spans="2:18" ht="9" customHeight="1" x14ac:dyDescent="0.45">
      <c r="B1128" s="461"/>
      <c r="C1128" s="369"/>
      <c r="L1128" s="372"/>
      <c r="M1128" s="37"/>
      <c r="N1128" s="368"/>
      <c r="O1128" s="441"/>
      <c r="P1128" s="478"/>
      <c r="Q1128" s="389"/>
      <c r="R1128" s="416" t="str">
        <f>R1129</f>
        <v>DELETE</v>
      </c>
    </row>
    <row r="1129" spans="2:18" ht="31.5" customHeight="1" x14ac:dyDescent="0.45">
      <c r="B1129" s="461"/>
      <c r="C1129" s="369"/>
      <c r="L1129" s="372"/>
      <c r="M1129" s="37"/>
      <c r="N1129" s="368"/>
      <c r="O1129" s="441">
        <f>SUM(O1124:O1127)</f>
        <v>0</v>
      </c>
      <c r="P1129" s="478"/>
      <c r="Q1129" s="389"/>
      <c r="R1129" s="416" t="str">
        <f t="shared" ref="R1129" si="82">IF(O1129=0,"DELETE"," ")</f>
        <v>DELETE</v>
      </c>
    </row>
    <row r="1130" spans="2:18" ht="9" customHeight="1" thickBot="1" x14ac:dyDescent="0.5">
      <c r="B1130" s="461"/>
      <c r="C1130" s="369"/>
      <c r="L1130" s="372"/>
      <c r="M1130" s="37"/>
      <c r="N1130" s="368"/>
      <c r="O1130" s="439"/>
      <c r="P1130" s="478"/>
      <c r="Q1130" s="389"/>
      <c r="R1130" s="416" t="str">
        <f>R1129</f>
        <v>DELETE</v>
      </c>
    </row>
    <row r="1131" spans="2:18" ht="9" customHeight="1" thickTop="1" x14ac:dyDescent="0.45">
      <c r="B1131" s="461"/>
      <c r="C1131" s="369"/>
      <c r="L1131" s="372"/>
      <c r="M1131" s="37"/>
      <c r="N1131" s="368"/>
      <c r="O1131" s="441"/>
      <c r="P1131" s="478"/>
      <c r="Q1131" s="389"/>
      <c r="R1131" s="416" t="str">
        <f>R1129</f>
        <v>DELETE</v>
      </c>
    </row>
    <row r="1132" spans="2:18" ht="31.5" customHeight="1" x14ac:dyDescent="0.45">
      <c r="B1132" s="461"/>
      <c r="C1132" s="369"/>
      <c r="L1132" s="372"/>
      <c r="M1132" s="37"/>
      <c r="N1132" s="368"/>
      <c r="O1132" s="441"/>
      <c r="P1132" s="478"/>
      <c r="Q1132" s="389"/>
      <c r="R1132" s="416" t="str">
        <f t="shared" ref="R1132:R1135" si="83">R$1129</f>
        <v>DELETE</v>
      </c>
    </row>
    <row r="1133" spans="2:18" ht="31.5" customHeight="1" x14ac:dyDescent="0.45">
      <c r="B1133" s="461"/>
      <c r="C1133" s="369"/>
      <c r="M1133" s="441"/>
      <c r="N1133" s="400"/>
      <c r="O1133" s="441"/>
      <c r="P1133" s="478"/>
      <c r="Q1133" s="389"/>
      <c r="R1133" s="416" t="str">
        <f t="shared" si="83"/>
        <v>DELETE</v>
      </c>
    </row>
    <row r="1134" spans="2:18" ht="31.5" customHeight="1" x14ac:dyDescent="0.45">
      <c r="B1134" s="462"/>
      <c r="C1134" s="407"/>
      <c r="D1134" s="383"/>
      <c r="E1134" s="383"/>
      <c r="F1134" s="383"/>
      <c r="G1134" s="383"/>
      <c r="H1134" s="383"/>
      <c r="I1134" s="383"/>
      <c r="J1134" s="383"/>
      <c r="K1134" s="383"/>
      <c r="L1134" s="383"/>
      <c r="M1134" s="438"/>
      <c r="N1134" s="392"/>
      <c r="O1134" s="438"/>
      <c r="P1134" s="475"/>
      <c r="Q1134" s="398"/>
      <c r="R1134" s="416" t="str">
        <f t="shared" si="83"/>
        <v>DELETE</v>
      </c>
    </row>
    <row r="1135" spans="2:18" ht="31.5" customHeight="1" x14ac:dyDescent="0.45">
      <c r="B1135" s="445"/>
      <c r="C1135" s="369"/>
      <c r="M1135" s="434"/>
      <c r="N1135" s="390"/>
      <c r="O1135" s="434"/>
      <c r="R1135" s="416" t="str">
        <f t="shared" si="83"/>
        <v>DELETE</v>
      </c>
    </row>
    <row r="1136" spans="2:18" ht="31.5" customHeight="1" x14ac:dyDescent="0.45">
      <c r="B1136" s="431"/>
      <c r="M1136" s="479"/>
      <c r="N1136" s="469"/>
      <c r="O1136" s="479"/>
      <c r="R1136" s="416" t="str">
        <f>R$1175</f>
        <v>DELETE</v>
      </c>
    </row>
    <row r="1137" spans="2:19" ht="31.5" customHeight="1" x14ac:dyDescent="0.45">
      <c r="B1137" s="431"/>
      <c r="D1137" s="369" t="str">
        <f>Criteria!E9</f>
        <v>ABC TRUST</v>
      </c>
      <c r="M1137" s="479"/>
      <c r="N1137" s="469"/>
      <c r="O1137" s="434" t="s">
        <v>105</v>
      </c>
      <c r="Q1137" s="370">
        <f>MAX($Q$114:Q1136)+1</f>
        <v>22</v>
      </c>
      <c r="R1137" s="416" t="str">
        <f t="shared" ref="R1137:R1146" si="84">R$1175</f>
        <v>DELETE</v>
      </c>
    </row>
    <row r="1138" spans="2:19" ht="31.5" customHeight="1" x14ac:dyDescent="0.45">
      <c r="B1138" s="431"/>
      <c r="D1138" s="369" t="str">
        <f>Criteria!E10</f>
        <v>T/A RENTAL PROPERTIES, SEAFRONT RESTAURANT AND SURF SHOP</v>
      </c>
      <c r="M1138" s="479"/>
      <c r="N1138" s="469"/>
      <c r="O1138" s="479"/>
      <c r="R1138" s="416" t="str">
        <f>IF(R$1175="DELETE","DELETE",IF(D1138=0,"DELETE"," "))</f>
        <v>DELETE</v>
      </c>
    </row>
    <row r="1139" spans="2:19" ht="31.5" customHeight="1" x14ac:dyDescent="0.45">
      <c r="B1139" s="431"/>
      <c r="M1139" s="479"/>
      <c r="N1139" s="469"/>
      <c r="O1139" s="479"/>
      <c r="R1139" s="416" t="str">
        <f t="shared" si="84"/>
        <v>DELETE</v>
      </c>
    </row>
    <row r="1140" spans="2:19" ht="31.5" customHeight="1" x14ac:dyDescent="0.45">
      <c r="B1140" s="431"/>
      <c r="D1140" s="369" t="s">
        <v>383</v>
      </c>
      <c r="M1140" s="479"/>
      <c r="N1140" s="469"/>
      <c r="O1140" s="479"/>
      <c r="R1140" s="416" t="str">
        <f t="shared" si="84"/>
        <v>DELETE</v>
      </c>
    </row>
    <row r="1141" spans="2:19" ht="31.5" customHeight="1" x14ac:dyDescent="0.45">
      <c r="B1141" s="431"/>
      <c r="D1141" s="369" t="str">
        <f>Criteria!E20</f>
        <v>29 FEBRUARY 2024</v>
      </c>
      <c r="J1141" s="368" t="s">
        <v>253</v>
      </c>
      <c r="M1141" s="479"/>
      <c r="N1141" s="469"/>
      <c r="O1141" s="479"/>
      <c r="R1141" s="416" t="str">
        <f t="shared" si="84"/>
        <v>DELETE</v>
      </c>
    </row>
    <row r="1142" spans="2:19" ht="31.5" customHeight="1" x14ac:dyDescent="0.45">
      <c r="B1142" s="431"/>
      <c r="M1142" s="482"/>
      <c r="N1142" s="483"/>
      <c r="O1142" s="482"/>
      <c r="R1142" s="416" t="str">
        <f t="shared" si="84"/>
        <v>DELETE</v>
      </c>
    </row>
    <row r="1143" spans="2:19" ht="31.5" customHeight="1" x14ac:dyDescent="0.45">
      <c r="B1143" s="463"/>
      <c r="C1143" s="386"/>
      <c r="D1143" s="386"/>
      <c r="E1143" s="386"/>
      <c r="F1143" s="386"/>
      <c r="G1143" s="386"/>
      <c r="H1143" s="386"/>
      <c r="I1143" s="386"/>
      <c r="J1143" s="386"/>
      <c r="K1143" s="386"/>
      <c r="L1143" s="386"/>
      <c r="M1143" s="484"/>
      <c r="N1143" s="485"/>
      <c r="O1143" s="484"/>
      <c r="P1143" s="481"/>
      <c r="Q1143" s="387"/>
      <c r="R1143" s="416" t="str">
        <f t="shared" si="84"/>
        <v>DELETE</v>
      </c>
    </row>
    <row r="1144" spans="2:19" ht="31.5" customHeight="1" x14ac:dyDescent="0.45">
      <c r="B1144" s="461"/>
      <c r="C1144" s="369"/>
      <c r="L1144" s="372"/>
      <c r="M1144" s="37"/>
      <c r="N1144" s="368"/>
      <c r="O1144" s="430">
        <f>Criteria!E22</f>
        <v>2024</v>
      </c>
      <c r="Q1144" s="389"/>
      <c r="R1144" s="416" t="str">
        <f t="shared" si="84"/>
        <v>DELETE</v>
      </c>
    </row>
    <row r="1145" spans="2:19" ht="31.5" customHeight="1" x14ac:dyDescent="0.45">
      <c r="B1145" s="461"/>
      <c r="C1145" s="369"/>
      <c r="L1145" s="372"/>
      <c r="M1145" s="37"/>
      <c r="N1145" s="368"/>
      <c r="O1145" s="434"/>
      <c r="Q1145" s="389"/>
      <c r="R1145" s="416" t="str">
        <f t="shared" si="84"/>
        <v>DELETE</v>
      </c>
    </row>
    <row r="1146" spans="2:19" ht="31.5" customHeight="1" x14ac:dyDescent="0.45">
      <c r="B1146" s="461">
        <f>MAX($B$429:B1145)+1</f>
        <v>14</v>
      </c>
      <c r="C1146" s="369" t="str">
        <f>IF(COUNTIF(TrialBalance!L326:L347,"&gt;0")&gt;1,"NON - CURRENT RECEIVABLES","NON - CURRENT RECEIVABLE")</f>
        <v>NON - CURRENT RECEIVABLE</v>
      </c>
      <c r="L1146" s="372"/>
      <c r="M1146" s="37"/>
      <c r="N1146" s="368"/>
      <c r="O1146" s="434"/>
      <c r="Q1146" s="389"/>
      <c r="R1146" s="416" t="str">
        <f t="shared" si="84"/>
        <v>DELETE</v>
      </c>
    </row>
    <row r="1147" spans="2:19" ht="31.5" customHeight="1" x14ac:dyDescent="0.45">
      <c r="B1147" s="461"/>
      <c r="C1147" s="369"/>
      <c r="D1147" s="368" t="str">
        <f>IF(COUNTIF(O1150:O1157,"&gt;0")&gt;1,"Interest bearing non - current receivables","Interest bearing non - current receivable")</f>
        <v>Interest bearing non - current receivable</v>
      </c>
      <c r="L1147" s="372"/>
      <c r="M1147" s="37"/>
      <c r="N1147" s="368"/>
      <c r="O1147" s="434">
        <f>SUM(O1149:O1158)</f>
        <v>0</v>
      </c>
      <c r="Q1147" s="389"/>
      <c r="R1147" s="416" t="str">
        <f>IF(O1147=0,"DELETE"," ")</f>
        <v>DELETE</v>
      </c>
      <c r="S1147" s="421">
        <f>O1147</f>
        <v>0</v>
      </c>
    </row>
    <row r="1148" spans="2:19" ht="9" customHeight="1" x14ac:dyDescent="0.45">
      <c r="B1148" s="461"/>
      <c r="C1148" s="369"/>
      <c r="L1148" s="372"/>
      <c r="M1148" s="37"/>
      <c r="N1148" s="368"/>
      <c r="O1148" s="434"/>
      <c r="Q1148" s="389"/>
      <c r="R1148" s="416" t="str">
        <f>R1147</f>
        <v>DELETE</v>
      </c>
    </row>
    <row r="1149" spans="2:19" ht="9" customHeight="1" x14ac:dyDescent="0.45">
      <c r="B1149" s="461"/>
      <c r="C1149" s="369"/>
      <c r="L1149" s="372"/>
      <c r="M1149" s="37"/>
      <c r="N1149" s="368"/>
      <c r="O1149" s="455"/>
      <c r="Q1149" s="389"/>
      <c r="R1149" s="416" t="str">
        <f>R1148</f>
        <v>DELETE</v>
      </c>
    </row>
    <row r="1150" spans="2:19" ht="31.5" customHeight="1" x14ac:dyDescent="0.45">
      <c r="B1150" s="461"/>
      <c r="C1150" s="369"/>
      <c r="D1150" s="368">
        <f>TrialBalance!C327</f>
        <v>0</v>
      </c>
      <c r="L1150" s="372"/>
      <c r="M1150" s="37"/>
      <c r="N1150" s="368"/>
      <c r="O1150" s="456">
        <f>TrialBalance!L327</f>
        <v>0</v>
      </c>
      <c r="Q1150" s="389"/>
      <c r="R1150" s="416" t="str">
        <f t="shared" ref="R1150:R1157" si="85">IF(O1150=0,"DELETE"," ")</f>
        <v>DELETE</v>
      </c>
    </row>
    <row r="1151" spans="2:19" ht="31.5" customHeight="1" x14ac:dyDescent="0.45">
      <c r="B1151" s="461"/>
      <c r="C1151" s="369"/>
      <c r="D1151" s="368">
        <f>TrialBalance!C328</f>
        <v>0</v>
      </c>
      <c r="L1151" s="372"/>
      <c r="M1151" s="37"/>
      <c r="N1151" s="368"/>
      <c r="O1151" s="456">
        <f>TrialBalance!L328</f>
        <v>0</v>
      </c>
      <c r="Q1151" s="389"/>
      <c r="R1151" s="416" t="str">
        <f t="shared" si="85"/>
        <v>DELETE</v>
      </c>
    </row>
    <row r="1152" spans="2:19" ht="31.5" customHeight="1" x14ac:dyDescent="0.45">
      <c r="B1152" s="461"/>
      <c r="C1152" s="369"/>
      <c r="D1152" s="368">
        <f>TrialBalance!C329</f>
        <v>0</v>
      </c>
      <c r="L1152" s="372"/>
      <c r="M1152" s="37"/>
      <c r="N1152" s="368"/>
      <c r="O1152" s="456">
        <f>TrialBalance!L329</f>
        <v>0</v>
      </c>
      <c r="Q1152" s="389"/>
      <c r="R1152" s="416" t="str">
        <f t="shared" si="85"/>
        <v>DELETE</v>
      </c>
    </row>
    <row r="1153" spans="2:19" ht="31.5" customHeight="1" x14ac:dyDescent="0.45">
      <c r="B1153" s="461"/>
      <c r="C1153" s="369"/>
      <c r="D1153" s="368">
        <f>TrialBalance!C330</f>
        <v>0</v>
      </c>
      <c r="L1153" s="372"/>
      <c r="M1153" s="37"/>
      <c r="N1153" s="368"/>
      <c r="O1153" s="456">
        <f>TrialBalance!L330</f>
        <v>0</v>
      </c>
      <c r="Q1153" s="389"/>
      <c r="R1153" s="416" t="str">
        <f t="shared" si="85"/>
        <v>DELETE</v>
      </c>
    </row>
    <row r="1154" spans="2:19" ht="31.5" customHeight="1" x14ac:dyDescent="0.45">
      <c r="B1154" s="461"/>
      <c r="C1154" s="369"/>
      <c r="D1154" s="368">
        <f>TrialBalance!C338</f>
        <v>0</v>
      </c>
      <c r="L1154" s="372"/>
      <c r="M1154" s="37"/>
      <c r="N1154" s="368"/>
      <c r="O1154" s="456">
        <f>TrialBalance!L338</f>
        <v>0</v>
      </c>
      <c r="Q1154" s="389"/>
      <c r="R1154" s="416" t="str">
        <f t="shared" si="85"/>
        <v>DELETE</v>
      </c>
    </row>
    <row r="1155" spans="2:19" ht="31.5" customHeight="1" x14ac:dyDescent="0.45">
      <c r="B1155" s="461"/>
      <c r="C1155" s="369"/>
      <c r="D1155" s="368">
        <f>TrialBalance!C339</f>
        <v>0</v>
      </c>
      <c r="L1155" s="372"/>
      <c r="M1155" s="37"/>
      <c r="N1155" s="368"/>
      <c r="O1155" s="456">
        <f>TrialBalance!L339</f>
        <v>0</v>
      </c>
      <c r="Q1155" s="389"/>
      <c r="R1155" s="416" t="str">
        <f t="shared" si="85"/>
        <v>DELETE</v>
      </c>
    </row>
    <row r="1156" spans="2:19" ht="31.5" customHeight="1" x14ac:dyDescent="0.45">
      <c r="B1156" s="461"/>
      <c r="C1156" s="369"/>
      <c r="D1156" s="368">
        <f>TrialBalance!C340</f>
        <v>0</v>
      </c>
      <c r="L1156" s="372"/>
      <c r="M1156" s="37"/>
      <c r="N1156" s="368"/>
      <c r="O1156" s="456">
        <f>TrialBalance!L340</f>
        <v>0</v>
      </c>
      <c r="Q1156" s="389"/>
      <c r="R1156" s="416" t="str">
        <f t="shared" si="85"/>
        <v>DELETE</v>
      </c>
    </row>
    <row r="1157" spans="2:19" ht="31.5" customHeight="1" x14ac:dyDescent="0.45">
      <c r="B1157" s="461"/>
      <c r="C1157" s="369"/>
      <c r="D1157" s="368">
        <f>TrialBalance!C341</f>
        <v>0</v>
      </c>
      <c r="L1157" s="372"/>
      <c r="M1157" s="37"/>
      <c r="N1157" s="368"/>
      <c r="O1157" s="456">
        <f>TrialBalance!L341</f>
        <v>0</v>
      </c>
      <c r="Q1157" s="389"/>
      <c r="R1157" s="416" t="str">
        <f t="shared" si="85"/>
        <v>DELETE</v>
      </c>
    </row>
    <row r="1158" spans="2:19" ht="9" customHeight="1" x14ac:dyDescent="0.45">
      <c r="B1158" s="461"/>
      <c r="C1158" s="369"/>
      <c r="L1158" s="372"/>
      <c r="M1158" s="37"/>
      <c r="N1158" s="368"/>
      <c r="O1158" s="457"/>
      <c r="Q1158" s="389"/>
      <c r="R1158" s="416" t="str">
        <f>R1147</f>
        <v>DELETE</v>
      </c>
    </row>
    <row r="1159" spans="2:19" ht="9" customHeight="1" x14ac:dyDescent="0.45">
      <c r="B1159" s="461"/>
      <c r="C1159" s="369"/>
      <c r="L1159" s="372"/>
      <c r="M1159" s="37"/>
      <c r="N1159" s="368"/>
      <c r="O1159" s="434"/>
      <c r="Q1159" s="389"/>
      <c r="R1159" s="416" t="str">
        <f>R1158</f>
        <v>DELETE</v>
      </c>
    </row>
    <row r="1160" spans="2:19" ht="31.5" customHeight="1" x14ac:dyDescent="0.45">
      <c r="B1160" s="461"/>
      <c r="C1160" s="369"/>
      <c r="D1160" s="368" t="str">
        <f>IF(COUNTIF(O1163:O1171,"&gt;0")&gt;1,"Interest free non - current receivables","Interest free non - current receivable")</f>
        <v>Interest free non - current receivable</v>
      </c>
      <c r="L1160" s="372"/>
      <c r="M1160" s="37"/>
      <c r="N1160" s="368"/>
      <c r="O1160" s="434">
        <f>SUM(O1162:O1172)</f>
        <v>0</v>
      </c>
      <c r="Q1160" s="389"/>
      <c r="R1160" s="416" t="str">
        <f t="shared" ref="R1160" si="86">IF(O1160=0,"DELETE"," ")</f>
        <v>DELETE</v>
      </c>
      <c r="S1160" s="421">
        <f>O1160</f>
        <v>0</v>
      </c>
    </row>
    <row r="1161" spans="2:19" ht="9" customHeight="1" x14ac:dyDescent="0.45">
      <c r="B1161" s="461"/>
      <c r="C1161" s="369"/>
      <c r="L1161" s="372"/>
      <c r="M1161" s="37"/>
      <c r="N1161" s="368"/>
      <c r="O1161" s="434"/>
      <c r="Q1161" s="389"/>
      <c r="R1161" s="416" t="str">
        <f>R1160</f>
        <v>DELETE</v>
      </c>
    </row>
    <row r="1162" spans="2:19" ht="9" customHeight="1" x14ac:dyDescent="0.45">
      <c r="B1162" s="461"/>
      <c r="C1162" s="369"/>
      <c r="L1162" s="372"/>
      <c r="M1162" s="37"/>
      <c r="N1162" s="368"/>
      <c r="O1162" s="455"/>
      <c r="Q1162" s="389"/>
      <c r="R1162" s="416" t="str">
        <f>R1161</f>
        <v>DELETE</v>
      </c>
    </row>
    <row r="1163" spans="2:19" ht="31.5" customHeight="1" x14ac:dyDescent="0.45">
      <c r="B1163" s="461"/>
      <c r="C1163" s="369"/>
      <c r="D1163" s="368">
        <f>TrialBalance!C332</f>
        <v>0</v>
      </c>
      <c r="L1163" s="372"/>
      <c r="M1163" s="37"/>
      <c r="N1163" s="368"/>
      <c r="O1163" s="456">
        <f>TrialBalance!L332</f>
        <v>0</v>
      </c>
      <c r="Q1163" s="389"/>
      <c r="R1163" s="416" t="str">
        <f t="shared" ref="R1163:R1171" si="87">IF(O1163=0,"DELETE"," ")</f>
        <v>DELETE</v>
      </c>
    </row>
    <row r="1164" spans="2:19" ht="31.5" customHeight="1" x14ac:dyDescent="0.45">
      <c r="B1164" s="461"/>
      <c r="C1164" s="369"/>
      <c r="D1164" s="368">
        <f>TrialBalance!C333</f>
        <v>0</v>
      </c>
      <c r="L1164" s="372"/>
      <c r="M1164" s="37"/>
      <c r="N1164" s="368"/>
      <c r="O1164" s="456">
        <f>TrialBalance!L333</f>
        <v>0</v>
      </c>
      <c r="Q1164" s="389"/>
      <c r="R1164" s="416" t="str">
        <f t="shared" si="87"/>
        <v>DELETE</v>
      </c>
    </row>
    <row r="1165" spans="2:19" ht="31.5" customHeight="1" x14ac:dyDescent="0.45">
      <c r="B1165" s="461"/>
      <c r="C1165" s="369"/>
      <c r="D1165" s="368">
        <f>TrialBalance!C334</f>
        <v>0</v>
      </c>
      <c r="L1165" s="372"/>
      <c r="M1165" s="37"/>
      <c r="N1165" s="368"/>
      <c r="O1165" s="456">
        <f>TrialBalance!L334</f>
        <v>0</v>
      </c>
      <c r="Q1165" s="389"/>
      <c r="R1165" s="416" t="str">
        <f t="shared" si="87"/>
        <v>DELETE</v>
      </c>
    </row>
    <row r="1166" spans="2:19" ht="31.5" customHeight="1" x14ac:dyDescent="0.45">
      <c r="B1166" s="461"/>
      <c r="C1166" s="369"/>
      <c r="D1166" s="368">
        <f>TrialBalance!C335</f>
        <v>0</v>
      </c>
      <c r="L1166" s="372"/>
      <c r="M1166" s="37"/>
      <c r="N1166" s="368"/>
      <c r="O1166" s="456">
        <f>TrialBalance!L335</f>
        <v>0</v>
      </c>
      <c r="Q1166" s="389"/>
      <c r="R1166" s="416" t="str">
        <f t="shared" si="87"/>
        <v>DELETE</v>
      </c>
    </row>
    <row r="1167" spans="2:19" ht="31.5" customHeight="1" x14ac:dyDescent="0.45">
      <c r="B1167" s="461"/>
      <c r="C1167" s="369"/>
      <c r="D1167" s="368">
        <f>TrialBalance!C343</f>
        <v>0</v>
      </c>
      <c r="L1167" s="372"/>
      <c r="M1167" s="37"/>
      <c r="N1167" s="368"/>
      <c r="O1167" s="456">
        <f>TrialBalance!L343</f>
        <v>0</v>
      </c>
      <c r="Q1167" s="389"/>
      <c r="R1167" s="416" t="str">
        <f t="shared" si="87"/>
        <v>DELETE</v>
      </c>
    </row>
    <row r="1168" spans="2:19" ht="31.5" customHeight="1" x14ac:dyDescent="0.45">
      <c r="B1168" s="461"/>
      <c r="C1168" s="369"/>
      <c r="D1168" s="368">
        <f>TrialBalance!C344</f>
        <v>0</v>
      </c>
      <c r="L1168" s="372"/>
      <c r="M1168" s="37"/>
      <c r="N1168" s="368"/>
      <c r="O1168" s="456">
        <f>TrialBalance!L344</f>
        <v>0</v>
      </c>
      <c r="Q1168" s="389"/>
      <c r="R1168" s="416" t="str">
        <f t="shared" si="87"/>
        <v>DELETE</v>
      </c>
    </row>
    <row r="1169" spans="2:18" ht="31.5" customHeight="1" x14ac:dyDescent="0.45">
      <c r="B1169" s="461"/>
      <c r="C1169" s="369"/>
      <c r="D1169" s="368">
        <f>TrialBalance!C345</f>
        <v>0</v>
      </c>
      <c r="L1169" s="372"/>
      <c r="M1169" s="37"/>
      <c r="N1169" s="368"/>
      <c r="O1169" s="456">
        <f>TrialBalance!L345</f>
        <v>0</v>
      </c>
      <c r="Q1169" s="389"/>
      <c r="R1169" s="416" t="str">
        <f t="shared" si="87"/>
        <v>DELETE</v>
      </c>
    </row>
    <row r="1170" spans="2:18" ht="31.5" customHeight="1" x14ac:dyDescent="0.45">
      <c r="B1170" s="461"/>
      <c r="C1170" s="369"/>
      <c r="D1170" s="368">
        <f>TrialBalance!C346</f>
        <v>0</v>
      </c>
      <c r="L1170" s="372"/>
      <c r="M1170" s="37"/>
      <c r="N1170" s="368"/>
      <c r="O1170" s="456">
        <f>TrialBalance!L346</f>
        <v>0</v>
      </c>
      <c r="Q1170" s="389"/>
      <c r="R1170" s="416" t="str">
        <f t="shared" si="87"/>
        <v>DELETE</v>
      </c>
    </row>
    <row r="1171" spans="2:18" ht="31.5" customHeight="1" x14ac:dyDescent="0.45">
      <c r="B1171" s="461"/>
      <c r="C1171" s="369"/>
      <c r="D1171" s="368">
        <f>TrialBalance!C347</f>
        <v>0</v>
      </c>
      <c r="L1171" s="372"/>
      <c r="M1171" s="37"/>
      <c r="N1171" s="368"/>
      <c r="O1171" s="456">
        <f>TrialBalance!L347</f>
        <v>0</v>
      </c>
      <c r="Q1171" s="389"/>
      <c r="R1171" s="416" t="str">
        <f t="shared" si="87"/>
        <v>DELETE</v>
      </c>
    </row>
    <row r="1172" spans="2:18" ht="9" customHeight="1" x14ac:dyDescent="0.45">
      <c r="B1172" s="461"/>
      <c r="C1172" s="369"/>
      <c r="L1172" s="372"/>
      <c r="M1172" s="37"/>
      <c r="N1172" s="368"/>
      <c r="O1172" s="457"/>
      <c r="Q1172" s="389"/>
      <c r="R1172" s="416" t="str">
        <f>R1160</f>
        <v>DELETE</v>
      </c>
    </row>
    <row r="1173" spans="2:18" ht="9" customHeight="1" x14ac:dyDescent="0.45">
      <c r="B1173" s="461"/>
      <c r="C1173" s="369"/>
      <c r="L1173" s="372"/>
      <c r="M1173" s="37"/>
      <c r="N1173" s="368"/>
      <c r="O1173" s="438"/>
      <c r="Q1173" s="389"/>
      <c r="R1173" s="416" t="str">
        <f t="shared" ref="R1173" si="88">R$1175</f>
        <v>DELETE</v>
      </c>
    </row>
    <row r="1174" spans="2:18" ht="9" customHeight="1" x14ac:dyDescent="0.45">
      <c r="B1174" s="461"/>
      <c r="C1174" s="369"/>
      <c r="L1174" s="372"/>
      <c r="M1174" s="37"/>
      <c r="N1174" s="368"/>
      <c r="O1174" s="434"/>
      <c r="Q1174" s="389"/>
      <c r="R1174" s="416" t="str">
        <f>R$1175</f>
        <v>DELETE</v>
      </c>
    </row>
    <row r="1175" spans="2:18" ht="31.5" customHeight="1" x14ac:dyDescent="0.45">
      <c r="B1175" s="461"/>
      <c r="C1175" s="369"/>
      <c r="L1175" s="372"/>
      <c r="M1175" s="37"/>
      <c r="N1175" s="368"/>
      <c r="O1175" s="434">
        <f>SUM(S1147:S1173)</f>
        <v>0</v>
      </c>
      <c r="Q1175" s="389"/>
      <c r="R1175" s="416" t="str">
        <f t="shared" ref="R1175" si="89">IF(O1175=0,"DELETE"," ")</f>
        <v>DELETE</v>
      </c>
    </row>
    <row r="1176" spans="2:18" ht="9" customHeight="1" thickBot="1" x14ac:dyDescent="0.5">
      <c r="B1176" s="461"/>
      <c r="C1176" s="369"/>
      <c r="L1176" s="372"/>
      <c r="M1176" s="37"/>
      <c r="N1176" s="368"/>
      <c r="O1176" s="439"/>
      <c r="Q1176" s="389"/>
      <c r="R1176" s="416" t="str">
        <f t="shared" ref="R1176:R1181" si="90">R$1175</f>
        <v>DELETE</v>
      </c>
    </row>
    <row r="1177" spans="2:18" ht="9" customHeight="1" thickTop="1" x14ac:dyDescent="0.45">
      <c r="B1177" s="461"/>
      <c r="C1177" s="369"/>
      <c r="L1177" s="372"/>
      <c r="M1177" s="37"/>
      <c r="N1177" s="368"/>
      <c r="O1177" s="441"/>
      <c r="Q1177" s="389"/>
      <c r="R1177" s="416" t="str">
        <f t="shared" si="90"/>
        <v>DELETE</v>
      </c>
    </row>
    <row r="1178" spans="2:18" ht="31.5" customHeight="1" x14ac:dyDescent="0.45">
      <c r="B1178" s="461"/>
      <c r="C1178" s="369"/>
      <c r="L1178" s="372"/>
      <c r="M1178" s="37"/>
      <c r="N1178" s="368"/>
      <c r="O1178" s="434"/>
      <c r="Q1178" s="389"/>
      <c r="R1178" s="416" t="str">
        <f t="shared" si="90"/>
        <v>DELETE</v>
      </c>
    </row>
    <row r="1179" spans="2:18" ht="31.5" customHeight="1" x14ac:dyDescent="0.45">
      <c r="B1179" s="461"/>
      <c r="C1179" s="369"/>
      <c r="M1179" s="434"/>
      <c r="N1179" s="390"/>
      <c r="O1179" s="434"/>
      <c r="Q1179" s="389"/>
      <c r="R1179" s="416" t="str">
        <f t="shared" si="90"/>
        <v>DELETE</v>
      </c>
    </row>
    <row r="1180" spans="2:18" ht="31.5" customHeight="1" x14ac:dyDescent="0.45">
      <c r="B1180" s="462"/>
      <c r="C1180" s="407"/>
      <c r="D1180" s="383"/>
      <c r="E1180" s="383"/>
      <c r="F1180" s="383"/>
      <c r="G1180" s="383"/>
      <c r="H1180" s="383"/>
      <c r="I1180" s="383"/>
      <c r="J1180" s="383"/>
      <c r="K1180" s="383"/>
      <c r="L1180" s="383"/>
      <c r="M1180" s="438"/>
      <c r="N1180" s="392"/>
      <c r="O1180" s="438"/>
      <c r="P1180" s="475"/>
      <c r="Q1180" s="398"/>
      <c r="R1180" s="416" t="str">
        <f t="shared" si="90"/>
        <v>DELETE</v>
      </c>
    </row>
    <row r="1181" spans="2:18" ht="31.5" customHeight="1" x14ac:dyDescent="0.45">
      <c r="B1181" s="431"/>
      <c r="M1181" s="479"/>
      <c r="N1181" s="469"/>
      <c r="O1181" s="479"/>
      <c r="R1181" s="416" t="str">
        <f t="shared" si="90"/>
        <v>DELETE</v>
      </c>
    </row>
    <row r="1182" spans="2:18" ht="31.5" customHeight="1" x14ac:dyDescent="0.45">
      <c r="B1182" s="431"/>
      <c r="M1182" s="479"/>
      <c r="N1182" s="469"/>
      <c r="O1182" s="479"/>
      <c r="R1182" s="416" t="str">
        <f>R$1200</f>
        <v>DELETE</v>
      </c>
    </row>
    <row r="1183" spans="2:18" ht="31.5" customHeight="1" x14ac:dyDescent="0.45">
      <c r="B1183" s="431"/>
      <c r="D1183" s="369" t="str">
        <f>Criteria!E9</f>
        <v>ABC TRUST</v>
      </c>
      <c r="M1183" s="479"/>
      <c r="N1183" s="469"/>
      <c r="O1183" s="434" t="s">
        <v>105</v>
      </c>
      <c r="Q1183" s="370">
        <f>MAX($Q$114:Q1182)+1</f>
        <v>23</v>
      </c>
      <c r="R1183" s="416" t="str">
        <f t="shared" ref="R1183:R1193" si="91">R$1200</f>
        <v>DELETE</v>
      </c>
    </row>
    <row r="1184" spans="2:18" ht="31.5" customHeight="1" x14ac:dyDescent="0.45">
      <c r="B1184" s="431"/>
      <c r="D1184" s="369" t="str">
        <f>Criteria!E10</f>
        <v>T/A RENTAL PROPERTIES, SEAFRONT RESTAURANT AND SURF SHOP</v>
      </c>
      <c r="M1184" s="479"/>
      <c r="N1184" s="469"/>
      <c r="O1184" s="479"/>
      <c r="R1184" s="416" t="str">
        <f>IF(R$1200="DELETE","DELETE",IF(D1184=0,"DELETE"," "))</f>
        <v>DELETE</v>
      </c>
    </row>
    <row r="1185" spans="2:18" ht="31.5" customHeight="1" x14ac:dyDescent="0.45">
      <c r="B1185" s="431"/>
      <c r="M1185" s="479"/>
      <c r="N1185" s="469"/>
      <c r="O1185" s="479"/>
      <c r="R1185" s="416" t="str">
        <f t="shared" si="91"/>
        <v>DELETE</v>
      </c>
    </row>
    <row r="1186" spans="2:18" ht="31.5" customHeight="1" x14ac:dyDescent="0.45">
      <c r="B1186" s="431"/>
      <c r="D1186" s="369" t="s">
        <v>383</v>
      </c>
      <c r="M1186" s="479"/>
      <c r="N1186" s="469"/>
      <c r="O1186" s="479"/>
      <c r="R1186" s="416" t="str">
        <f t="shared" si="91"/>
        <v>DELETE</v>
      </c>
    </row>
    <row r="1187" spans="2:18" ht="31.5" customHeight="1" x14ac:dyDescent="0.45">
      <c r="B1187" s="431"/>
      <c r="D1187" s="369" t="str">
        <f>Criteria!E20</f>
        <v>29 FEBRUARY 2024</v>
      </c>
      <c r="J1187" s="368" t="s">
        <v>253</v>
      </c>
      <c r="M1187" s="479"/>
      <c r="N1187" s="469"/>
      <c r="O1187" s="479"/>
      <c r="R1187" s="416" t="str">
        <f t="shared" si="91"/>
        <v>DELETE</v>
      </c>
    </row>
    <row r="1188" spans="2:18" ht="31.5" customHeight="1" x14ac:dyDescent="0.45">
      <c r="B1188" s="431"/>
      <c r="D1188" s="369"/>
      <c r="M1188" s="479"/>
      <c r="N1188" s="469"/>
      <c r="O1188" s="479"/>
      <c r="R1188" s="416" t="str">
        <f t="shared" si="91"/>
        <v>DELETE</v>
      </c>
    </row>
    <row r="1189" spans="2:18" ht="31.5" customHeight="1" x14ac:dyDescent="0.45">
      <c r="B1189" s="465"/>
      <c r="C1189" s="410"/>
      <c r="D1189" s="386"/>
      <c r="E1189" s="386"/>
      <c r="F1189" s="386"/>
      <c r="G1189" s="386"/>
      <c r="H1189" s="386"/>
      <c r="I1189" s="386"/>
      <c r="J1189" s="386"/>
      <c r="K1189" s="386"/>
      <c r="L1189" s="386"/>
      <c r="M1189" s="446"/>
      <c r="N1189" s="391"/>
      <c r="O1189" s="446"/>
      <c r="P1189" s="481"/>
      <c r="Q1189" s="387"/>
      <c r="R1189" s="416" t="str">
        <f t="shared" si="91"/>
        <v>DELETE</v>
      </c>
    </row>
    <row r="1190" spans="2:18" ht="31.5" customHeight="1" x14ac:dyDescent="0.45">
      <c r="B1190" s="461"/>
      <c r="C1190" s="369"/>
      <c r="L1190" s="372"/>
      <c r="M1190" s="37"/>
      <c r="N1190" s="368"/>
      <c r="O1190" s="430">
        <f>Criteria!E22</f>
        <v>2024</v>
      </c>
      <c r="Q1190" s="389"/>
      <c r="R1190" s="416" t="str">
        <f t="shared" si="91"/>
        <v>DELETE</v>
      </c>
    </row>
    <row r="1191" spans="2:18" ht="31.5" customHeight="1" x14ac:dyDescent="0.45">
      <c r="B1191" s="461"/>
      <c r="C1191" s="369"/>
      <c r="L1191" s="372"/>
      <c r="M1191" s="37"/>
      <c r="N1191" s="368"/>
      <c r="O1191" s="434"/>
      <c r="Q1191" s="389"/>
      <c r="R1191" s="416" t="str">
        <f t="shared" si="91"/>
        <v>DELETE</v>
      </c>
    </row>
    <row r="1192" spans="2:18" ht="31.5" customHeight="1" x14ac:dyDescent="0.45">
      <c r="B1192" s="461">
        <f>MAX($B$429:B1191)+1</f>
        <v>15</v>
      </c>
      <c r="C1192" s="369" t="s">
        <v>1047</v>
      </c>
      <c r="L1192" s="372"/>
      <c r="M1192" s="37"/>
      <c r="N1192" s="368"/>
      <c r="O1192" s="434"/>
      <c r="Q1192" s="389"/>
      <c r="R1192" s="416" t="str">
        <f t="shared" si="91"/>
        <v>DELETE</v>
      </c>
    </row>
    <row r="1193" spans="2:18" ht="31.5" customHeight="1" x14ac:dyDescent="0.45">
      <c r="B1193" s="461"/>
      <c r="C1193" s="369"/>
      <c r="D1193" s="368" t="s">
        <v>1048</v>
      </c>
      <c r="L1193" s="372"/>
      <c r="M1193" s="37"/>
      <c r="N1193" s="368"/>
      <c r="O1193" s="434"/>
      <c r="Q1193" s="389"/>
      <c r="R1193" s="416" t="str">
        <f t="shared" si="91"/>
        <v>DELETE</v>
      </c>
    </row>
    <row r="1194" spans="2:18" ht="31.5" customHeight="1" x14ac:dyDescent="0.45">
      <c r="B1194" s="461"/>
      <c r="C1194" s="369"/>
      <c r="D1194" s="368" t="s">
        <v>528</v>
      </c>
      <c r="L1194" s="372"/>
      <c r="M1194" s="37"/>
      <c r="N1194" s="368"/>
      <c r="O1194" s="434">
        <f>TrialBalance!L353</f>
        <v>0</v>
      </c>
      <c r="Q1194" s="389"/>
      <c r="R1194" s="416" t="str">
        <f>IF(O1194=0,"DELETE"," ")</f>
        <v>DELETE</v>
      </c>
    </row>
    <row r="1195" spans="2:18" ht="31.5" customHeight="1" x14ac:dyDescent="0.45">
      <c r="B1195" s="461"/>
      <c r="C1195" s="369"/>
      <c r="D1195" s="368" t="s">
        <v>529</v>
      </c>
      <c r="L1195" s="372"/>
      <c r="M1195" s="37"/>
      <c r="N1195" s="368"/>
      <c r="O1195" s="434">
        <f>TrialBalance!L354</f>
        <v>0</v>
      </c>
      <c r="Q1195" s="389"/>
      <c r="R1195" s="416" t="str">
        <f t="shared" ref="R1195:R1197" si="92">IF(O1195=0,"DELETE"," ")</f>
        <v>DELETE</v>
      </c>
    </row>
    <row r="1196" spans="2:18" ht="31.5" customHeight="1" x14ac:dyDescent="0.45">
      <c r="B1196" s="461"/>
      <c r="C1196" s="369"/>
      <c r="D1196" s="368" t="s">
        <v>530</v>
      </c>
      <c r="L1196" s="372"/>
      <c r="M1196" s="37"/>
      <c r="N1196" s="368"/>
      <c r="O1196" s="434">
        <f>TrialBalance!L355</f>
        <v>0</v>
      </c>
      <c r="Q1196" s="389"/>
      <c r="R1196" s="416" t="str">
        <f t="shared" si="92"/>
        <v>DELETE</v>
      </c>
    </row>
    <row r="1197" spans="2:18" ht="31.5" customHeight="1" x14ac:dyDescent="0.45">
      <c r="B1197" s="461"/>
      <c r="C1197" s="369"/>
      <c r="D1197" s="368" t="s">
        <v>531</v>
      </c>
      <c r="L1197" s="372"/>
      <c r="M1197" s="37"/>
      <c r="N1197" s="368"/>
      <c r="O1197" s="434">
        <f>TrialBalance!L356</f>
        <v>0</v>
      </c>
      <c r="Q1197" s="389"/>
      <c r="R1197" s="416" t="str">
        <f t="shared" si="92"/>
        <v>DELETE</v>
      </c>
    </row>
    <row r="1198" spans="2:18" ht="9" customHeight="1" x14ac:dyDescent="0.45">
      <c r="B1198" s="461"/>
      <c r="C1198" s="369"/>
      <c r="L1198" s="372"/>
      <c r="M1198" s="37"/>
      <c r="N1198" s="368"/>
      <c r="O1198" s="438"/>
      <c r="Q1198" s="389"/>
      <c r="R1198" s="416" t="str">
        <f t="shared" ref="R1198:R1206" si="93">R$1200</f>
        <v>DELETE</v>
      </c>
    </row>
    <row r="1199" spans="2:18" ht="9" customHeight="1" x14ac:dyDescent="0.45">
      <c r="B1199" s="461"/>
      <c r="C1199" s="369"/>
      <c r="L1199" s="372"/>
      <c r="M1199" s="37"/>
      <c r="N1199" s="368"/>
      <c r="O1199" s="434"/>
      <c r="Q1199" s="389"/>
      <c r="R1199" s="416" t="str">
        <f t="shared" si="93"/>
        <v>DELETE</v>
      </c>
    </row>
    <row r="1200" spans="2:18" ht="31.5" customHeight="1" x14ac:dyDescent="0.45">
      <c r="B1200" s="461"/>
      <c r="C1200" s="369"/>
      <c r="L1200" s="372"/>
      <c r="M1200" s="37"/>
      <c r="N1200" s="368"/>
      <c r="O1200" s="434">
        <f>SUM(O1194:O1199)</f>
        <v>0</v>
      </c>
      <c r="Q1200" s="389"/>
      <c r="R1200" s="416" t="str">
        <f t="shared" ref="R1200" si="94">IF(O1200=0,"DELETE"," ")</f>
        <v>DELETE</v>
      </c>
    </row>
    <row r="1201" spans="2:18" ht="9" customHeight="1" thickBot="1" x14ac:dyDescent="0.5">
      <c r="B1201" s="461"/>
      <c r="C1201" s="369"/>
      <c r="L1201" s="372"/>
      <c r="M1201" s="37"/>
      <c r="N1201" s="368"/>
      <c r="O1201" s="439"/>
      <c r="Q1201" s="389"/>
      <c r="R1201" s="416" t="str">
        <f t="shared" si="93"/>
        <v>DELETE</v>
      </c>
    </row>
    <row r="1202" spans="2:18" ht="9" customHeight="1" thickTop="1" x14ac:dyDescent="0.45">
      <c r="B1202" s="461"/>
      <c r="C1202" s="369"/>
      <c r="L1202" s="372"/>
      <c r="M1202" s="37"/>
      <c r="N1202" s="368"/>
      <c r="O1202" s="441"/>
      <c r="Q1202" s="389"/>
      <c r="R1202" s="416" t="str">
        <f t="shared" si="93"/>
        <v>DELETE</v>
      </c>
    </row>
    <row r="1203" spans="2:18" ht="31.5" customHeight="1" x14ac:dyDescent="0.45">
      <c r="B1203" s="461"/>
      <c r="C1203" s="369"/>
      <c r="M1203" s="434"/>
      <c r="N1203" s="390"/>
      <c r="O1203" s="434"/>
      <c r="Q1203" s="389"/>
      <c r="R1203" s="416" t="str">
        <f t="shared" si="93"/>
        <v>DELETE</v>
      </c>
    </row>
    <row r="1204" spans="2:18" ht="31.5" customHeight="1" x14ac:dyDescent="0.45">
      <c r="B1204" s="461"/>
      <c r="C1204" s="369"/>
      <c r="M1204" s="434"/>
      <c r="N1204" s="390"/>
      <c r="O1204" s="434"/>
      <c r="Q1204" s="389"/>
      <c r="R1204" s="416" t="str">
        <f t="shared" si="93"/>
        <v>DELETE</v>
      </c>
    </row>
    <row r="1205" spans="2:18" ht="31.5" customHeight="1" x14ac:dyDescent="0.45">
      <c r="B1205" s="462"/>
      <c r="C1205" s="407"/>
      <c r="D1205" s="383"/>
      <c r="E1205" s="383"/>
      <c r="F1205" s="383"/>
      <c r="G1205" s="383"/>
      <c r="H1205" s="383"/>
      <c r="I1205" s="383"/>
      <c r="J1205" s="383"/>
      <c r="K1205" s="383"/>
      <c r="L1205" s="383"/>
      <c r="M1205" s="438"/>
      <c r="N1205" s="392"/>
      <c r="O1205" s="438"/>
      <c r="P1205" s="475"/>
      <c r="Q1205" s="398"/>
      <c r="R1205" s="416" t="str">
        <f t="shared" si="93"/>
        <v>DELETE</v>
      </c>
    </row>
    <row r="1206" spans="2:18" ht="31.5" customHeight="1" x14ac:dyDescent="0.45">
      <c r="B1206" s="445"/>
      <c r="C1206" s="369"/>
      <c r="M1206" s="434"/>
      <c r="N1206" s="390"/>
      <c r="O1206" s="434"/>
      <c r="R1206" s="416" t="str">
        <f t="shared" si="93"/>
        <v>DELETE</v>
      </c>
    </row>
    <row r="1207" spans="2:18" ht="31.5" customHeight="1" x14ac:dyDescent="0.45">
      <c r="B1207" s="431"/>
      <c r="M1207" s="479"/>
      <c r="N1207" s="469"/>
      <c r="O1207" s="479"/>
      <c r="R1207" s="416" t="str">
        <f>R$1230</f>
        <v>DELETE</v>
      </c>
    </row>
    <row r="1208" spans="2:18" ht="31.5" customHeight="1" x14ac:dyDescent="0.45">
      <c r="B1208" s="431"/>
      <c r="D1208" s="369" t="str">
        <f>Criteria!E9</f>
        <v>ABC TRUST</v>
      </c>
      <c r="M1208" s="479"/>
      <c r="N1208" s="469"/>
      <c r="O1208" s="434" t="s">
        <v>105</v>
      </c>
      <c r="Q1208" s="370">
        <f>MAX($Q$114:Q1207)+1</f>
        <v>24</v>
      </c>
      <c r="R1208" s="416" t="str">
        <f t="shared" ref="R1208:R1217" si="95">R$1230</f>
        <v>DELETE</v>
      </c>
    </row>
    <row r="1209" spans="2:18" ht="31.5" customHeight="1" x14ac:dyDescent="0.45">
      <c r="B1209" s="431"/>
      <c r="D1209" s="369" t="str">
        <f>Criteria!E10</f>
        <v>T/A RENTAL PROPERTIES, SEAFRONT RESTAURANT AND SURF SHOP</v>
      </c>
      <c r="M1209" s="479"/>
      <c r="N1209" s="469"/>
      <c r="O1209" s="479"/>
      <c r="R1209" s="416" t="str">
        <f>IF(R$1230="DELETE","DELETE",IF(D1209=0,"DELETE"," "))</f>
        <v>DELETE</v>
      </c>
    </row>
    <row r="1210" spans="2:18" ht="31.5" customHeight="1" x14ac:dyDescent="0.45">
      <c r="B1210" s="431"/>
      <c r="M1210" s="479"/>
      <c r="N1210" s="469"/>
      <c r="O1210" s="479"/>
      <c r="R1210" s="416" t="str">
        <f t="shared" si="95"/>
        <v>DELETE</v>
      </c>
    </row>
    <row r="1211" spans="2:18" ht="31.5" customHeight="1" x14ac:dyDescent="0.45">
      <c r="B1211" s="431"/>
      <c r="D1211" s="369" t="s">
        <v>383</v>
      </c>
      <c r="M1211" s="479"/>
      <c r="N1211" s="469"/>
      <c r="O1211" s="479"/>
      <c r="R1211" s="416" t="str">
        <f t="shared" si="95"/>
        <v>DELETE</v>
      </c>
    </row>
    <row r="1212" spans="2:18" ht="31.5" customHeight="1" x14ac:dyDescent="0.45">
      <c r="B1212" s="431"/>
      <c r="D1212" s="369" t="str">
        <f>Criteria!E20</f>
        <v>29 FEBRUARY 2024</v>
      </c>
      <c r="J1212" s="368" t="s">
        <v>253</v>
      </c>
      <c r="M1212" s="479"/>
      <c r="N1212" s="469"/>
      <c r="O1212" s="479"/>
      <c r="R1212" s="416" t="str">
        <f t="shared" si="95"/>
        <v>DELETE</v>
      </c>
    </row>
    <row r="1213" spans="2:18" ht="31.5" customHeight="1" x14ac:dyDescent="0.45">
      <c r="B1213" s="431"/>
      <c r="M1213" s="482"/>
      <c r="N1213" s="483"/>
      <c r="O1213" s="482"/>
      <c r="R1213" s="416" t="str">
        <f t="shared" si="95"/>
        <v>DELETE</v>
      </c>
    </row>
    <row r="1214" spans="2:18" ht="31.5" customHeight="1" x14ac:dyDescent="0.45">
      <c r="B1214" s="463"/>
      <c r="C1214" s="386"/>
      <c r="D1214" s="386"/>
      <c r="E1214" s="386"/>
      <c r="F1214" s="386"/>
      <c r="G1214" s="386"/>
      <c r="H1214" s="386"/>
      <c r="I1214" s="386"/>
      <c r="J1214" s="386"/>
      <c r="K1214" s="386"/>
      <c r="L1214" s="386"/>
      <c r="M1214" s="484"/>
      <c r="N1214" s="485"/>
      <c r="O1214" s="484"/>
      <c r="P1214" s="481"/>
      <c r="Q1214" s="387"/>
      <c r="R1214" s="416" t="str">
        <f t="shared" si="95"/>
        <v>DELETE</v>
      </c>
    </row>
    <row r="1215" spans="2:18" ht="31.5" customHeight="1" x14ac:dyDescent="0.45">
      <c r="B1215" s="464"/>
      <c r="L1215" s="372"/>
      <c r="M1215" s="37"/>
      <c r="N1215" s="368"/>
      <c r="O1215" s="430">
        <f>Criteria!E22</f>
        <v>2024</v>
      </c>
      <c r="Q1215" s="389"/>
      <c r="R1215" s="416" t="str">
        <f t="shared" si="95"/>
        <v>DELETE</v>
      </c>
    </row>
    <row r="1216" spans="2:18" ht="31.5" customHeight="1" x14ac:dyDescent="0.45">
      <c r="B1216" s="461"/>
      <c r="C1216" s="369"/>
      <c r="L1216" s="372"/>
      <c r="M1216" s="37"/>
      <c r="N1216" s="368"/>
      <c r="O1216" s="434"/>
      <c r="Q1216" s="389"/>
      <c r="R1216" s="416" t="str">
        <f t="shared" si="95"/>
        <v>DELETE</v>
      </c>
    </row>
    <row r="1217" spans="2:22" ht="31.5" customHeight="1" x14ac:dyDescent="0.45">
      <c r="B1217" s="461">
        <f>MAX($B$429:B1216)+1</f>
        <v>16</v>
      </c>
      <c r="C1217" s="369" t="s">
        <v>730</v>
      </c>
      <c r="L1217" s="372"/>
      <c r="M1217" s="37"/>
      <c r="N1217" s="368"/>
      <c r="O1217" s="434"/>
      <c r="Q1217" s="389"/>
      <c r="R1217" s="416" t="str">
        <f t="shared" si="95"/>
        <v>DELETE</v>
      </c>
    </row>
    <row r="1218" spans="2:22" ht="31.5" customHeight="1" x14ac:dyDescent="0.45">
      <c r="B1218" s="461"/>
      <c r="C1218" s="369"/>
      <c r="D1218" s="368" t="s">
        <v>532</v>
      </c>
      <c r="L1218" s="372"/>
      <c r="M1218" s="37"/>
      <c r="N1218" s="368"/>
      <c r="O1218" s="434">
        <f>TrialBalance!L358</f>
        <v>0</v>
      </c>
      <c r="Q1218" s="389"/>
      <c r="R1218" s="416" t="str">
        <f>IF(O1218=0,"DELETE"," ")</f>
        <v>DELETE</v>
      </c>
      <c r="S1218" s="422">
        <f>O1218</f>
        <v>0</v>
      </c>
      <c r="T1218" s="422"/>
      <c r="U1218" s="422"/>
      <c r="V1218" s="422"/>
    </row>
    <row r="1219" spans="2:22" ht="31.5" customHeight="1" x14ac:dyDescent="0.45">
      <c r="B1219" s="461"/>
      <c r="C1219" s="369"/>
      <c r="D1219" s="368" t="s">
        <v>624</v>
      </c>
      <c r="L1219" s="372"/>
      <c r="M1219" s="37"/>
      <c r="N1219" s="368"/>
      <c r="O1219" s="434">
        <f>TrialBalance!L359</f>
        <v>0</v>
      </c>
      <c r="Q1219" s="389"/>
      <c r="R1219" s="416" t="str">
        <f>IF(O1219=0,"DELETE"," ")</f>
        <v>DELETE</v>
      </c>
      <c r="S1219" s="422">
        <f>O1219</f>
        <v>0</v>
      </c>
      <c r="T1219" s="422"/>
      <c r="U1219" s="422"/>
      <c r="V1219" s="422"/>
    </row>
    <row r="1220" spans="2:22" ht="9" customHeight="1" x14ac:dyDescent="0.45">
      <c r="B1220" s="461"/>
      <c r="C1220" s="369"/>
      <c r="L1220" s="372"/>
      <c r="M1220" s="37"/>
      <c r="N1220" s="368"/>
      <c r="O1220" s="438"/>
      <c r="Q1220" s="389"/>
      <c r="R1220" s="416" t="str">
        <f>R1219</f>
        <v>DELETE</v>
      </c>
    </row>
    <row r="1221" spans="2:22" ht="10.5" customHeight="1" x14ac:dyDescent="0.45">
      <c r="B1221" s="461"/>
      <c r="C1221" s="369"/>
      <c r="L1221" s="372"/>
      <c r="M1221" s="37"/>
      <c r="N1221" s="368"/>
      <c r="O1221" s="434"/>
      <c r="Q1221" s="389"/>
      <c r="R1221" s="416" t="str">
        <f>R1220</f>
        <v>DELETE</v>
      </c>
    </row>
    <row r="1222" spans="2:22" ht="31.5" customHeight="1" x14ac:dyDescent="0.45">
      <c r="B1222" s="461"/>
      <c r="C1222" s="369"/>
      <c r="L1222" s="372"/>
      <c r="M1222" s="37"/>
      <c r="N1222" s="368"/>
      <c r="O1222" s="434">
        <f>SUM(O1218:O1221)</f>
        <v>0</v>
      </c>
      <c r="Q1222" s="389"/>
      <c r="R1222" s="416" t="str">
        <f>R1221</f>
        <v>DELETE</v>
      </c>
    </row>
    <row r="1223" spans="2:22" ht="31.5" customHeight="1" x14ac:dyDescent="0.45">
      <c r="B1223" s="461"/>
      <c r="C1223" s="369"/>
      <c r="D1223" s="368" t="s">
        <v>327</v>
      </c>
      <c r="L1223" s="372"/>
      <c r="M1223" s="37"/>
      <c r="N1223" s="368"/>
      <c r="O1223" s="434">
        <f>TrialBalance!L360</f>
        <v>0</v>
      </c>
      <c r="Q1223" s="389"/>
      <c r="R1223" s="416" t="str">
        <f t="shared" ref="R1223:R1227" si="96">IF(O1223=0,"DELETE"," ")</f>
        <v>DELETE</v>
      </c>
      <c r="S1223" s="422">
        <f>O1223</f>
        <v>0</v>
      </c>
      <c r="T1223" s="422"/>
      <c r="U1223" s="422"/>
      <c r="V1223" s="422"/>
    </row>
    <row r="1224" spans="2:22" ht="31.5" customHeight="1" x14ac:dyDescent="0.45">
      <c r="B1224" s="461"/>
      <c r="C1224" s="369"/>
      <c r="D1224" s="368" t="s">
        <v>302</v>
      </c>
      <c r="L1224" s="372"/>
      <c r="M1224" s="37"/>
      <c r="N1224" s="368"/>
      <c r="O1224" s="434">
        <f>TrialBalance!L361</f>
        <v>0</v>
      </c>
      <c r="Q1224" s="389"/>
      <c r="R1224" s="416" t="str">
        <f t="shared" si="96"/>
        <v>DELETE</v>
      </c>
      <c r="S1224" s="422">
        <f>O1224</f>
        <v>0</v>
      </c>
      <c r="T1224" s="422"/>
      <c r="U1224" s="422"/>
      <c r="V1224" s="422"/>
    </row>
    <row r="1225" spans="2:22" ht="31.5" customHeight="1" x14ac:dyDescent="0.45">
      <c r="B1225" s="461"/>
      <c r="C1225" s="369"/>
      <c r="D1225" s="368" t="s">
        <v>382</v>
      </c>
      <c r="L1225" s="372"/>
      <c r="M1225" s="37"/>
      <c r="N1225" s="368"/>
      <c r="O1225" s="434">
        <f>TrialBalance!L362</f>
        <v>0</v>
      </c>
      <c r="Q1225" s="389"/>
      <c r="R1225" s="416" t="str">
        <f t="shared" si="96"/>
        <v>DELETE</v>
      </c>
      <c r="S1225" s="422">
        <f>O1225</f>
        <v>0</v>
      </c>
      <c r="T1225" s="422"/>
      <c r="U1225" s="422"/>
      <c r="V1225" s="422"/>
    </row>
    <row r="1226" spans="2:22" ht="31.5" customHeight="1" x14ac:dyDescent="0.45">
      <c r="B1226" s="461"/>
      <c r="C1226" s="369"/>
      <c r="D1226" s="368" t="s">
        <v>534</v>
      </c>
      <c r="L1226" s="372"/>
      <c r="M1226" s="37"/>
      <c r="N1226" s="368"/>
      <c r="O1226" s="434">
        <f>TrialBalance!L363</f>
        <v>0</v>
      </c>
      <c r="Q1226" s="389"/>
      <c r="R1226" s="416" t="str">
        <f t="shared" si="96"/>
        <v>DELETE</v>
      </c>
      <c r="S1226" s="422">
        <f>O1226</f>
        <v>0</v>
      </c>
      <c r="T1226" s="422"/>
      <c r="U1226" s="422"/>
      <c r="V1226" s="422"/>
    </row>
    <row r="1227" spans="2:22" ht="31.5" customHeight="1" x14ac:dyDescent="0.45">
      <c r="B1227" s="461"/>
      <c r="C1227" s="369"/>
      <c r="D1227" s="368" t="s">
        <v>533</v>
      </c>
      <c r="L1227" s="372"/>
      <c r="M1227" s="37"/>
      <c r="N1227" s="368"/>
      <c r="O1227" s="434">
        <f>IF(TrialBalance!L395&gt;0,TrialBalance!L395,0)+IF(TrialBalance!L394&gt;0,TrialBalance!L394,0)</f>
        <v>0</v>
      </c>
      <c r="Q1227" s="389"/>
      <c r="R1227" s="416" t="str">
        <f t="shared" si="96"/>
        <v>DELETE</v>
      </c>
      <c r="S1227" s="422">
        <f>O1227</f>
        <v>0</v>
      </c>
      <c r="T1227" s="422"/>
      <c r="U1227" s="422"/>
      <c r="V1227" s="422"/>
    </row>
    <row r="1228" spans="2:22" ht="9" customHeight="1" x14ac:dyDescent="0.45">
      <c r="B1228" s="461"/>
      <c r="C1228" s="369"/>
      <c r="L1228" s="372"/>
      <c r="M1228" s="37"/>
      <c r="N1228" s="368"/>
      <c r="O1228" s="438"/>
      <c r="Q1228" s="389"/>
      <c r="R1228" s="416" t="str">
        <f t="shared" ref="R1228:R1237" si="97">R$1230</f>
        <v>DELETE</v>
      </c>
    </row>
    <row r="1229" spans="2:22" ht="9" customHeight="1" x14ac:dyDescent="0.45">
      <c r="B1229" s="461"/>
      <c r="C1229" s="369"/>
      <c r="L1229" s="372"/>
      <c r="M1229" s="37"/>
      <c r="N1229" s="368"/>
      <c r="O1229" s="434"/>
      <c r="Q1229" s="389"/>
      <c r="R1229" s="416" t="str">
        <f t="shared" si="97"/>
        <v>DELETE</v>
      </c>
    </row>
    <row r="1230" spans="2:22" ht="31.5" customHeight="1" x14ac:dyDescent="0.45">
      <c r="B1230" s="461"/>
      <c r="C1230" s="369"/>
      <c r="L1230" s="372"/>
      <c r="M1230" s="37"/>
      <c r="N1230" s="368"/>
      <c r="O1230" s="434">
        <f>SUM(S1218:S1227)</f>
        <v>0</v>
      </c>
      <c r="Q1230" s="389"/>
      <c r="R1230" s="416" t="str">
        <f t="shared" ref="R1230" si="98">IF(O1230=0,"DELETE"," ")</f>
        <v>DELETE</v>
      </c>
      <c r="S1230" s="421"/>
      <c r="T1230" s="421"/>
    </row>
    <row r="1231" spans="2:22" ht="9" customHeight="1" thickBot="1" x14ac:dyDescent="0.5">
      <c r="B1231" s="461"/>
      <c r="C1231" s="369"/>
      <c r="L1231" s="372"/>
      <c r="M1231" s="37"/>
      <c r="N1231" s="368"/>
      <c r="O1231" s="439"/>
      <c r="Q1231" s="389"/>
      <c r="R1231" s="416" t="str">
        <f t="shared" si="97"/>
        <v>DELETE</v>
      </c>
    </row>
    <row r="1232" spans="2:22" ht="9" customHeight="1" thickTop="1" x14ac:dyDescent="0.45">
      <c r="B1232" s="461"/>
      <c r="C1232" s="369"/>
      <c r="L1232" s="372"/>
      <c r="M1232" s="37"/>
      <c r="N1232" s="368"/>
      <c r="O1232" s="441"/>
      <c r="Q1232" s="389"/>
      <c r="R1232" s="416" t="str">
        <f t="shared" si="97"/>
        <v>DELETE</v>
      </c>
    </row>
    <row r="1233" spans="2:18" ht="31.5" customHeight="1" x14ac:dyDescent="0.45">
      <c r="B1233" s="461"/>
      <c r="C1233" s="369"/>
      <c r="D1233" s="368" t="str">
        <f>IF(Criteria!G147="Yes",Criteria!G149," ")</f>
        <v xml:space="preserve"> </v>
      </c>
      <c r="L1233" s="372"/>
      <c r="M1233" s="37"/>
      <c r="N1233" s="368"/>
      <c r="O1233" s="434"/>
      <c r="Q1233" s="389"/>
      <c r="R1233" s="416" t="str">
        <f>IF(D1233=" ","DELETE"," ")</f>
        <v>DELETE</v>
      </c>
    </row>
    <row r="1234" spans="2:18" ht="31.5" customHeight="1" x14ac:dyDescent="0.45">
      <c r="B1234" s="461"/>
      <c r="C1234" s="369"/>
      <c r="D1234" s="368" t="str">
        <f>IF(Criteria!G147="Yes",Criteria!G150," ")</f>
        <v xml:space="preserve"> </v>
      </c>
      <c r="M1234" s="434"/>
      <c r="N1234" s="390"/>
      <c r="O1234" s="434"/>
      <c r="Q1234" s="389"/>
      <c r="R1234" s="416" t="str">
        <f>IF(D1234=" ","DELETE"," ")</f>
        <v>DELETE</v>
      </c>
    </row>
    <row r="1235" spans="2:18" ht="31.5" customHeight="1" x14ac:dyDescent="0.45">
      <c r="B1235" s="461"/>
      <c r="C1235" s="369"/>
      <c r="M1235" s="434"/>
      <c r="N1235" s="390"/>
      <c r="O1235" s="434"/>
      <c r="Q1235" s="389"/>
      <c r="R1235" s="416" t="str">
        <f t="shared" si="97"/>
        <v>DELETE</v>
      </c>
    </row>
    <row r="1236" spans="2:18" ht="31.5" customHeight="1" x14ac:dyDescent="0.45">
      <c r="B1236" s="462"/>
      <c r="C1236" s="407"/>
      <c r="D1236" s="383"/>
      <c r="E1236" s="383"/>
      <c r="F1236" s="383"/>
      <c r="G1236" s="383"/>
      <c r="H1236" s="383"/>
      <c r="I1236" s="383"/>
      <c r="J1236" s="383"/>
      <c r="K1236" s="383"/>
      <c r="L1236" s="383"/>
      <c r="M1236" s="438"/>
      <c r="N1236" s="392"/>
      <c r="O1236" s="438"/>
      <c r="P1236" s="475"/>
      <c r="Q1236" s="398"/>
      <c r="R1236" s="416" t="str">
        <f t="shared" si="97"/>
        <v>DELETE</v>
      </c>
    </row>
    <row r="1237" spans="2:18" ht="31.5" customHeight="1" x14ac:dyDescent="0.45">
      <c r="B1237" s="431"/>
      <c r="M1237" s="479"/>
      <c r="N1237" s="469"/>
      <c r="O1237" s="479"/>
      <c r="R1237" s="416" t="str">
        <f t="shared" si="97"/>
        <v>DELETE</v>
      </c>
    </row>
    <row r="1238" spans="2:18" ht="31.5" customHeight="1" x14ac:dyDescent="0.45">
      <c r="B1238" s="431"/>
      <c r="M1238" s="479"/>
      <c r="N1238" s="469"/>
      <c r="O1238" s="479"/>
      <c r="R1238" s="416" t="str">
        <f>R$1258</f>
        <v>DELETE</v>
      </c>
    </row>
    <row r="1239" spans="2:18" ht="31.5" customHeight="1" x14ac:dyDescent="0.45">
      <c r="B1239" s="431"/>
      <c r="D1239" s="369" t="str">
        <f>Criteria!E9</f>
        <v>ABC TRUST</v>
      </c>
      <c r="M1239" s="479"/>
      <c r="N1239" s="469"/>
      <c r="O1239" s="434" t="s">
        <v>105</v>
      </c>
      <c r="Q1239" s="370">
        <f>MAX($Q$114:Q1238)+1</f>
        <v>25</v>
      </c>
      <c r="R1239" s="416" t="str">
        <f t="shared" ref="R1239:R1248" si="99">R$1258</f>
        <v>DELETE</v>
      </c>
    </row>
    <row r="1240" spans="2:18" ht="31.5" customHeight="1" x14ac:dyDescent="0.45">
      <c r="B1240" s="431"/>
      <c r="D1240" s="369" t="str">
        <f>Criteria!E10</f>
        <v>T/A RENTAL PROPERTIES, SEAFRONT RESTAURANT AND SURF SHOP</v>
      </c>
      <c r="M1240" s="479"/>
      <c r="N1240" s="469"/>
      <c r="O1240" s="479"/>
      <c r="R1240" s="416" t="str">
        <f>IF(R$1258="DELETE","DELETE",IF(D1240=0,"DELETE"," "))</f>
        <v>DELETE</v>
      </c>
    </row>
    <row r="1241" spans="2:18" ht="31.5" customHeight="1" x14ac:dyDescent="0.45">
      <c r="B1241" s="431"/>
      <c r="M1241" s="479"/>
      <c r="N1241" s="469"/>
      <c r="O1241" s="479"/>
      <c r="R1241" s="416" t="str">
        <f t="shared" si="99"/>
        <v>DELETE</v>
      </c>
    </row>
    <row r="1242" spans="2:18" ht="31.5" customHeight="1" x14ac:dyDescent="0.45">
      <c r="B1242" s="431"/>
      <c r="D1242" s="369" t="s">
        <v>383</v>
      </c>
      <c r="M1242" s="479"/>
      <c r="N1242" s="469"/>
      <c r="O1242" s="479"/>
      <c r="R1242" s="416" t="str">
        <f t="shared" si="99"/>
        <v>DELETE</v>
      </c>
    </row>
    <row r="1243" spans="2:18" ht="31.5" customHeight="1" x14ac:dyDescent="0.45">
      <c r="B1243" s="431"/>
      <c r="D1243" s="369" t="str">
        <f>Criteria!E20</f>
        <v>29 FEBRUARY 2024</v>
      </c>
      <c r="J1243" s="368" t="s">
        <v>253</v>
      </c>
      <c r="M1243" s="479"/>
      <c r="N1243" s="469"/>
      <c r="O1243" s="479"/>
      <c r="R1243" s="416" t="str">
        <f t="shared" si="99"/>
        <v>DELETE</v>
      </c>
    </row>
    <row r="1244" spans="2:18" ht="31.5" customHeight="1" x14ac:dyDescent="0.45">
      <c r="B1244" s="431"/>
      <c r="D1244" s="369"/>
      <c r="M1244" s="479"/>
      <c r="N1244" s="469"/>
      <c r="O1244" s="479"/>
      <c r="R1244" s="416" t="str">
        <f t="shared" si="99"/>
        <v>DELETE</v>
      </c>
    </row>
    <row r="1245" spans="2:18" ht="31.5" customHeight="1" x14ac:dyDescent="0.45">
      <c r="B1245" s="465"/>
      <c r="C1245" s="410"/>
      <c r="D1245" s="386"/>
      <c r="E1245" s="386"/>
      <c r="F1245" s="386"/>
      <c r="G1245" s="386"/>
      <c r="H1245" s="386"/>
      <c r="I1245" s="386"/>
      <c r="J1245" s="386"/>
      <c r="K1245" s="386"/>
      <c r="L1245" s="386"/>
      <c r="M1245" s="446"/>
      <c r="N1245" s="391"/>
      <c r="O1245" s="446"/>
      <c r="P1245" s="481"/>
      <c r="Q1245" s="387"/>
      <c r="R1245" s="416" t="str">
        <f t="shared" si="99"/>
        <v>DELETE</v>
      </c>
    </row>
    <row r="1246" spans="2:18" ht="31.5" customHeight="1" x14ac:dyDescent="0.45">
      <c r="B1246" s="461"/>
      <c r="C1246" s="369"/>
      <c r="L1246" s="372"/>
      <c r="M1246" s="37"/>
      <c r="N1246" s="368"/>
      <c r="O1246" s="430">
        <f>Criteria!E22</f>
        <v>2024</v>
      </c>
      <c r="Q1246" s="389"/>
      <c r="R1246" s="416" t="str">
        <f t="shared" si="99"/>
        <v>DELETE</v>
      </c>
    </row>
    <row r="1247" spans="2:18" ht="31.5" customHeight="1" x14ac:dyDescent="0.45">
      <c r="B1247" s="461"/>
      <c r="C1247" s="369"/>
      <c r="L1247" s="372"/>
      <c r="M1247" s="37"/>
      <c r="N1247" s="368"/>
      <c r="O1247" s="434"/>
      <c r="Q1247" s="389"/>
      <c r="R1247" s="416" t="str">
        <f t="shared" si="99"/>
        <v>DELETE</v>
      </c>
    </row>
    <row r="1248" spans="2:18" ht="31.5" customHeight="1" x14ac:dyDescent="0.45">
      <c r="B1248" s="461">
        <f>MAX($B$429:B1247)+1</f>
        <v>17</v>
      </c>
      <c r="C1248" s="369" t="s">
        <v>179</v>
      </c>
      <c r="L1248" s="372"/>
      <c r="M1248" s="37"/>
      <c r="N1248" s="368"/>
      <c r="O1248" s="434"/>
      <c r="Q1248" s="389"/>
      <c r="R1248" s="416" t="str">
        <f t="shared" si="99"/>
        <v>DELETE</v>
      </c>
    </row>
    <row r="1249" spans="2:22" ht="31.5" customHeight="1" x14ac:dyDescent="0.45">
      <c r="B1249" s="461"/>
      <c r="C1249" s="369"/>
      <c r="D1249" s="368">
        <f>TrialBalance!C365</f>
        <v>0</v>
      </c>
      <c r="L1249" s="372"/>
      <c r="M1249" s="37"/>
      <c r="N1249" s="368"/>
      <c r="O1249" s="434">
        <f>IF(TrialBalance!L365&gt;0,TrialBalance!L365,0)</f>
        <v>0</v>
      </c>
      <c r="Q1249" s="389"/>
      <c r="R1249" s="416" t="str">
        <f>IF(O1249=0,"DELETE"," ")</f>
        <v>DELETE</v>
      </c>
    </row>
    <row r="1250" spans="2:22" ht="31.5" customHeight="1" x14ac:dyDescent="0.45">
      <c r="B1250" s="461"/>
      <c r="C1250" s="369"/>
      <c r="D1250" s="368">
        <f>TrialBalance!C366</f>
        <v>0</v>
      </c>
      <c r="L1250" s="372"/>
      <c r="M1250" s="37"/>
      <c r="N1250" s="368"/>
      <c r="O1250" s="434">
        <f>IF(TrialBalance!L366&gt;0,TrialBalance!L366,0)</f>
        <v>0</v>
      </c>
      <c r="Q1250" s="389"/>
      <c r="R1250" s="416" t="str">
        <f t="shared" ref="R1250:R1255" si="100">IF(O1250=0,"DELETE"," ")</f>
        <v>DELETE</v>
      </c>
    </row>
    <row r="1251" spans="2:22" ht="31.5" customHeight="1" x14ac:dyDescent="0.45">
      <c r="B1251" s="461"/>
      <c r="C1251" s="369"/>
      <c r="D1251" s="368">
        <f>TrialBalance!C367</f>
        <v>0</v>
      </c>
      <c r="L1251" s="372"/>
      <c r="M1251" s="37"/>
      <c r="N1251" s="368"/>
      <c r="O1251" s="434">
        <f>IF(TrialBalance!L367&gt;0,TrialBalance!L367,0)</f>
        <v>0</v>
      </c>
      <c r="Q1251" s="389"/>
      <c r="R1251" s="416" t="str">
        <f t="shared" si="100"/>
        <v>DELETE</v>
      </c>
    </row>
    <row r="1252" spans="2:22" ht="31.5" customHeight="1" x14ac:dyDescent="0.45">
      <c r="B1252" s="461"/>
      <c r="C1252" s="369"/>
      <c r="D1252" s="368">
        <f>TrialBalance!C368</f>
        <v>0</v>
      </c>
      <c r="L1252" s="372"/>
      <c r="M1252" s="37"/>
      <c r="N1252" s="368"/>
      <c r="O1252" s="434">
        <f>IF(TrialBalance!L368&gt;0,TrialBalance!L368,0)</f>
        <v>0</v>
      </c>
      <c r="Q1252" s="389"/>
      <c r="R1252" s="416" t="str">
        <f t="shared" si="100"/>
        <v>DELETE</v>
      </c>
    </row>
    <row r="1253" spans="2:22" ht="31.5" customHeight="1" x14ac:dyDescent="0.45">
      <c r="B1253" s="461"/>
      <c r="C1253" s="369"/>
      <c r="D1253" s="368">
        <f>TrialBalance!C369</f>
        <v>0</v>
      </c>
      <c r="L1253" s="372"/>
      <c r="M1253" s="37"/>
      <c r="N1253" s="368"/>
      <c r="O1253" s="434">
        <f>IF(TrialBalance!L369&gt;0,TrialBalance!L369,0)</f>
        <v>0</v>
      </c>
      <c r="Q1253" s="389"/>
      <c r="R1253" s="416" t="str">
        <f t="shared" si="100"/>
        <v>DELETE</v>
      </c>
    </row>
    <row r="1254" spans="2:22" ht="31.5" customHeight="1" x14ac:dyDescent="0.45">
      <c r="B1254" s="461"/>
      <c r="C1254" s="369"/>
      <c r="D1254" s="368">
        <f>TrialBalance!C370</f>
        <v>0</v>
      </c>
      <c r="L1254" s="372"/>
      <c r="M1254" s="37"/>
      <c r="N1254" s="368"/>
      <c r="O1254" s="434">
        <f>IF(TrialBalance!L370&gt;0,TrialBalance!L370,0)</f>
        <v>0</v>
      </c>
      <c r="Q1254" s="389"/>
      <c r="R1254" s="416" t="str">
        <f t="shared" si="100"/>
        <v>DELETE</v>
      </c>
    </row>
    <row r="1255" spans="2:22" ht="31.5" customHeight="1" x14ac:dyDescent="0.45">
      <c r="B1255" s="461"/>
      <c r="C1255" s="369"/>
      <c r="D1255" s="368" t="s">
        <v>431</v>
      </c>
      <c r="L1255" s="372"/>
      <c r="M1255" s="37"/>
      <c r="N1255" s="368"/>
      <c r="O1255" s="434">
        <f>TrialBalance!L371</f>
        <v>0</v>
      </c>
      <c r="Q1255" s="389"/>
      <c r="R1255" s="416" t="str">
        <f t="shared" si="100"/>
        <v>DELETE</v>
      </c>
    </row>
    <row r="1256" spans="2:22" ht="9" customHeight="1" x14ac:dyDescent="0.45">
      <c r="B1256" s="461"/>
      <c r="C1256" s="369"/>
      <c r="L1256" s="372"/>
      <c r="M1256" s="37"/>
      <c r="N1256" s="368"/>
      <c r="O1256" s="438"/>
      <c r="Q1256" s="389"/>
      <c r="R1256" s="416" t="str">
        <f t="shared" ref="R1256:R1264" si="101">R$1258</f>
        <v>DELETE</v>
      </c>
    </row>
    <row r="1257" spans="2:22" ht="9" customHeight="1" x14ac:dyDescent="0.45">
      <c r="B1257" s="461"/>
      <c r="C1257" s="369"/>
      <c r="L1257" s="372"/>
      <c r="M1257" s="37"/>
      <c r="N1257" s="368"/>
      <c r="O1257" s="434"/>
      <c r="Q1257" s="389"/>
      <c r="R1257" s="416" t="str">
        <f t="shared" si="101"/>
        <v>DELETE</v>
      </c>
    </row>
    <row r="1258" spans="2:22" ht="31.5" customHeight="1" x14ac:dyDescent="0.45">
      <c r="B1258" s="461"/>
      <c r="C1258" s="369"/>
      <c r="L1258" s="372"/>
      <c r="M1258" s="37"/>
      <c r="N1258" s="368"/>
      <c r="O1258" s="434">
        <f>SUM(O1249:O1257)</f>
        <v>0</v>
      </c>
      <c r="Q1258" s="389"/>
      <c r="R1258" s="416" t="str">
        <f t="shared" ref="R1258" si="102">IF(O1258=0,"DELETE"," ")</f>
        <v>DELETE</v>
      </c>
      <c r="U1258" s="422"/>
      <c r="V1258" s="422"/>
    </row>
    <row r="1259" spans="2:22" ht="9" customHeight="1" thickBot="1" x14ac:dyDescent="0.5">
      <c r="B1259" s="461"/>
      <c r="C1259" s="369"/>
      <c r="L1259" s="372"/>
      <c r="M1259" s="37"/>
      <c r="N1259" s="368"/>
      <c r="O1259" s="439"/>
      <c r="Q1259" s="389"/>
      <c r="R1259" s="416" t="str">
        <f t="shared" si="101"/>
        <v>DELETE</v>
      </c>
    </row>
    <row r="1260" spans="2:22" ht="9" customHeight="1" thickTop="1" x14ac:dyDescent="0.45">
      <c r="B1260" s="461"/>
      <c r="C1260" s="369"/>
      <c r="L1260" s="372"/>
      <c r="M1260" s="37"/>
      <c r="N1260" s="368"/>
      <c r="O1260" s="441"/>
      <c r="Q1260" s="389"/>
      <c r="R1260" s="416" t="str">
        <f t="shared" si="101"/>
        <v>DELETE</v>
      </c>
    </row>
    <row r="1261" spans="2:22" ht="31.5" customHeight="1" x14ac:dyDescent="0.45">
      <c r="B1261" s="461"/>
      <c r="C1261" s="369"/>
      <c r="L1261" s="372"/>
      <c r="M1261" s="37"/>
      <c r="N1261" s="368"/>
      <c r="O1261" s="434"/>
      <c r="Q1261" s="389"/>
      <c r="R1261" s="416" t="str">
        <f t="shared" si="101"/>
        <v>DELETE</v>
      </c>
    </row>
    <row r="1262" spans="2:22" ht="31.5" customHeight="1" x14ac:dyDescent="0.45">
      <c r="B1262" s="461"/>
      <c r="C1262" s="369"/>
      <c r="M1262" s="434"/>
      <c r="N1262" s="390"/>
      <c r="O1262" s="434"/>
      <c r="Q1262" s="389"/>
      <c r="R1262" s="416" t="str">
        <f t="shared" si="101"/>
        <v>DELETE</v>
      </c>
    </row>
    <row r="1263" spans="2:22" ht="31.5" customHeight="1" x14ac:dyDescent="0.45">
      <c r="B1263" s="462"/>
      <c r="C1263" s="407"/>
      <c r="D1263" s="383"/>
      <c r="E1263" s="383"/>
      <c r="F1263" s="383"/>
      <c r="G1263" s="383"/>
      <c r="H1263" s="383"/>
      <c r="I1263" s="383"/>
      <c r="J1263" s="383"/>
      <c r="K1263" s="383"/>
      <c r="L1263" s="383"/>
      <c r="M1263" s="438"/>
      <c r="N1263" s="392"/>
      <c r="O1263" s="438"/>
      <c r="P1263" s="475"/>
      <c r="Q1263" s="398"/>
      <c r="R1263" s="416" t="str">
        <f t="shared" si="101"/>
        <v>DELETE</v>
      </c>
    </row>
    <row r="1264" spans="2:22" ht="31.5" customHeight="1" x14ac:dyDescent="0.45">
      <c r="B1264" s="445"/>
      <c r="C1264" s="369"/>
      <c r="M1264" s="434"/>
      <c r="N1264" s="390"/>
      <c r="O1264" s="434"/>
      <c r="R1264" s="416" t="str">
        <f t="shared" si="101"/>
        <v>DELETE</v>
      </c>
    </row>
    <row r="1265" spans="2:18" ht="31.5" customHeight="1" x14ac:dyDescent="0.45">
      <c r="B1265" s="445"/>
      <c r="C1265" s="369"/>
      <c r="M1265" s="434"/>
      <c r="N1265" s="390"/>
      <c r="O1265" s="434"/>
      <c r="R1265" s="416" t="str">
        <f>R$1275</f>
        <v>DELETE</v>
      </c>
    </row>
    <row r="1266" spans="2:18" ht="31.5" customHeight="1" x14ac:dyDescent="0.45">
      <c r="B1266" s="445"/>
      <c r="C1266" s="369"/>
      <c r="D1266" s="369" t="str">
        <f>Criteria!E9</f>
        <v>ABC TRUST</v>
      </c>
      <c r="M1266" s="479"/>
      <c r="N1266" s="469"/>
      <c r="O1266" s="434" t="s">
        <v>105</v>
      </c>
      <c r="Q1266" s="370">
        <f>MAX($Q$114:Q1265)+1</f>
        <v>26</v>
      </c>
      <c r="R1266" s="416" t="str">
        <f>R$1275</f>
        <v>DELETE</v>
      </c>
    </row>
    <row r="1267" spans="2:18" ht="31.5" customHeight="1" x14ac:dyDescent="0.45">
      <c r="B1267" s="445"/>
      <c r="C1267" s="369"/>
      <c r="D1267" s="369" t="str">
        <f>Criteria!E10</f>
        <v>T/A RENTAL PROPERTIES, SEAFRONT RESTAURANT AND SURF SHOP</v>
      </c>
      <c r="M1267" s="479"/>
      <c r="N1267" s="469"/>
      <c r="O1267" s="479"/>
      <c r="R1267" s="416" t="str">
        <f>IF(R$1275="DELETE","DELETE",IF(D1267=0,"DELETE"," "))</f>
        <v>DELETE</v>
      </c>
    </row>
    <row r="1268" spans="2:18" ht="31.5" customHeight="1" x14ac:dyDescent="0.45">
      <c r="B1268" s="445"/>
      <c r="C1268" s="369"/>
      <c r="M1268" s="479"/>
      <c r="N1268" s="469"/>
      <c r="O1268" s="479"/>
      <c r="R1268" s="416" t="str">
        <f t="shared" ref="R1268:R1274" si="103">R$1275</f>
        <v>DELETE</v>
      </c>
    </row>
    <row r="1269" spans="2:18" ht="31.5" customHeight="1" x14ac:dyDescent="0.45">
      <c r="B1269" s="445"/>
      <c r="C1269" s="369"/>
      <c r="D1269" s="369" t="s">
        <v>383</v>
      </c>
      <c r="M1269" s="479"/>
      <c r="N1269" s="469"/>
      <c r="O1269" s="479"/>
      <c r="R1269" s="416" t="str">
        <f t="shared" si="103"/>
        <v>DELETE</v>
      </c>
    </row>
    <row r="1270" spans="2:18" ht="31.5" customHeight="1" x14ac:dyDescent="0.45">
      <c r="B1270" s="445"/>
      <c r="C1270" s="369"/>
      <c r="D1270" s="369" t="str">
        <f>Criteria!E20</f>
        <v>29 FEBRUARY 2024</v>
      </c>
      <c r="J1270" s="368" t="s">
        <v>253</v>
      </c>
      <c r="M1270" s="479"/>
      <c r="N1270" s="469"/>
      <c r="O1270" s="479"/>
      <c r="R1270" s="416" t="str">
        <f t="shared" si="103"/>
        <v>DELETE</v>
      </c>
    </row>
    <row r="1271" spans="2:18" ht="31.5" customHeight="1" x14ac:dyDescent="0.45">
      <c r="B1271" s="445"/>
      <c r="C1271" s="369"/>
      <c r="M1271" s="434"/>
      <c r="N1271" s="390"/>
      <c r="O1271" s="434"/>
      <c r="R1271" s="416" t="str">
        <f t="shared" si="103"/>
        <v>DELETE</v>
      </c>
    </row>
    <row r="1272" spans="2:18" ht="31.5" customHeight="1" x14ac:dyDescent="0.45">
      <c r="B1272" s="465"/>
      <c r="C1272" s="410"/>
      <c r="D1272" s="386"/>
      <c r="E1272" s="386"/>
      <c r="F1272" s="386"/>
      <c r="G1272" s="386"/>
      <c r="H1272" s="386"/>
      <c r="I1272" s="386"/>
      <c r="J1272" s="386"/>
      <c r="K1272" s="386"/>
      <c r="L1272" s="386"/>
      <c r="M1272" s="446"/>
      <c r="N1272" s="391"/>
      <c r="O1272" s="446"/>
      <c r="P1272" s="481"/>
      <c r="Q1272" s="387"/>
      <c r="R1272" s="416" t="str">
        <f t="shared" si="103"/>
        <v>DELETE</v>
      </c>
    </row>
    <row r="1273" spans="2:18" ht="31.5" customHeight="1" x14ac:dyDescent="0.45">
      <c r="B1273" s="461"/>
      <c r="C1273" s="369"/>
      <c r="M1273" s="441"/>
      <c r="N1273" s="400"/>
      <c r="O1273" s="430">
        <f>Criteria!E22</f>
        <v>2024</v>
      </c>
      <c r="P1273" s="478"/>
      <c r="Q1273" s="389"/>
      <c r="R1273" s="416" t="str">
        <f t="shared" si="103"/>
        <v>DELETE</v>
      </c>
    </row>
    <row r="1274" spans="2:18" ht="31.5" customHeight="1" x14ac:dyDescent="0.45">
      <c r="B1274" s="461"/>
      <c r="C1274" s="369"/>
      <c r="M1274" s="441"/>
      <c r="N1274" s="400"/>
      <c r="O1274" s="441"/>
      <c r="P1274" s="478"/>
      <c r="Q1274" s="389"/>
      <c r="R1274" s="416" t="str">
        <f t="shared" si="103"/>
        <v>DELETE</v>
      </c>
    </row>
    <row r="1275" spans="2:18" ht="31.5" customHeight="1" x14ac:dyDescent="0.45">
      <c r="B1275" s="461">
        <f>MAX($B$429:B1274)+1</f>
        <v>18</v>
      </c>
      <c r="C1275" s="369" t="s">
        <v>1061</v>
      </c>
      <c r="M1275" s="441"/>
      <c r="N1275" s="400"/>
      <c r="O1275" s="441"/>
      <c r="P1275" s="478"/>
      <c r="Q1275" s="389"/>
      <c r="R1275" s="416" t="str">
        <f>IF(O1276+O1277-O1278=0,"DELETE"," ")</f>
        <v>DELETE</v>
      </c>
    </row>
    <row r="1276" spans="2:18" ht="31.5" customHeight="1" x14ac:dyDescent="0.45">
      <c r="B1276" s="461"/>
      <c r="C1276" s="369"/>
      <c r="D1276" s="368" t="s">
        <v>1070</v>
      </c>
      <c r="M1276" s="441"/>
      <c r="N1276" s="400"/>
      <c r="O1276" s="441">
        <f>-TrialBalance!L187</f>
        <v>0</v>
      </c>
      <c r="P1276" s="478"/>
      <c r="Q1276" s="389"/>
      <c r="R1276" s="416" t="str">
        <f>R$1275</f>
        <v>DELETE</v>
      </c>
    </row>
    <row r="1277" spans="2:18" ht="31.5" customHeight="1" x14ac:dyDescent="0.45">
      <c r="B1277" s="461"/>
      <c r="C1277" s="369"/>
      <c r="D1277" s="368" t="s">
        <v>1071</v>
      </c>
      <c r="M1277" s="441"/>
      <c r="N1277" s="400"/>
      <c r="O1277" s="441">
        <f>-TrialBalance!L188</f>
        <v>0</v>
      </c>
      <c r="P1277" s="478"/>
      <c r="Q1277" s="389"/>
      <c r="R1277" s="416" t="str">
        <f>IF(O1277=0,"DELETE"," ")</f>
        <v>DELETE</v>
      </c>
    </row>
    <row r="1278" spans="2:18" ht="33" customHeight="1" x14ac:dyDescent="0.45">
      <c r="B1278" s="461"/>
      <c r="C1278" s="369"/>
      <c r="D1278" s="368" t="s">
        <v>1072</v>
      </c>
      <c r="M1278" s="441"/>
      <c r="N1278" s="400"/>
      <c r="O1278" s="441">
        <f>-TrialBalance!L189</f>
        <v>0</v>
      </c>
      <c r="P1278" s="478"/>
      <c r="Q1278" s="389"/>
      <c r="R1278" s="416" t="str">
        <f>IF(O1278=0,"DELETE"," ")</f>
        <v>DELETE</v>
      </c>
    </row>
    <row r="1279" spans="2:18" ht="9" customHeight="1" x14ac:dyDescent="0.45">
      <c r="B1279" s="461"/>
      <c r="C1279" s="369"/>
      <c r="M1279" s="441"/>
      <c r="N1279" s="400"/>
      <c r="O1279" s="438"/>
      <c r="P1279" s="478"/>
      <c r="Q1279" s="389"/>
      <c r="R1279" s="416" t="str">
        <f t="shared" ref="R1279:R1287" si="104">R$1275</f>
        <v>DELETE</v>
      </c>
    </row>
    <row r="1280" spans="2:18" ht="9" customHeight="1" x14ac:dyDescent="0.45">
      <c r="B1280" s="461"/>
      <c r="C1280" s="369"/>
      <c r="M1280" s="441"/>
      <c r="N1280" s="400"/>
      <c r="O1280" s="441"/>
      <c r="P1280" s="478"/>
      <c r="Q1280" s="389"/>
      <c r="R1280" s="416" t="str">
        <f t="shared" si="104"/>
        <v>DELETE</v>
      </c>
    </row>
    <row r="1281" spans="2:18" ht="31.5" customHeight="1" x14ac:dyDescent="0.45">
      <c r="B1281" s="461"/>
      <c r="C1281" s="369"/>
      <c r="D1281" s="368" t="s">
        <v>1073</v>
      </c>
      <c r="M1281" s="441"/>
      <c r="N1281" s="400"/>
      <c r="O1281" s="441">
        <f>SUM(O1276:O1280)</f>
        <v>0</v>
      </c>
      <c r="P1281" s="478"/>
      <c r="Q1281" s="389"/>
      <c r="R1281" s="416" t="str">
        <f t="shared" si="104"/>
        <v>DELETE</v>
      </c>
    </row>
    <row r="1282" spans="2:18" ht="9" customHeight="1" thickBot="1" x14ac:dyDescent="0.5">
      <c r="B1282" s="461"/>
      <c r="C1282" s="369"/>
      <c r="M1282" s="441"/>
      <c r="N1282" s="400"/>
      <c r="O1282" s="439"/>
      <c r="P1282" s="478"/>
      <c r="Q1282" s="389"/>
      <c r="R1282" s="416" t="str">
        <f t="shared" si="104"/>
        <v>DELETE</v>
      </c>
    </row>
    <row r="1283" spans="2:18" ht="9" customHeight="1" thickTop="1" x14ac:dyDescent="0.45">
      <c r="B1283" s="461"/>
      <c r="C1283" s="369"/>
      <c r="M1283" s="441"/>
      <c r="N1283" s="400"/>
      <c r="O1283" s="441"/>
      <c r="P1283" s="478"/>
      <c r="Q1283" s="389"/>
      <c r="R1283" s="416" t="str">
        <f t="shared" si="104"/>
        <v>DELETE</v>
      </c>
    </row>
    <row r="1284" spans="2:18" ht="31.5" customHeight="1" x14ac:dyDescent="0.45">
      <c r="B1284" s="461"/>
      <c r="C1284" s="369"/>
      <c r="M1284" s="441"/>
      <c r="N1284" s="400"/>
      <c r="O1284" s="441"/>
      <c r="P1284" s="478"/>
      <c r="Q1284" s="389"/>
      <c r="R1284" s="416" t="str">
        <f t="shared" si="104"/>
        <v>DELETE</v>
      </c>
    </row>
    <row r="1285" spans="2:18" ht="31.5" customHeight="1" x14ac:dyDescent="0.45">
      <c r="B1285" s="461"/>
      <c r="C1285" s="369"/>
      <c r="M1285" s="441"/>
      <c r="N1285" s="400"/>
      <c r="O1285" s="441"/>
      <c r="P1285" s="478"/>
      <c r="Q1285" s="389"/>
      <c r="R1285" s="416" t="str">
        <f t="shared" si="104"/>
        <v>DELETE</v>
      </c>
    </row>
    <row r="1286" spans="2:18" ht="31.5" customHeight="1" x14ac:dyDescent="0.45">
      <c r="B1286" s="462"/>
      <c r="C1286" s="407"/>
      <c r="D1286" s="383"/>
      <c r="E1286" s="383"/>
      <c r="F1286" s="383"/>
      <c r="G1286" s="383"/>
      <c r="H1286" s="383"/>
      <c r="I1286" s="383"/>
      <c r="J1286" s="383"/>
      <c r="K1286" s="383"/>
      <c r="L1286" s="383"/>
      <c r="M1286" s="438"/>
      <c r="N1286" s="392"/>
      <c r="O1286" s="438"/>
      <c r="P1286" s="475"/>
      <c r="Q1286" s="398"/>
      <c r="R1286" s="416" t="str">
        <f t="shared" si="104"/>
        <v>DELETE</v>
      </c>
    </row>
    <row r="1287" spans="2:18" ht="31.5" customHeight="1" x14ac:dyDescent="0.45">
      <c r="B1287" s="445"/>
      <c r="C1287" s="369"/>
      <c r="M1287" s="434"/>
      <c r="N1287" s="390"/>
      <c r="O1287" s="434"/>
      <c r="R1287" s="416" t="str">
        <f t="shared" si="104"/>
        <v>DELETE</v>
      </c>
    </row>
    <row r="1288" spans="2:18" ht="31.5" customHeight="1" x14ac:dyDescent="0.45">
      <c r="B1288" s="431"/>
      <c r="M1288" s="479"/>
      <c r="N1288" s="469"/>
      <c r="O1288" s="479"/>
      <c r="R1288" s="416" t="str">
        <f>R$1320</f>
        <v>DELETE</v>
      </c>
    </row>
    <row r="1289" spans="2:18" ht="31.5" customHeight="1" x14ac:dyDescent="0.45">
      <c r="B1289" s="431"/>
      <c r="D1289" s="369" t="str">
        <f>Criteria!E9</f>
        <v>ABC TRUST</v>
      </c>
      <c r="M1289" s="479"/>
      <c r="N1289" s="469"/>
      <c r="O1289" s="434" t="s">
        <v>105</v>
      </c>
      <c r="Q1289" s="370">
        <f>MAX($Q$114:Q1288)+1</f>
        <v>27</v>
      </c>
      <c r="R1289" s="416" t="str">
        <f>R$1320</f>
        <v>DELETE</v>
      </c>
    </row>
    <row r="1290" spans="2:18" ht="31.5" customHeight="1" x14ac:dyDescent="0.45">
      <c r="B1290" s="431"/>
      <c r="D1290" s="369" t="str">
        <f>Criteria!E10</f>
        <v>T/A RENTAL PROPERTIES, SEAFRONT RESTAURANT AND SURF SHOP</v>
      </c>
      <c r="M1290" s="479"/>
      <c r="N1290" s="469"/>
      <c r="O1290" s="479"/>
      <c r="R1290" s="416" t="str">
        <f>IF(R$1320="DELETE","DELETE",IF(D1290=0,"DELETE"," "))</f>
        <v>DELETE</v>
      </c>
    </row>
    <row r="1291" spans="2:18" ht="31.5" customHeight="1" x14ac:dyDescent="0.45">
      <c r="B1291" s="431"/>
      <c r="M1291" s="479"/>
      <c r="N1291" s="469"/>
      <c r="O1291" s="479"/>
      <c r="R1291" s="416" t="str">
        <f t="shared" ref="R1291:R1298" si="105">R$1320</f>
        <v>DELETE</v>
      </c>
    </row>
    <row r="1292" spans="2:18" ht="31.5" customHeight="1" x14ac:dyDescent="0.45">
      <c r="B1292" s="431"/>
      <c r="D1292" s="369" t="s">
        <v>383</v>
      </c>
      <c r="M1292" s="479"/>
      <c r="N1292" s="469"/>
      <c r="O1292" s="479"/>
      <c r="R1292" s="416" t="str">
        <f t="shared" si="105"/>
        <v>DELETE</v>
      </c>
    </row>
    <row r="1293" spans="2:18" ht="31.5" customHeight="1" x14ac:dyDescent="0.45">
      <c r="B1293" s="431"/>
      <c r="D1293" s="369" t="str">
        <f>Criteria!E20</f>
        <v>29 FEBRUARY 2024</v>
      </c>
      <c r="J1293" s="368" t="s">
        <v>253</v>
      </c>
      <c r="M1293" s="479"/>
      <c r="N1293" s="469"/>
      <c r="O1293" s="479"/>
      <c r="R1293" s="416" t="str">
        <f t="shared" si="105"/>
        <v>DELETE</v>
      </c>
    </row>
    <row r="1294" spans="2:18" ht="31.5" customHeight="1" x14ac:dyDescent="0.45">
      <c r="B1294" s="431"/>
      <c r="M1294" s="482"/>
      <c r="N1294" s="483"/>
      <c r="O1294" s="482"/>
      <c r="R1294" s="416" t="str">
        <f t="shared" si="105"/>
        <v>DELETE</v>
      </c>
    </row>
    <row r="1295" spans="2:18" ht="31.5" customHeight="1" x14ac:dyDescent="0.45">
      <c r="B1295" s="463"/>
      <c r="C1295" s="386"/>
      <c r="D1295" s="386"/>
      <c r="E1295" s="386"/>
      <c r="F1295" s="386"/>
      <c r="G1295" s="386"/>
      <c r="H1295" s="386"/>
      <c r="I1295" s="386"/>
      <c r="J1295" s="386"/>
      <c r="K1295" s="386"/>
      <c r="L1295" s="386"/>
      <c r="M1295" s="484"/>
      <c r="N1295" s="485"/>
      <c r="O1295" s="484"/>
      <c r="P1295" s="481"/>
      <c r="Q1295" s="387"/>
      <c r="R1295" s="416" t="str">
        <f t="shared" si="105"/>
        <v>DELETE</v>
      </c>
    </row>
    <row r="1296" spans="2:18" ht="31.5" customHeight="1" x14ac:dyDescent="0.45">
      <c r="B1296" s="464"/>
      <c r="L1296" s="372"/>
      <c r="M1296" s="37"/>
      <c r="N1296" s="368"/>
      <c r="O1296" s="430">
        <f>Criteria!E22</f>
        <v>2024</v>
      </c>
      <c r="Q1296" s="389"/>
      <c r="R1296" s="416" t="str">
        <f t="shared" si="105"/>
        <v>DELETE</v>
      </c>
    </row>
    <row r="1297" spans="2:20" ht="31.5" customHeight="1" x14ac:dyDescent="0.45">
      <c r="B1297" s="461"/>
      <c r="C1297" s="369"/>
      <c r="L1297" s="372"/>
      <c r="M1297" s="37"/>
      <c r="N1297" s="368"/>
      <c r="O1297" s="434"/>
      <c r="Q1297" s="389"/>
      <c r="R1297" s="416" t="str">
        <f t="shared" si="105"/>
        <v>DELETE</v>
      </c>
    </row>
    <row r="1298" spans="2:20" ht="31.5" customHeight="1" x14ac:dyDescent="0.45">
      <c r="B1298" s="461">
        <f>MAX($B$429:B1297)+1</f>
        <v>19</v>
      </c>
      <c r="C1298" s="369" t="str">
        <f>IF(COUNTIF(TrialBalance!L192:L206,"&lt;0")&gt;1,"INTEREST BEARING BORROWINGS","INTEREST BEARING BORROWING")</f>
        <v>INTEREST BEARING BORROWING</v>
      </c>
      <c r="L1298" s="372"/>
      <c r="M1298" s="37"/>
      <c r="N1298" s="368"/>
      <c r="O1298" s="434"/>
      <c r="Q1298" s="389"/>
      <c r="R1298" s="416" t="str">
        <f t="shared" si="105"/>
        <v>DELETE</v>
      </c>
      <c r="S1298" s="421">
        <f>SUM(O1299:O1314)</f>
        <v>0</v>
      </c>
      <c r="T1298" s="421"/>
    </row>
    <row r="1299" spans="2:20" ht="31.5" customHeight="1" x14ac:dyDescent="0.45">
      <c r="B1299" s="461"/>
      <c r="C1299" s="369"/>
      <c r="D1299" s="368">
        <f>TrialBalance!C192</f>
        <v>0</v>
      </c>
      <c r="L1299" s="372"/>
      <c r="M1299" s="37"/>
      <c r="N1299" s="368"/>
      <c r="O1299" s="434">
        <f>-TrialBalance!L192</f>
        <v>0</v>
      </c>
      <c r="Q1299" s="389"/>
      <c r="R1299" s="416" t="str">
        <f>IF(O1299=0,"DELETE"," ")</f>
        <v>DELETE</v>
      </c>
    </row>
    <row r="1300" spans="2:20" ht="31.5" customHeight="1" x14ac:dyDescent="0.45">
      <c r="B1300" s="461"/>
      <c r="C1300" s="369"/>
      <c r="D1300" s="368">
        <f>TrialBalance!C193</f>
        <v>0</v>
      </c>
      <c r="L1300" s="372"/>
      <c r="M1300" s="37"/>
      <c r="N1300" s="368"/>
      <c r="O1300" s="434">
        <f>-TrialBalance!L193</f>
        <v>0</v>
      </c>
      <c r="Q1300" s="389"/>
      <c r="R1300" s="416" t="str">
        <f t="shared" ref="R1300:R1313" si="106">IF(O1300=0,"DELETE"," ")</f>
        <v>DELETE</v>
      </c>
    </row>
    <row r="1301" spans="2:20" ht="31.5" customHeight="1" x14ac:dyDescent="0.45">
      <c r="B1301" s="461"/>
      <c r="C1301" s="369"/>
      <c r="D1301" s="368">
        <f>TrialBalance!C194</f>
        <v>0</v>
      </c>
      <c r="L1301" s="372"/>
      <c r="M1301" s="37"/>
      <c r="N1301" s="368"/>
      <c r="O1301" s="434">
        <f>-TrialBalance!L194</f>
        <v>0</v>
      </c>
      <c r="Q1301" s="389"/>
      <c r="R1301" s="416" t="str">
        <f t="shared" si="106"/>
        <v>DELETE</v>
      </c>
    </row>
    <row r="1302" spans="2:20" ht="31.5" customHeight="1" x14ac:dyDescent="0.45">
      <c r="B1302" s="461"/>
      <c r="C1302" s="369"/>
      <c r="D1302" s="368">
        <f>TrialBalance!C195</f>
        <v>0</v>
      </c>
      <c r="L1302" s="372"/>
      <c r="M1302" s="37"/>
      <c r="N1302" s="368"/>
      <c r="O1302" s="434">
        <f>-TrialBalance!L195</f>
        <v>0</v>
      </c>
      <c r="Q1302" s="389"/>
      <c r="R1302" s="416" t="str">
        <f t="shared" si="106"/>
        <v>DELETE</v>
      </c>
    </row>
    <row r="1303" spans="2:20" ht="31.5" customHeight="1" x14ac:dyDescent="0.45">
      <c r="B1303" s="461"/>
      <c r="C1303" s="369"/>
      <c r="D1303" s="368">
        <f>TrialBalance!C196</f>
        <v>0</v>
      </c>
      <c r="L1303" s="372"/>
      <c r="M1303" s="37"/>
      <c r="N1303" s="368"/>
      <c r="O1303" s="434">
        <f>-TrialBalance!L196</f>
        <v>0</v>
      </c>
      <c r="Q1303" s="389"/>
      <c r="R1303" s="416" t="str">
        <f t="shared" si="106"/>
        <v>DELETE</v>
      </c>
    </row>
    <row r="1304" spans="2:20" ht="31.5" customHeight="1" x14ac:dyDescent="0.45">
      <c r="B1304" s="461"/>
      <c r="C1304" s="369"/>
      <c r="D1304" s="368">
        <f>TrialBalance!C197</f>
        <v>0</v>
      </c>
      <c r="L1304" s="372"/>
      <c r="M1304" s="37"/>
      <c r="N1304" s="368"/>
      <c r="O1304" s="434">
        <f>-TrialBalance!L197</f>
        <v>0</v>
      </c>
      <c r="Q1304" s="389"/>
      <c r="R1304" s="416" t="str">
        <f t="shared" si="106"/>
        <v>DELETE</v>
      </c>
    </row>
    <row r="1305" spans="2:20" ht="31.5" customHeight="1" x14ac:dyDescent="0.45">
      <c r="B1305" s="461"/>
      <c r="C1305" s="369"/>
      <c r="D1305" s="368">
        <f>TrialBalance!C198</f>
        <v>0</v>
      </c>
      <c r="L1305" s="372"/>
      <c r="M1305" s="37"/>
      <c r="N1305" s="368"/>
      <c r="O1305" s="434">
        <f>-TrialBalance!L198</f>
        <v>0</v>
      </c>
      <c r="Q1305" s="389"/>
      <c r="R1305" s="416" t="str">
        <f t="shared" si="106"/>
        <v>DELETE</v>
      </c>
    </row>
    <row r="1306" spans="2:20" ht="31.5" customHeight="1" x14ac:dyDescent="0.45">
      <c r="B1306" s="461"/>
      <c r="C1306" s="369"/>
      <c r="D1306" s="368">
        <f>TrialBalance!C199</f>
        <v>0</v>
      </c>
      <c r="L1306" s="372"/>
      <c r="M1306" s="37"/>
      <c r="N1306" s="368"/>
      <c r="O1306" s="434">
        <f>-TrialBalance!L199</f>
        <v>0</v>
      </c>
      <c r="Q1306" s="389"/>
      <c r="R1306" s="416" t="str">
        <f t="shared" si="106"/>
        <v>DELETE</v>
      </c>
    </row>
    <row r="1307" spans="2:20" ht="31.5" customHeight="1" x14ac:dyDescent="0.45">
      <c r="B1307" s="461"/>
      <c r="C1307" s="369"/>
      <c r="D1307" s="368">
        <f>TrialBalance!C200</f>
        <v>0</v>
      </c>
      <c r="L1307" s="372"/>
      <c r="M1307" s="37"/>
      <c r="N1307" s="368"/>
      <c r="O1307" s="434">
        <f>-TrialBalance!L200</f>
        <v>0</v>
      </c>
      <c r="Q1307" s="389"/>
      <c r="R1307" s="416" t="str">
        <f t="shared" si="106"/>
        <v>DELETE</v>
      </c>
    </row>
    <row r="1308" spans="2:20" ht="31.5" customHeight="1" x14ac:dyDescent="0.45">
      <c r="B1308" s="461"/>
      <c r="C1308" s="369"/>
      <c r="D1308" s="368">
        <f>TrialBalance!C201</f>
        <v>0</v>
      </c>
      <c r="L1308" s="372"/>
      <c r="M1308" s="37"/>
      <c r="N1308" s="368"/>
      <c r="O1308" s="434">
        <f>-TrialBalance!L201</f>
        <v>0</v>
      </c>
      <c r="Q1308" s="389"/>
      <c r="R1308" s="416" t="str">
        <f t="shared" si="106"/>
        <v>DELETE</v>
      </c>
    </row>
    <row r="1309" spans="2:20" ht="31.5" customHeight="1" x14ac:dyDescent="0.45">
      <c r="B1309" s="461"/>
      <c r="C1309" s="369"/>
      <c r="D1309" s="368">
        <f>TrialBalance!C202</f>
        <v>0</v>
      </c>
      <c r="L1309" s="372"/>
      <c r="M1309" s="37"/>
      <c r="N1309" s="368"/>
      <c r="O1309" s="434">
        <f>-TrialBalance!L202</f>
        <v>0</v>
      </c>
      <c r="Q1309" s="389"/>
      <c r="R1309" s="416" t="str">
        <f t="shared" si="106"/>
        <v>DELETE</v>
      </c>
    </row>
    <row r="1310" spans="2:20" ht="31.5" customHeight="1" x14ac:dyDescent="0.45">
      <c r="B1310" s="461"/>
      <c r="C1310" s="369"/>
      <c r="D1310" s="368">
        <f>TrialBalance!C203</f>
        <v>0</v>
      </c>
      <c r="L1310" s="372"/>
      <c r="M1310" s="37"/>
      <c r="N1310" s="368"/>
      <c r="O1310" s="434">
        <f>-TrialBalance!L203</f>
        <v>0</v>
      </c>
      <c r="Q1310" s="389"/>
      <c r="R1310" s="416" t="str">
        <f t="shared" si="106"/>
        <v>DELETE</v>
      </c>
    </row>
    <row r="1311" spans="2:20" ht="31.5" customHeight="1" x14ac:dyDescent="0.45">
      <c r="B1311" s="461"/>
      <c r="C1311" s="369"/>
      <c r="D1311" s="368">
        <f>TrialBalance!C204</f>
        <v>0</v>
      </c>
      <c r="L1311" s="372"/>
      <c r="M1311" s="37"/>
      <c r="N1311" s="368"/>
      <c r="O1311" s="434">
        <f>-TrialBalance!L204</f>
        <v>0</v>
      </c>
      <c r="Q1311" s="389"/>
      <c r="R1311" s="416" t="str">
        <f t="shared" si="106"/>
        <v>DELETE</v>
      </c>
    </row>
    <row r="1312" spans="2:20" ht="31.5" customHeight="1" x14ac:dyDescent="0.45">
      <c r="B1312" s="461"/>
      <c r="C1312" s="369"/>
      <c r="D1312" s="368">
        <f>TrialBalance!C205</f>
        <v>0</v>
      </c>
      <c r="L1312" s="372"/>
      <c r="M1312" s="37"/>
      <c r="N1312" s="368"/>
      <c r="O1312" s="434">
        <f>-TrialBalance!L205</f>
        <v>0</v>
      </c>
      <c r="Q1312" s="389"/>
      <c r="R1312" s="416" t="str">
        <f t="shared" si="106"/>
        <v>DELETE</v>
      </c>
    </row>
    <row r="1313" spans="2:22" ht="31.5" customHeight="1" x14ac:dyDescent="0.45">
      <c r="B1313" s="461"/>
      <c r="C1313" s="369"/>
      <c r="D1313" s="368">
        <f>TrialBalance!C206</f>
        <v>0</v>
      </c>
      <c r="L1313" s="372"/>
      <c r="M1313" s="37"/>
      <c r="N1313" s="368"/>
      <c r="O1313" s="434">
        <f>-TrialBalance!L206</f>
        <v>0</v>
      </c>
      <c r="Q1313" s="389"/>
      <c r="R1313" s="416" t="str">
        <f t="shared" si="106"/>
        <v>DELETE</v>
      </c>
    </row>
    <row r="1314" spans="2:22" ht="9" customHeight="1" x14ac:dyDescent="0.45">
      <c r="B1314" s="461"/>
      <c r="C1314" s="369"/>
      <c r="L1314" s="372"/>
      <c r="M1314" s="37"/>
      <c r="N1314" s="368"/>
      <c r="O1314" s="438"/>
      <c r="Q1314" s="389"/>
      <c r="R1314" s="416" t="str">
        <f>R1317</f>
        <v>DELETE</v>
      </c>
    </row>
    <row r="1315" spans="2:22" ht="9" customHeight="1" x14ac:dyDescent="0.45">
      <c r="B1315" s="461"/>
      <c r="C1315" s="369"/>
      <c r="L1315" s="372"/>
      <c r="M1315" s="37"/>
      <c r="N1315" s="368"/>
      <c r="O1315" s="434"/>
      <c r="Q1315" s="389"/>
      <c r="R1315" s="416" t="str">
        <f>R1317</f>
        <v>DELETE</v>
      </c>
    </row>
    <row r="1316" spans="2:22" ht="31.5" customHeight="1" x14ac:dyDescent="0.45">
      <c r="B1316" s="461"/>
      <c r="C1316" s="369"/>
      <c r="L1316" s="372"/>
      <c r="M1316" s="37"/>
      <c r="N1316" s="368"/>
      <c r="O1316" s="434">
        <f>SUM(O1299:O1314)</f>
        <v>0</v>
      </c>
      <c r="Q1316" s="389"/>
      <c r="R1316" s="416" t="str">
        <f>R1317</f>
        <v>DELETE</v>
      </c>
      <c r="S1316" s="422"/>
      <c r="T1316" s="422"/>
      <c r="U1316" s="422"/>
      <c r="V1316" s="422"/>
    </row>
    <row r="1317" spans="2:22" ht="31.5" customHeight="1" x14ac:dyDescent="0.45">
      <c r="B1317" s="461"/>
      <c r="C1317" s="369"/>
      <c r="D1317" s="368" t="s">
        <v>745</v>
      </c>
      <c r="L1317" s="372"/>
      <c r="M1317" s="37"/>
      <c r="N1317" s="368"/>
      <c r="O1317" s="434">
        <f>TrialBalance!L207</f>
        <v>0</v>
      </c>
      <c r="Q1317" s="389"/>
      <c r="R1317" s="416" t="str">
        <f t="shared" ref="R1317" si="107">IF(O1317=0,"DELETE"," ")</f>
        <v>DELETE</v>
      </c>
      <c r="S1317" s="422">
        <f>-O1317</f>
        <v>0</v>
      </c>
      <c r="T1317" s="422"/>
      <c r="U1317" s="422"/>
      <c r="V1317" s="422"/>
    </row>
    <row r="1318" spans="2:22" ht="9" customHeight="1" x14ac:dyDescent="0.45">
      <c r="B1318" s="461"/>
      <c r="C1318" s="369"/>
      <c r="L1318" s="372"/>
      <c r="M1318" s="37"/>
      <c r="N1318" s="368"/>
      <c r="O1318" s="438"/>
      <c r="Q1318" s="389"/>
      <c r="R1318" s="416" t="str">
        <f>R$1320</f>
        <v>DELETE</v>
      </c>
    </row>
    <row r="1319" spans="2:22" ht="9" customHeight="1" x14ac:dyDescent="0.45">
      <c r="B1319" s="461"/>
      <c r="C1319" s="369"/>
      <c r="L1319" s="372"/>
      <c r="M1319" s="37"/>
      <c r="N1319" s="368"/>
      <c r="O1319" s="434"/>
      <c r="Q1319" s="389"/>
      <c r="R1319" s="416" t="str">
        <f>R$1320</f>
        <v>DELETE</v>
      </c>
    </row>
    <row r="1320" spans="2:22" ht="31.5" customHeight="1" x14ac:dyDescent="0.45">
      <c r="B1320" s="461"/>
      <c r="C1320" s="369"/>
      <c r="L1320" s="372"/>
      <c r="M1320" s="37"/>
      <c r="N1320" s="368"/>
      <c r="O1320" s="434">
        <f>SUM(S1298:S1318)</f>
        <v>0</v>
      </c>
      <c r="Q1320" s="389"/>
      <c r="R1320" s="416" t="str">
        <f>IF(SUM(O1299:O1313)&gt;0," ","DELETE")</f>
        <v>DELETE</v>
      </c>
    </row>
    <row r="1321" spans="2:22" ht="9" customHeight="1" thickBot="1" x14ac:dyDescent="0.5">
      <c r="B1321" s="461"/>
      <c r="C1321" s="369"/>
      <c r="L1321" s="372"/>
      <c r="M1321" s="37"/>
      <c r="N1321" s="368"/>
      <c r="O1321" s="439"/>
      <c r="Q1321" s="389"/>
      <c r="R1321" s="416" t="str">
        <f t="shared" ref="R1321:R1326" si="108">R$1320</f>
        <v>DELETE</v>
      </c>
    </row>
    <row r="1322" spans="2:22" ht="9" customHeight="1" thickTop="1" x14ac:dyDescent="0.45">
      <c r="B1322" s="461"/>
      <c r="C1322" s="369"/>
      <c r="L1322" s="372"/>
      <c r="M1322" s="37"/>
      <c r="N1322" s="368"/>
      <c r="O1322" s="441"/>
      <c r="Q1322" s="389"/>
      <c r="R1322" s="416" t="str">
        <f t="shared" si="108"/>
        <v>DELETE</v>
      </c>
    </row>
    <row r="1323" spans="2:22" ht="31.5" customHeight="1" x14ac:dyDescent="0.45">
      <c r="B1323" s="461"/>
      <c r="C1323" s="369"/>
      <c r="L1323" s="372"/>
      <c r="M1323" s="37"/>
      <c r="N1323" s="368"/>
      <c r="O1323" s="434"/>
      <c r="Q1323" s="389"/>
      <c r="R1323" s="416" t="str">
        <f t="shared" si="108"/>
        <v>DELETE</v>
      </c>
    </row>
    <row r="1324" spans="2:22" ht="31.5" customHeight="1" x14ac:dyDescent="0.45">
      <c r="B1324" s="461"/>
      <c r="C1324" s="369"/>
      <c r="M1324" s="434"/>
      <c r="N1324" s="390"/>
      <c r="O1324" s="434"/>
      <c r="Q1324" s="389"/>
      <c r="R1324" s="416" t="str">
        <f t="shared" si="108"/>
        <v>DELETE</v>
      </c>
    </row>
    <row r="1325" spans="2:22" ht="31.5" customHeight="1" x14ac:dyDescent="0.45">
      <c r="B1325" s="462"/>
      <c r="C1325" s="407"/>
      <c r="D1325" s="383"/>
      <c r="E1325" s="383"/>
      <c r="F1325" s="383"/>
      <c r="G1325" s="383"/>
      <c r="H1325" s="383"/>
      <c r="I1325" s="383"/>
      <c r="J1325" s="383"/>
      <c r="K1325" s="383"/>
      <c r="L1325" s="383"/>
      <c r="M1325" s="438"/>
      <c r="N1325" s="392"/>
      <c r="O1325" s="438"/>
      <c r="P1325" s="475"/>
      <c r="Q1325" s="398"/>
      <c r="R1325" s="416" t="str">
        <f t="shared" si="108"/>
        <v>DELETE</v>
      </c>
    </row>
    <row r="1326" spans="2:22" ht="31.5" customHeight="1" x14ac:dyDescent="0.45">
      <c r="B1326" s="445"/>
      <c r="C1326" s="369"/>
      <c r="M1326" s="434"/>
      <c r="N1326" s="390"/>
      <c r="O1326" s="434"/>
      <c r="R1326" s="416" t="str">
        <f t="shared" si="108"/>
        <v>DELETE</v>
      </c>
    </row>
    <row r="1327" spans="2:22" ht="31.5" customHeight="1" x14ac:dyDescent="0.45">
      <c r="B1327" s="445"/>
      <c r="C1327" s="369"/>
      <c r="M1327" s="434"/>
      <c r="N1327" s="390"/>
      <c r="O1327" s="434"/>
      <c r="R1327" s="416" t="str">
        <f>R$1357</f>
        <v>DELETE</v>
      </c>
    </row>
    <row r="1328" spans="2:22" ht="31.5" customHeight="1" x14ac:dyDescent="0.45">
      <c r="B1328" s="431"/>
      <c r="D1328" s="369" t="str">
        <f>Criteria!E9</f>
        <v>ABC TRUST</v>
      </c>
      <c r="M1328" s="479"/>
      <c r="N1328" s="469"/>
      <c r="O1328" s="434" t="s">
        <v>105</v>
      </c>
      <c r="Q1328" s="370">
        <f>MAX($Q$114:Q1327)+1</f>
        <v>28</v>
      </c>
      <c r="R1328" s="416" t="str">
        <f t="shared" ref="R1328:R1337" si="109">R$1357</f>
        <v>DELETE</v>
      </c>
    </row>
    <row r="1329" spans="2:18" ht="31.5" customHeight="1" x14ac:dyDescent="0.45">
      <c r="B1329" s="431"/>
      <c r="D1329" s="369" t="str">
        <f>Criteria!E10</f>
        <v>T/A RENTAL PROPERTIES, SEAFRONT RESTAURANT AND SURF SHOP</v>
      </c>
      <c r="M1329" s="479"/>
      <c r="N1329" s="469"/>
      <c r="O1329" s="479"/>
      <c r="R1329" s="416" t="str">
        <f>IF(R$1357="DELETE","DELETE",IF(D1329=0,"DELETE"," "))</f>
        <v>DELETE</v>
      </c>
    </row>
    <row r="1330" spans="2:18" ht="31.5" customHeight="1" x14ac:dyDescent="0.45">
      <c r="B1330" s="431"/>
      <c r="M1330" s="479"/>
      <c r="N1330" s="469"/>
      <c r="O1330" s="479"/>
      <c r="R1330" s="416" t="str">
        <f t="shared" si="109"/>
        <v>DELETE</v>
      </c>
    </row>
    <row r="1331" spans="2:18" ht="31.5" customHeight="1" x14ac:dyDescent="0.45">
      <c r="B1331" s="431"/>
      <c r="D1331" s="369" t="s">
        <v>383</v>
      </c>
      <c r="M1331" s="479"/>
      <c r="N1331" s="469"/>
      <c r="O1331" s="479"/>
      <c r="R1331" s="416" t="str">
        <f t="shared" si="109"/>
        <v>DELETE</v>
      </c>
    </row>
    <row r="1332" spans="2:18" ht="31.5" customHeight="1" x14ac:dyDescent="0.45">
      <c r="B1332" s="431"/>
      <c r="D1332" s="369" t="str">
        <f>Criteria!E20</f>
        <v>29 FEBRUARY 2024</v>
      </c>
      <c r="J1332" s="368" t="s">
        <v>253</v>
      </c>
      <c r="M1332" s="479"/>
      <c r="N1332" s="469"/>
      <c r="O1332" s="479"/>
      <c r="R1332" s="416" t="str">
        <f t="shared" si="109"/>
        <v>DELETE</v>
      </c>
    </row>
    <row r="1333" spans="2:18" ht="31.5" customHeight="1" x14ac:dyDescent="0.45">
      <c r="B1333" s="431"/>
      <c r="M1333" s="482"/>
      <c r="N1333" s="483"/>
      <c r="O1333" s="482"/>
      <c r="R1333" s="416" t="str">
        <f t="shared" si="109"/>
        <v>DELETE</v>
      </c>
    </row>
    <row r="1334" spans="2:18" ht="31.5" customHeight="1" x14ac:dyDescent="0.45">
      <c r="B1334" s="463"/>
      <c r="C1334" s="386"/>
      <c r="D1334" s="386"/>
      <c r="E1334" s="386"/>
      <c r="F1334" s="386"/>
      <c r="G1334" s="386"/>
      <c r="H1334" s="386"/>
      <c r="I1334" s="386"/>
      <c r="J1334" s="386"/>
      <c r="K1334" s="386"/>
      <c r="L1334" s="386"/>
      <c r="M1334" s="484"/>
      <c r="N1334" s="485"/>
      <c r="O1334" s="484"/>
      <c r="P1334" s="481"/>
      <c r="Q1334" s="387"/>
      <c r="R1334" s="416" t="str">
        <f t="shared" si="109"/>
        <v>DELETE</v>
      </c>
    </row>
    <row r="1335" spans="2:18" ht="31.5" customHeight="1" x14ac:dyDescent="0.45">
      <c r="B1335" s="464"/>
      <c r="L1335" s="372"/>
      <c r="M1335" s="37"/>
      <c r="N1335" s="368"/>
      <c r="O1335" s="430">
        <f>Criteria!E22</f>
        <v>2024</v>
      </c>
      <c r="Q1335" s="389"/>
      <c r="R1335" s="416" t="str">
        <f t="shared" si="109"/>
        <v>DELETE</v>
      </c>
    </row>
    <row r="1336" spans="2:18" ht="31.5" customHeight="1" x14ac:dyDescent="0.45">
      <c r="B1336" s="461"/>
      <c r="C1336" s="369"/>
      <c r="L1336" s="372"/>
      <c r="M1336" s="37"/>
      <c r="N1336" s="368"/>
      <c r="O1336" s="434"/>
      <c r="Q1336" s="389"/>
      <c r="R1336" s="416" t="str">
        <f t="shared" si="109"/>
        <v>DELETE</v>
      </c>
    </row>
    <row r="1337" spans="2:18" ht="31.5" customHeight="1" x14ac:dyDescent="0.45">
      <c r="B1337" s="461">
        <f>MAX($B$429:B1336)+1</f>
        <v>20</v>
      </c>
      <c r="C1337" s="369" t="str">
        <f>IF(COUNTIF(TrialBalance!L209:L225,"&lt;0")&gt;1,"INTEREST FREE BORROWINGS","INTEREST FREE BORROWING")</f>
        <v>INTEREST FREE BORROWING</v>
      </c>
      <c r="L1337" s="372"/>
      <c r="M1337" s="37"/>
      <c r="N1337" s="368"/>
      <c r="O1337" s="434"/>
      <c r="Q1337" s="389"/>
      <c r="R1337" s="416" t="str">
        <f t="shared" si="109"/>
        <v>DELETE</v>
      </c>
    </row>
    <row r="1338" spans="2:18" ht="31.5" customHeight="1" x14ac:dyDescent="0.45">
      <c r="B1338" s="461"/>
      <c r="C1338" s="369"/>
      <c r="D1338" s="368" t="str">
        <f>TrialBalance!C209</f>
        <v>Beneficiaries</v>
      </c>
      <c r="L1338" s="372"/>
      <c r="M1338" s="37"/>
      <c r="N1338" s="368"/>
      <c r="O1338" s="434">
        <f>-TrialBalance!L209</f>
        <v>0</v>
      </c>
      <c r="Q1338" s="389"/>
      <c r="R1338" s="416" t="str">
        <f>IF(O1338=0,"DELETE"," ")</f>
        <v>DELETE</v>
      </c>
    </row>
    <row r="1339" spans="2:18" ht="31.5" customHeight="1" x14ac:dyDescent="0.45">
      <c r="B1339" s="461"/>
      <c r="C1339" s="369"/>
      <c r="D1339" s="368">
        <f>TrialBalance!C210</f>
        <v>0</v>
      </c>
      <c r="L1339" s="372"/>
      <c r="M1339" s="37"/>
      <c r="N1339" s="368"/>
      <c r="O1339" s="434">
        <f>-TrialBalance!L210</f>
        <v>0</v>
      </c>
      <c r="Q1339" s="389"/>
      <c r="R1339" s="416" t="str">
        <f t="shared" ref="R1339:R1354" si="110">IF(O1339=0,"DELETE"," ")</f>
        <v>DELETE</v>
      </c>
    </row>
    <row r="1340" spans="2:18" ht="31.5" customHeight="1" x14ac:dyDescent="0.45">
      <c r="B1340" s="461"/>
      <c r="C1340" s="369"/>
      <c r="D1340" s="368">
        <f>TrialBalance!C211</f>
        <v>0</v>
      </c>
      <c r="L1340" s="372"/>
      <c r="M1340" s="37"/>
      <c r="N1340" s="368"/>
      <c r="O1340" s="434">
        <f>-TrialBalance!L211</f>
        <v>0</v>
      </c>
      <c r="Q1340" s="389"/>
      <c r="R1340" s="416" t="str">
        <f t="shared" si="110"/>
        <v>DELETE</v>
      </c>
    </row>
    <row r="1341" spans="2:18" ht="31.5" customHeight="1" x14ac:dyDescent="0.45">
      <c r="B1341" s="461"/>
      <c r="C1341" s="369"/>
      <c r="D1341" s="368">
        <f>TrialBalance!C212</f>
        <v>0</v>
      </c>
      <c r="L1341" s="372"/>
      <c r="M1341" s="37"/>
      <c r="N1341" s="368"/>
      <c r="O1341" s="434">
        <f>-TrialBalance!L212</f>
        <v>0</v>
      </c>
      <c r="Q1341" s="389"/>
      <c r="R1341" s="416" t="str">
        <f t="shared" si="110"/>
        <v>DELETE</v>
      </c>
    </row>
    <row r="1342" spans="2:18" ht="31.5" customHeight="1" x14ac:dyDescent="0.45">
      <c r="B1342" s="461"/>
      <c r="C1342" s="369"/>
      <c r="D1342" s="368">
        <f>TrialBalance!C213</f>
        <v>0</v>
      </c>
      <c r="L1342" s="372"/>
      <c r="M1342" s="37"/>
      <c r="N1342" s="368"/>
      <c r="O1342" s="434">
        <f>-TrialBalance!L213</f>
        <v>0</v>
      </c>
      <c r="Q1342" s="389"/>
      <c r="R1342" s="416" t="str">
        <f t="shared" si="110"/>
        <v>DELETE</v>
      </c>
    </row>
    <row r="1343" spans="2:18" ht="31.5" customHeight="1" x14ac:dyDescent="0.45">
      <c r="B1343" s="461"/>
      <c r="C1343" s="369"/>
      <c r="D1343" s="368">
        <f>TrialBalance!C214</f>
        <v>0</v>
      </c>
      <c r="L1343" s="372"/>
      <c r="M1343" s="37"/>
      <c r="N1343" s="368"/>
      <c r="O1343" s="434">
        <f>-TrialBalance!L214</f>
        <v>0</v>
      </c>
      <c r="Q1343" s="389"/>
      <c r="R1343" s="416" t="str">
        <f t="shared" si="110"/>
        <v>DELETE</v>
      </c>
    </row>
    <row r="1344" spans="2:18" ht="31.5" customHeight="1" x14ac:dyDescent="0.45">
      <c r="B1344" s="461"/>
      <c r="C1344" s="369"/>
      <c r="D1344" s="368">
        <f>TrialBalance!C215</f>
        <v>0</v>
      </c>
      <c r="L1344" s="372"/>
      <c r="M1344" s="37"/>
      <c r="N1344" s="368"/>
      <c r="O1344" s="434">
        <f>-TrialBalance!L215</f>
        <v>0</v>
      </c>
      <c r="Q1344" s="389"/>
      <c r="R1344" s="416" t="str">
        <f t="shared" si="110"/>
        <v>DELETE</v>
      </c>
    </row>
    <row r="1345" spans="2:18" ht="31.5" customHeight="1" x14ac:dyDescent="0.45">
      <c r="B1345" s="461"/>
      <c r="C1345" s="369"/>
      <c r="D1345" s="368">
        <f>TrialBalance!C216</f>
        <v>0</v>
      </c>
      <c r="L1345" s="372"/>
      <c r="M1345" s="37"/>
      <c r="N1345" s="368"/>
      <c r="O1345" s="434">
        <f>-TrialBalance!L216</f>
        <v>0</v>
      </c>
      <c r="Q1345" s="389"/>
      <c r="R1345" s="416" t="str">
        <f t="shared" si="110"/>
        <v>DELETE</v>
      </c>
    </row>
    <row r="1346" spans="2:18" ht="31.5" customHeight="1" x14ac:dyDescent="0.45">
      <c r="B1346" s="461"/>
      <c r="C1346" s="369"/>
      <c r="D1346" s="368">
        <f>TrialBalance!C217</f>
        <v>0</v>
      </c>
      <c r="L1346" s="372"/>
      <c r="M1346" s="37"/>
      <c r="N1346" s="368"/>
      <c r="O1346" s="434">
        <f>-TrialBalance!L217</f>
        <v>0</v>
      </c>
      <c r="Q1346" s="389"/>
      <c r="R1346" s="416" t="str">
        <f t="shared" si="110"/>
        <v>DELETE</v>
      </c>
    </row>
    <row r="1347" spans="2:18" ht="31.5" customHeight="1" x14ac:dyDescent="0.45">
      <c r="B1347" s="461"/>
      <c r="C1347" s="369"/>
      <c r="D1347" s="368">
        <f>TrialBalance!C218</f>
        <v>0</v>
      </c>
      <c r="L1347" s="372"/>
      <c r="M1347" s="37"/>
      <c r="N1347" s="368"/>
      <c r="O1347" s="434">
        <f>-TrialBalance!L218</f>
        <v>0</v>
      </c>
      <c r="Q1347" s="389"/>
      <c r="R1347" s="416" t="str">
        <f t="shared" si="110"/>
        <v>DELETE</v>
      </c>
    </row>
    <row r="1348" spans="2:18" ht="31.5" customHeight="1" x14ac:dyDescent="0.45">
      <c r="B1348" s="461"/>
      <c r="C1348" s="369"/>
      <c r="D1348" s="368">
        <f>TrialBalance!C219</f>
        <v>0</v>
      </c>
      <c r="L1348" s="372"/>
      <c r="M1348" s="37"/>
      <c r="N1348" s="368"/>
      <c r="O1348" s="434">
        <f>-TrialBalance!L219</f>
        <v>0</v>
      </c>
      <c r="Q1348" s="389"/>
      <c r="R1348" s="416" t="str">
        <f t="shared" si="110"/>
        <v>DELETE</v>
      </c>
    </row>
    <row r="1349" spans="2:18" ht="31.5" customHeight="1" x14ac:dyDescent="0.45">
      <c r="B1349" s="461"/>
      <c r="C1349" s="369"/>
      <c r="D1349" s="368">
        <f>TrialBalance!C220</f>
        <v>0</v>
      </c>
      <c r="L1349" s="372"/>
      <c r="M1349" s="37"/>
      <c r="N1349" s="368"/>
      <c r="O1349" s="434">
        <f>-TrialBalance!L220</f>
        <v>0</v>
      </c>
      <c r="Q1349" s="389"/>
      <c r="R1349" s="416" t="str">
        <f t="shared" si="110"/>
        <v>DELETE</v>
      </c>
    </row>
    <row r="1350" spans="2:18" ht="31.5" customHeight="1" x14ac:dyDescent="0.45">
      <c r="B1350" s="461"/>
      <c r="C1350" s="369"/>
      <c r="D1350" s="368">
        <f>TrialBalance!C221</f>
        <v>0</v>
      </c>
      <c r="L1350" s="372"/>
      <c r="M1350" s="37"/>
      <c r="N1350" s="368"/>
      <c r="O1350" s="434">
        <f>-TrialBalance!L221</f>
        <v>0</v>
      </c>
      <c r="Q1350" s="389"/>
      <c r="R1350" s="416" t="str">
        <f t="shared" si="110"/>
        <v>DELETE</v>
      </c>
    </row>
    <row r="1351" spans="2:18" ht="31.5" customHeight="1" x14ac:dyDescent="0.45">
      <c r="B1351" s="461"/>
      <c r="C1351" s="369"/>
      <c r="D1351" s="368">
        <f>TrialBalance!C222</f>
        <v>0</v>
      </c>
      <c r="L1351" s="372"/>
      <c r="M1351" s="37"/>
      <c r="N1351" s="368"/>
      <c r="O1351" s="434">
        <f>-TrialBalance!L222</f>
        <v>0</v>
      </c>
      <c r="Q1351" s="389"/>
      <c r="R1351" s="416" t="str">
        <f t="shared" si="110"/>
        <v>DELETE</v>
      </c>
    </row>
    <row r="1352" spans="2:18" ht="31.5" customHeight="1" x14ac:dyDescent="0.45">
      <c r="B1352" s="461"/>
      <c r="C1352" s="369"/>
      <c r="D1352" s="368">
        <f>TrialBalance!C223</f>
        <v>0</v>
      </c>
      <c r="L1352" s="372"/>
      <c r="M1352" s="37"/>
      <c r="N1352" s="368"/>
      <c r="O1352" s="434">
        <f>-TrialBalance!L223</f>
        <v>0</v>
      </c>
      <c r="Q1352" s="389"/>
      <c r="R1352" s="416" t="str">
        <f t="shared" si="110"/>
        <v>DELETE</v>
      </c>
    </row>
    <row r="1353" spans="2:18" ht="31.5" customHeight="1" x14ac:dyDescent="0.45">
      <c r="B1353" s="461"/>
      <c r="C1353" s="369"/>
      <c r="D1353" s="368">
        <f>TrialBalance!C224</f>
        <v>0</v>
      </c>
      <c r="L1353" s="372"/>
      <c r="M1353" s="37"/>
      <c r="N1353" s="368"/>
      <c r="O1353" s="434">
        <f>-TrialBalance!L224</f>
        <v>0</v>
      </c>
      <c r="Q1353" s="389"/>
      <c r="R1353" s="416" t="str">
        <f t="shared" si="110"/>
        <v>DELETE</v>
      </c>
    </row>
    <row r="1354" spans="2:18" ht="31.5" customHeight="1" x14ac:dyDescent="0.45">
      <c r="B1354" s="461"/>
      <c r="C1354" s="369"/>
      <c r="D1354" s="368">
        <f>TrialBalance!C225</f>
        <v>0</v>
      </c>
      <c r="L1354" s="372"/>
      <c r="M1354" s="37"/>
      <c r="N1354" s="368"/>
      <c r="O1354" s="434">
        <f>-TrialBalance!L225</f>
        <v>0</v>
      </c>
      <c r="Q1354" s="389"/>
      <c r="R1354" s="416" t="str">
        <f t="shared" si="110"/>
        <v>DELETE</v>
      </c>
    </row>
    <row r="1355" spans="2:18" ht="9" customHeight="1" x14ac:dyDescent="0.45">
      <c r="B1355" s="461"/>
      <c r="C1355" s="369"/>
      <c r="L1355" s="372"/>
      <c r="M1355" s="37"/>
      <c r="N1355" s="368"/>
      <c r="O1355" s="438"/>
      <c r="Q1355" s="389"/>
      <c r="R1355" s="416" t="str">
        <f t="shared" ref="R1355:R1364" si="111">R$1357</f>
        <v>DELETE</v>
      </c>
    </row>
    <row r="1356" spans="2:18" ht="9" customHeight="1" x14ac:dyDescent="0.45">
      <c r="B1356" s="461"/>
      <c r="C1356" s="369"/>
      <c r="L1356" s="372"/>
      <c r="M1356" s="37"/>
      <c r="N1356" s="368"/>
      <c r="O1356" s="434"/>
      <c r="Q1356" s="389"/>
      <c r="R1356" s="416" t="str">
        <f t="shared" si="111"/>
        <v>DELETE</v>
      </c>
    </row>
    <row r="1357" spans="2:18" ht="31.5" customHeight="1" x14ac:dyDescent="0.45">
      <c r="B1357" s="461"/>
      <c r="C1357" s="369"/>
      <c r="L1357" s="372"/>
      <c r="M1357" s="37"/>
      <c r="N1357" s="368"/>
      <c r="O1357" s="434">
        <f>SUM(O1338:O1356)</f>
        <v>0</v>
      </c>
      <c r="Q1357" s="389"/>
      <c r="R1357" s="416" t="str">
        <f t="shared" ref="R1357" si="112">IF(O1357=0,"DELETE"," ")</f>
        <v>DELETE</v>
      </c>
    </row>
    <row r="1358" spans="2:18" ht="9" customHeight="1" thickBot="1" x14ac:dyDescent="0.5">
      <c r="B1358" s="461"/>
      <c r="C1358" s="369"/>
      <c r="L1358" s="372"/>
      <c r="M1358" s="37"/>
      <c r="N1358" s="368"/>
      <c r="O1358" s="439"/>
      <c r="Q1358" s="389"/>
      <c r="R1358" s="416" t="str">
        <f t="shared" si="111"/>
        <v>DELETE</v>
      </c>
    </row>
    <row r="1359" spans="2:18" ht="9" customHeight="1" thickTop="1" x14ac:dyDescent="0.45">
      <c r="B1359" s="461"/>
      <c r="C1359" s="369"/>
      <c r="L1359" s="372"/>
      <c r="M1359" s="37"/>
      <c r="N1359" s="368"/>
      <c r="O1359" s="441"/>
      <c r="Q1359" s="389"/>
      <c r="R1359" s="416" t="str">
        <f t="shared" si="111"/>
        <v>DELETE</v>
      </c>
    </row>
    <row r="1360" spans="2:18" ht="31.5" customHeight="1" x14ac:dyDescent="0.45">
      <c r="B1360" s="461"/>
      <c r="C1360" s="369"/>
      <c r="D1360" s="368" t="str">
        <f>IF(COUNTIF(TrialBalance!L209:L225,"&lt;0")=0," ",IF(COUNTIF(TrialBalance!L209:L225,"&lt;0")&gt;1,"Unsecured interest free loans with no fixed repayment terms","Unsecured interest free loan with no fixed repayment terms"))</f>
        <v xml:space="preserve"> </v>
      </c>
      <c r="L1360" s="372"/>
      <c r="M1360" s="37"/>
      <c r="N1360" s="368"/>
      <c r="O1360" s="434"/>
      <c r="Q1360" s="389"/>
      <c r="R1360" s="416" t="str">
        <f t="shared" si="111"/>
        <v>DELETE</v>
      </c>
    </row>
    <row r="1361" spans="2:18" ht="31.5" customHeight="1" x14ac:dyDescent="0.45">
      <c r="B1361" s="461"/>
      <c r="C1361" s="369"/>
      <c r="M1361" s="434"/>
      <c r="N1361" s="390"/>
      <c r="O1361" s="434"/>
      <c r="Q1361" s="389"/>
      <c r="R1361" s="416" t="str">
        <f t="shared" si="111"/>
        <v>DELETE</v>
      </c>
    </row>
    <row r="1362" spans="2:18" ht="31.5" customHeight="1" x14ac:dyDescent="0.45">
      <c r="B1362" s="461"/>
      <c r="C1362" s="369"/>
      <c r="M1362" s="434"/>
      <c r="N1362" s="390"/>
      <c r="O1362" s="434"/>
      <c r="Q1362" s="389"/>
      <c r="R1362" s="416" t="str">
        <f t="shared" si="111"/>
        <v>DELETE</v>
      </c>
    </row>
    <row r="1363" spans="2:18" ht="31.5" customHeight="1" x14ac:dyDescent="0.45">
      <c r="B1363" s="462"/>
      <c r="C1363" s="407"/>
      <c r="D1363" s="383"/>
      <c r="E1363" s="383"/>
      <c r="F1363" s="383"/>
      <c r="G1363" s="383"/>
      <c r="H1363" s="383"/>
      <c r="I1363" s="383"/>
      <c r="J1363" s="383"/>
      <c r="K1363" s="383"/>
      <c r="L1363" s="383"/>
      <c r="M1363" s="438"/>
      <c r="N1363" s="392"/>
      <c r="O1363" s="438"/>
      <c r="P1363" s="475"/>
      <c r="Q1363" s="398"/>
      <c r="R1363" s="416" t="str">
        <f t="shared" si="111"/>
        <v>DELETE</v>
      </c>
    </row>
    <row r="1364" spans="2:18" ht="31.5" customHeight="1" x14ac:dyDescent="0.45">
      <c r="B1364" s="445"/>
      <c r="C1364" s="369"/>
      <c r="M1364" s="434"/>
      <c r="N1364" s="390"/>
      <c r="O1364" s="434"/>
      <c r="R1364" s="416" t="str">
        <f t="shared" si="111"/>
        <v>DELETE</v>
      </c>
    </row>
    <row r="1365" spans="2:18" ht="31.5" customHeight="1" x14ac:dyDescent="0.45">
      <c r="B1365" s="431"/>
      <c r="M1365" s="479"/>
      <c r="N1365" s="469"/>
      <c r="O1365" s="479"/>
      <c r="R1365" s="416" t="str">
        <f>R$1384</f>
        <v>DELETE</v>
      </c>
    </row>
    <row r="1366" spans="2:18" ht="31.5" customHeight="1" x14ac:dyDescent="0.45">
      <c r="B1366" s="431"/>
      <c r="D1366" s="369" t="str">
        <f>Criteria!E9</f>
        <v>ABC TRUST</v>
      </c>
      <c r="M1366" s="479"/>
      <c r="N1366" s="469"/>
      <c r="O1366" s="434" t="s">
        <v>105</v>
      </c>
      <c r="Q1366" s="370">
        <f>MAX($Q$114:Q1365)+1</f>
        <v>29</v>
      </c>
      <c r="R1366" s="416" t="str">
        <f t="shared" ref="R1366:R1375" si="113">R$1384</f>
        <v>DELETE</v>
      </c>
    </row>
    <row r="1367" spans="2:18" ht="31.5" customHeight="1" x14ac:dyDescent="0.45">
      <c r="B1367" s="431"/>
      <c r="D1367" s="369" t="str">
        <f>Criteria!E10</f>
        <v>T/A RENTAL PROPERTIES, SEAFRONT RESTAURANT AND SURF SHOP</v>
      </c>
      <c r="M1367" s="479"/>
      <c r="N1367" s="469"/>
      <c r="O1367" s="479"/>
      <c r="R1367" s="416" t="str">
        <f>IF(R$1384="DELETE","DELETE",IF(D1367=0,"DELETE"," "))</f>
        <v>DELETE</v>
      </c>
    </row>
    <row r="1368" spans="2:18" ht="31.5" customHeight="1" x14ac:dyDescent="0.45">
      <c r="B1368" s="431"/>
      <c r="M1368" s="479"/>
      <c r="N1368" s="469"/>
      <c r="O1368" s="479"/>
      <c r="R1368" s="416" t="str">
        <f t="shared" si="113"/>
        <v>DELETE</v>
      </c>
    </row>
    <row r="1369" spans="2:18" ht="31.5" customHeight="1" x14ac:dyDescent="0.45">
      <c r="B1369" s="431"/>
      <c r="D1369" s="369" t="s">
        <v>383</v>
      </c>
      <c r="M1369" s="479"/>
      <c r="N1369" s="469"/>
      <c r="O1369" s="479"/>
      <c r="R1369" s="416" t="str">
        <f t="shared" si="113"/>
        <v>DELETE</v>
      </c>
    </row>
    <row r="1370" spans="2:18" ht="31.5" customHeight="1" x14ac:dyDescent="0.45">
      <c r="B1370" s="431"/>
      <c r="D1370" s="369" t="str">
        <f>Criteria!E20</f>
        <v>29 FEBRUARY 2024</v>
      </c>
      <c r="J1370" s="368" t="s">
        <v>253</v>
      </c>
      <c r="M1370" s="479"/>
      <c r="N1370" s="469"/>
      <c r="O1370" s="479"/>
      <c r="R1370" s="416" t="str">
        <f t="shared" si="113"/>
        <v>DELETE</v>
      </c>
    </row>
    <row r="1371" spans="2:18" ht="31.5" customHeight="1" x14ac:dyDescent="0.45">
      <c r="B1371" s="431"/>
      <c r="D1371" s="369"/>
      <c r="M1371" s="479"/>
      <c r="N1371" s="469"/>
      <c r="O1371" s="479"/>
      <c r="R1371" s="416" t="str">
        <f t="shared" si="113"/>
        <v>DELETE</v>
      </c>
    </row>
    <row r="1372" spans="2:18" ht="31.5" customHeight="1" x14ac:dyDescent="0.45">
      <c r="B1372" s="465"/>
      <c r="C1372" s="410"/>
      <c r="D1372" s="386"/>
      <c r="E1372" s="386"/>
      <c r="F1372" s="386"/>
      <c r="G1372" s="386"/>
      <c r="H1372" s="386"/>
      <c r="I1372" s="386"/>
      <c r="J1372" s="386"/>
      <c r="K1372" s="386"/>
      <c r="L1372" s="386"/>
      <c r="M1372" s="446"/>
      <c r="N1372" s="391"/>
      <c r="O1372" s="446"/>
      <c r="P1372" s="481"/>
      <c r="Q1372" s="387"/>
      <c r="R1372" s="416" t="str">
        <f t="shared" si="113"/>
        <v>DELETE</v>
      </c>
    </row>
    <row r="1373" spans="2:18" ht="31.5" customHeight="1" x14ac:dyDescent="0.45">
      <c r="B1373" s="461"/>
      <c r="C1373" s="369"/>
      <c r="L1373" s="372"/>
      <c r="M1373" s="37"/>
      <c r="N1373" s="368"/>
      <c r="O1373" s="430">
        <f>Criteria!E22</f>
        <v>2024</v>
      </c>
      <c r="Q1373" s="389"/>
      <c r="R1373" s="416" t="str">
        <f t="shared" si="113"/>
        <v>DELETE</v>
      </c>
    </row>
    <row r="1374" spans="2:18" ht="31.5" customHeight="1" x14ac:dyDescent="0.45">
      <c r="B1374" s="461"/>
      <c r="C1374" s="369"/>
      <c r="L1374" s="372"/>
      <c r="M1374" s="37"/>
      <c r="N1374" s="368"/>
      <c r="O1374" s="434"/>
      <c r="Q1374" s="389"/>
      <c r="R1374" s="416" t="str">
        <f t="shared" si="113"/>
        <v>DELETE</v>
      </c>
    </row>
    <row r="1375" spans="2:18" ht="31.5" customHeight="1" x14ac:dyDescent="0.45">
      <c r="B1375" s="461">
        <f>MAX($B$429:B1374)+1</f>
        <v>21</v>
      </c>
      <c r="C1375" s="369" t="s">
        <v>426</v>
      </c>
      <c r="L1375" s="372"/>
      <c r="M1375" s="37"/>
      <c r="N1375" s="368"/>
      <c r="O1375" s="434"/>
      <c r="Q1375" s="389"/>
      <c r="R1375" s="416" t="str">
        <f t="shared" si="113"/>
        <v>DELETE</v>
      </c>
    </row>
    <row r="1376" spans="2:18" ht="31.5" customHeight="1" x14ac:dyDescent="0.45">
      <c r="B1376" s="461"/>
      <c r="C1376" s="369"/>
      <c r="D1376" s="368" t="s">
        <v>427</v>
      </c>
      <c r="L1376" s="372"/>
      <c r="M1376" s="37"/>
      <c r="N1376" s="368"/>
      <c r="O1376" s="434">
        <f>-TrialBalance!L378-TrialBalance!L377</f>
        <v>0</v>
      </c>
      <c r="Q1376" s="389"/>
      <c r="R1376" s="416" t="str">
        <f>IF(O1376=0,"DELETE"," ")</f>
        <v>DELETE</v>
      </c>
    </row>
    <row r="1377" spans="2:18" ht="31.5" customHeight="1" x14ac:dyDescent="0.45">
      <c r="B1377" s="461"/>
      <c r="C1377" s="369"/>
      <c r="D1377" s="368" t="s">
        <v>548</v>
      </c>
      <c r="L1377" s="372"/>
      <c r="M1377" s="37"/>
      <c r="N1377" s="368"/>
      <c r="O1377" s="434">
        <f>-TrialBalance!L379</f>
        <v>0</v>
      </c>
      <c r="Q1377" s="389"/>
      <c r="R1377" s="416" t="str">
        <f t="shared" ref="R1377:R1381" si="114">IF(O1377=0,"DELETE"," ")</f>
        <v>DELETE</v>
      </c>
    </row>
    <row r="1378" spans="2:18" ht="31.5" customHeight="1" x14ac:dyDescent="0.45">
      <c r="B1378" s="461"/>
      <c r="C1378" s="369"/>
      <c r="D1378" s="368" t="s">
        <v>759</v>
      </c>
      <c r="L1378" s="372"/>
      <c r="M1378" s="37"/>
      <c r="N1378" s="368"/>
      <c r="O1378" s="434">
        <f>-TrialBalance!L380</f>
        <v>0</v>
      </c>
      <c r="Q1378" s="389"/>
      <c r="R1378" s="416" t="str">
        <f t="shared" si="114"/>
        <v>DELETE</v>
      </c>
    </row>
    <row r="1379" spans="2:18" ht="31.5" customHeight="1" x14ac:dyDescent="0.45">
      <c r="B1379" s="461"/>
      <c r="C1379" s="369"/>
      <c r="D1379" s="368" t="s">
        <v>549</v>
      </c>
      <c r="L1379" s="372"/>
      <c r="M1379" s="37"/>
      <c r="N1379" s="368"/>
      <c r="O1379" s="434">
        <f>-TrialBalance!L381</f>
        <v>0</v>
      </c>
      <c r="Q1379" s="389"/>
      <c r="R1379" s="416" t="str">
        <f t="shared" si="114"/>
        <v>DELETE</v>
      </c>
    </row>
    <row r="1380" spans="2:18" ht="31.5" customHeight="1" x14ac:dyDescent="0.45">
      <c r="B1380" s="461"/>
      <c r="C1380" s="369"/>
      <c r="D1380" s="368" t="s">
        <v>753</v>
      </c>
      <c r="L1380" s="372"/>
      <c r="M1380" s="37"/>
      <c r="N1380" s="368"/>
      <c r="O1380" s="434">
        <f>-TrialBalance!L382</f>
        <v>0</v>
      </c>
      <c r="Q1380" s="389"/>
      <c r="R1380" s="416" t="str">
        <f t="shared" si="114"/>
        <v>DELETE</v>
      </c>
    </row>
    <row r="1381" spans="2:18" ht="31.5" customHeight="1" x14ac:dyDescent="0.45">
      <c r="B1381" s="461"/>
      <c r="C1381" s="369"/>
      <c r="D1381" s="368" t="s">
        <v>535</v>
      </c>
      <c r="L1381" s="372"/>
      <c r="M1381" s="37"/>
      <c r="N1381" s="368"/>
      <c r="O1381" s="434">
        <f>IF(TrialBalance!L395&lt;0,-TrialBalance!L395,0)</f>
        <v>0</v>
      </c>
      <c r="Q1381" s="389"/>
      <c r="R1381" s="416" t="str">
        <f t="shared" si="114"/>
        <v>DELETE</v>
      </c>
    </row>
    <row r="1382" spans="2:18" ht="9" customHeight="1" x14ac:dyDescent="0.45">
      <c r="B1382" s="461"/>
      <c r="C1382" s="369"/>
      <c r="L1382" s="372"/>
      <c r="M1382" s="37"/>
      <c r="N1382" s="368"/>
      <c r="O1382" s="438"/>
      <c r="Q1382" s="389"/>
      <c r="R1382" s="416" t="str">
        <f t="shared" ref="R1382:R1390" si="115">R$1384</f>
        <v>DELETE</v>
      </c>
    </row>
    <row r="1383" spans="2:18" ht="9" customHeight="1" x14ac:dyDescent="0.45">
      <c r="B1383" s="461"/>
      <c r="C1383" s="369"/>
      <c r="L1383" s="372"/>
      <c r="M1383" s="37"/>
      <c r="N1383" s="368"/>
      <c r="O1383" s="434"/>
      <c r="Q1383" s="389"/>
      <c r="R1383" s="416" t="str">
        <f t="shared" si="115"/>
        <v>DELETE</v>
      </c>
    </row>
    <row r="1384" spans="2:18" ht="31.5" customHeight="1" x14ac:dyDescent="0.45">
      <c r="B1384" s="461"/>
      <c r="C1384" s="369"/>
      <c r="L1384" s="372"/>
      <c r="M1384" s="37"/>
      <c r="N1384" s="368"/>
      <c r="O1384" s="434">
        <f>SUM(O1376:O1383)</f>
        <v>0</v>
      </c>
      <c r="Q1384" s="389"/>
      <c r="R1384" s="416" t="str">
        <f t="shared" ref="R1384" si="116">IF(O1384=0,"DELETE"," ")</f>
        <v>DELETE</v>
      </c>
    </row>
    <row r="1385" spans="2:18" ht="9" customHeight="1" thickBot="1" x14ac:dyDescent="0.5">
      <c r="B1385" s="461"/>
      <c r="C1385" s="369"/>
      <c r="L1385" s="372"/>
      <c r="M1385" s="37"/>
      <c r="N1385" s="368"/>
      <c r="O1385" s="439"/>
      <c r="Q1385" s="389"/>
      <c r="R1385" s="416" t="str">
        <f t="shared" si="115"/>
        <v>DELETE</v>
      </c>
    </row>
    <row r="1386" spans="2:18" ht="9" customHeight="1" thickTop="1" x14ac:dyDescent="0.45">
      <c r="B1386" s="461"/>
      <c r="C1386" s="369"/>
      <c r="L1386" s="372"/>
      <c r="M1386" s="37"/>
      <c r="N1386" s="368"/>
      <c r="O1386" s="441"/>
      <c r="Q1386" s="389"/>
      <c r="R1386" s="416" t="str">
        <f t="shared" si="115"/>
        <v>DELETE</v>
      </c>
    </row>
    <row r="1387" spans="2:18" ht="31.5" customHeight="1" x14ac:dyDescent="0.45">
      <c r="B1387" s="461"/>
      <c r="C1387" s="369"/>
      <c r="L1387" s="372"/>
      <c r="M1387" s="37"/>
      <c r="N1387" s="368"/>
      <c r="O1387" s="434"/>
      <c r="Q1387" s="389"/>
      <c r="R1387" s="416" t="str">
        <f t="shared" si="115"/>
        <v>DELETE</v>
      </c>
    </row>
    <row r="1388" spans="2:18" ht="31.5" customHeight="1" x14ac:dyDescent="0.45">
      <c r="B1388" s="461"/>
      <c r="C1388" s="369"/>
      <c r="M1388" s="434"/>
      <c r="N1388" s="390"/>
      <c r="O1388" s="434"/>
      <c r="Q1388" s="389"/>
      <c r="R1388" s="416" t="str">
        <f t="shared" si="115"/>
        <v>DELETE</v>
      </c>
    </row>
    <row r="1389" spans="2:18" ht="31.5" customHeight="1" x14ac:dyDescent="0.45">
      <c r="B1389" s="462"/>
      <c r="C1389" s="407"/>
      <c r="D1389" s="383"/>
      <c r="E1389" s="383"/>
      <c r="F1389" s="383"/>
      <c r="G1389" s="383"/>
      <c r="H1389" s="383"/>
      <c r="I1389" s="383"/>
      <c r="J1389" s="383"/>
      <c r="K1389" s="383"/>
      <c r="L1389" s="383"/>
      <c r="M1389" s="438"/>
      <c r="N1389" s="392"/>
      <c r="O1389" s="438"/>
      <c r="P1389" s="475"/>
      <c r="Q1389" s="398"/>
      <c r="R1389" s="416" t="str">
        <f t="shared" si="115"/>
        <v>DELETE</v>
      </c>
    </row>
    <row r="1390" spans="2:18" ht="31.5" customHeight="1" x14ac:dyDescent="0.45">
      <c r="B1390" s="445"/>
      <c r="C1390" s="369"/>
      <c r="M1390" s="434"/>
      <c r="N1390" s="390"/>
      <c r="O1390" s="434"/>
      <c r="R1390" s="416" t="str">
        <f t="shared" si="115"/>
        <v>DELETE</v>
      </c>
    </row>
    <row r="1391" spans="2:18" ht="31.5" customHeight="1" x14ac:dyDescent="0.45">
      <c r="B1391" s="431"/>
      <c r="M1391" s="479"/>
      <c r="N1391" s="469"/>
      <c r="O1391" s="479"/>
      <c r="R1391" s="416" t="str">
        <f>R$1410</f>
        <v>DELETE</v>
      </c>
    </row>
    <row r="1392" spans="2:18" ht="31.5" customHeight="1" x14ac:dyDescent="0.45">
      <c r="B1392" s="431"/>
      <c r="D1392" s="369" t="str">
        <f>Criteria!E9</f>
        <v>ABC TRUST</v>
      </c>
      <c r="M1392" s="479"/>
      <c r="N1392" s="469"/>
      <c r="O1392" s="434" t="s">
        <v>105</v>
      </c>
      <c r="Q1392" s="370">
        <f>MAX($Q$114:Q1391)+1</f>
        <v>30</v>
      </c>
      <c r="R1392" s="416" t="str">
        <f t="shared" ref="R1392:R1401" si="117">R$1410</f>
        <v>DELETE</v>
      </c>
    </row>
    <row r="1393" spans="2:18" ht="31.5" customHeight="1" x14ac:dyDescent="0.45">
      <c r="B1393" s="431"/>
      <c r="D1393" s="369" t="str">
        <f>Criteria!E10</f>
        <v>T/A RENTAL PROPERTIES, SEAFRONT RESTAURANT AND SURF SHOP</v>
      </c>
      <c r="M1393" s="479"/>
      <c r="N1393" s="469"/>
      <c r="O1393" s="479"/>
      <c r="R1393" s="416" t="str">
        <f>IF(R$1410="DELETE","DELETE",IF(D1393=0,"DELETE"," "))</f>
        <v>DELETE</v>
      </c>
    </row>
    <row r="1394" spans="2:18" ht="31.5" customHeight="1" x14ac:dyDescent="0.45">
      <c r="B1394" s="431"/>
      <c r="M1394" s="479"/>
      <c r="N1394" s="469"/>
      <c r="O1394" s="479"/>
      <c r="R1394" s="416" t="str">
        <f t="shared" si="117"/>
        <v>DELETE</v>
      </c>
    </row>
    <row r="1395" spans="2:18" ht="31.5" customHeight="1" x14ac:dyDescent="0.45">
      <c r="B1395" s="431"/>
      <c r="D1395" s="369" t="s">
        <v>383</v>
      </c>
      <c r="M1395" s="479"/>
      <c r="N1395" s="469"/>
      <c r="O1395" s="479"/>
      <c r="R1395" s="416" t="str">
        <f t="shared" si="117"/>
        <v>DELETE</v>
      </c>
    </row>
    <row r="1396" spans="2:18" ht="31.5" customHeight="1" x14ac:dyDescent="0.45">
      <c r="B1396" s="431"/>
      <c r="D1396" s="369" t="str">
        <f>Criteria!E20</f>
        <v>29 FEBRUARY 2024</v>
      </c>
      <c r="J1396" s="368" t="s">
        <v>253</v>
      </c>
      <c r="M1396" s="479"/>
      <c r="N1396" s="469"/>
      <c r="O1396" s="479"/>
      <c r="R1396" s="416" t="str">
        <f t="shared" si="117"/>
        <v>DELETE</v>
      </c>
    </row>
    <row r="1397" spans="2:18" ht="31.5" customHeight="1" x14ac:dyDescent="0.45">
      <c r="B1397" s="431"/>
      <c r="M1397" s="482"/>
      <c r="N1397" s="483"/>
      <c r="O1397" s="482"/>
      <c r="R1397" s="416" t="str">
        <f t="shared" si="117"/>
        <v>DELETE</v>
      </c>
    </row>
    <row r="1398" spans="2:18" ht="31.5" customHeight="1" x14ac:dyDescent="0.45">
      <c r="B1398" s="463"/>
      <c r="C1398" s="386"/>
      <c r="D1398" s="386"/>
      <c r="E1398" s="386"/>
      <c r="F1398" s="386"/>
      <c r="G1398" s="386"/>
      <c r="H1398" s="386"/>
      <c r="I1398" s="386"/>
      <c r="J1398" s="386"/>
      <c r="K1398" s="386"/>
      <c r="L1398" s="386"/>
      <c r="M1398" s="484"/>
      <c r="N1398" s="485"/>
      <c r="O1398" s="484"/>
      <c r="P1398" s="481"/>
      <c r="Q1398" s="387"/>
      <c r="R1398" s="416" t="str">
        <f t="shared" si="117"/>
        <v>DELETE</v>
      </c>
    </row>
    <row r="1399" spans="2:18" ht="31.5" customHeight="1" x14ac:dyDescent="0.45">
      <c r="B1399" s="464"/>
      <c r="L1399" s="372"/>
      <c r="M1399" s="37"/>
      <c r="N1399" s="368"/>
      <c r="O1399" s="430">
        <f>Criteria!E22</f>
        <v>2024</v>
      </c>
      <c r="Q1399" s="389"/>
      <c r="R1399" s="416" t="str">
        <f t="shared" si="117"/>
        <v>DELETE</v>
      </c>
    </row>
    <row r="1400" spans="2:18" ht="31.5" customHeight="1" x14ac:dyDescent="0.45">
      <c r="B1400" s="461"/>
      <c r="C1400" s="369"/>
      <c r="L1400" s="372"/>
      <c r="M1400" s="37"/>
      <c r="N1400" s="368"/>
      <c r="O1400" s="434"/>
      <c r="Q1400" s="389"/>
      <c r="R1400" s="416" t="str">
        <f t="shared" si="117"/>
        <v>DELETE</v>
      </c>
    </row>
    <row r="1401" spans="2:18" ht="31.5" customHeight="1" x14ac:dyDescent="0.45">
      <c r="B1401" s="461">
        <f>MAX($B$429:B1400)+1</f>
        <v>22</v>
      </c>
      <c r="C1401" s="369" t="str">
        <f>IF(COUNTIF(TrialBalance!L365:L370,"&lt;0")&gt;1,"BANK OVERDRAFTS","BANK OVERDRAFT")</f>
        <v>BANK OVERDRAFT</v>
      </c>
      <c r="L1401" s="372"/>
      <c r="M1401" s="37"/>
      <c r="N1401" s="368"/>
      <c r="O1401" s="434"/>
      <c r="Q1401" s="389"/>
      <c r="R1401" s="416" t="str">
        <f t="shared" si="117"/>
        <v>DELETE</v>
      </c>
    </row>
    <row r="1402" spans="2:18" ht="31.5" customHeight="1" x14ac:dyDescent="0.45">
      <c r="B1402" s="461"/>
      <c r="C1402" s="369"/>
      <c r="D1402" s="368">
        <f>TrialBalance!C365</f>
        <v>0</v>
      </c>
      <c r="L1402" s="372"/>
      <c r="M1402" s="37"/>
      <c r="N1402" s="368"/>
      <c r="O1402" s="434">
        <f>IF(TrialBalance!L365&lt;0,-TrialBalance!L365,0)</f>
        <v>0</v>
      </c>
      <c r="Q1402" s="389"/>
      <c r="R1402" s="416" t="str">
        <f>IF(O1402=0,"DELETE"," ")</f>
        <v>DELETE</v>
      </c>
    </row>
    <row r="1403" spans="2:18" ht="31.5" customHeight="1" x14ac:dyDescent="0.45">
      <c r="B1403" s="461"/>
      <c r="C1403" s="369"/>
      <c r="D1403" s="368">
        <f>TrialBalance!C366</f>
        <v>0</v>
      </c>
      <c r="L1403" s="372"/>
      <c r="M1403" s="37"/>
      <c r="N1403" s="368"/>
      <c r="O1403" s="434">
        <f>IF(TrialBalance!L366&lt;0,-TrialBalance!L366,0)</f>
        <v>0</v>
      </c>
      <c r="Q1403" s="389"/>
      <c r="R1403" s="416" t="str">
        <f t="shared" ref="R1403:R1407" si="118">IF(O1403=0,"DELETE"," ")</f>
        <v>DELETE</v>
      </c>
    </row>
    <row r="1404" spans="2:18" ht="31.5" customHeight="1" x14ac:dyDescent="0.45">
      <c r="B1404" s="461"/>
      <c r="C1404" s="369"/>
      <c r="D1404" s="368">
        <f>TrialBalance!C367</f>
        <v>0</v>
      </c>
      <c r="L1404" s="372"/>
      <c r="M1404" s="37"/>
      <c r="N1404" s="368"/>
      <c r="O1404" s="434">
        <f>IF(TrialBalance!L367&lt;0,-TrialBalance!L367,0)</f>
        <v>0</v>
      </c>
      <c r="Q1404" s="389"/>
      <c r="R1404" s="416" t="str">
        <f t="shared" si="118"/>
        <v>DELETE</v>
      </c>
    </row>
    <row r="1405" spans="2:18" ht="31.5" customHeight="1" x14ac:dyDescent="0.45">
      <c r="B1405" s="461"/>
      <c r="C1405" s="369"/>
      <c r="D1405" s="368">
        <f>TrialBalance!C368</f>
        <v>0</v>
      </c>
      <c r="L1405" s="372"/>
      <c r="M1405" s="37"/>
      <c r="N1405" s="368"/>
      <c r="O1405" s="434">
        <f>IF(TrialBalance!L368&lt;0,-TrialBalance!L368,0)</f>
        <v>0</v>
      </c>
      <c r="Q1405" s="389"/>
      <c r="R1405" s="416" t="str">
        <f t="shared" si="118"/>
        <v>DELETE</v>
      </c>
    </row>
    <row r="1406" spans="2:18" ht="31.5" customHeight="1" x14ac:dyDescent="0.45">
      <c r="B1406" s="461"/>
      <c r="C1406" s="369"/>
      <c r="D1406" s="368">
        <f>TrialBalance!C369</f>
        <v>0</v>
      </c>
      <c r="L1406" s="372"/>
      <c r="M1406" s="37"/>
      <c r="N1406" s="368"/>
      <c r="O1406" s="434">
        <f>IF(TrialBalance!L369&lt;0,-TrialBalance!L369,0)</f>
        <v>0</v>
      </c>
      <c r="Q1406" s="389"/>
      <c r="R1406" s="416" t="str">
        <f t="shared" si="118"/>
        <v>DELETE</v>
      </c>
    </row>
    <row r="1407" spans="2:18" ht="31.5" customHeight="1" x14ac:dyDescent="0.45">
      <c r="B1407" s="461"/>
      <c r="C1407" s="369"/>
      <c r="D1407" s="368">
        <f>TrialBalance!C370</f>
        <v>0</v>
      </c>
      <c r="L1407" s="372"/>
      <c r="M1407" s="37"/>
      <c r="N1407" s="368"/>
      <c r="O1407" s="434">
        <f>IF(TrialBalance!L370&lt;0,-TrialBalance!L370,0)</f>
        <v>0</v>
      </c>
      <c r="Q1407" s="389"/>
      <c r="R1407" s="416" t="str">
        <f t="shared" si="118"/>
        <v>DELETE</v>
      </c>
    </row>
    <row r="1408" spans="2:18" ht="9" customHeight="1" x14ac:dyDescent="0.45">
      <c r="B1408" s="461"/>
      <c r="C1408" s="369"/>
      <c r="L1408" s="372"/>
      <c r="M1408" s="37"/>
      <c r="N1408" s="368"/>
      <c r="O1408" s="438"/>
      <c r="Q1408" s="389"/>
      <c r="R1408" s="416" t="str">
        <f t="shared" ref="R1408:R1416" si="119">R$1410</f>
        <v>DELETE</v>
      </c>
    </row>
    <row r="1409" spans="2:18" ht="9" customHeight="1" x14ac:dyDescent="0.45">
      <c r="B1409" s="461"/>
      <c r="C1409" s="369"/>
      <c r="L1409" s="372"/>
      <c r="M1409" s="37"/>
      <c r="N1409" s="368"/>
      <c r="O1409" s="434"/>
      <c r="Q1409" s="389"/>
      <c r="R1409" s="416" t="str">
        <f t="shared" si="119"/>
        <v>DELETE</v>
      </c>
    </row>
    <row r="1410" spans="2:18" ht="31.5" customHeight="1" x14ac:dyDescent="0.45">
      <c r="B1410" s="461"/>
      <c r="C1410" s="369"/>
      <c r="L1410" s="372"/>
      <c r="M1410" s="37"/>
      <c r="N1410" s="368"/>
      <c r="O1410" s="434">
        <f>SUM(O1402:O1409)</f>
        <v>0</v>
      </c>
      <c r="Q1410" s="389"/>
      <c r="R1410" s="416" t="str">
        <f t="shared" ref="R1410" si="120">IF(O1410=0,"DELETE"," ")</f>
        <v>DELETE</v>
      </c>
    </row>
    <row r="1411" spans="2:18" ht="9" customHeight="1" thickBot="1" x14ac:dyDescent="0.5">
      <c r="B1411" s="461"/>
      <c r="C1411" s="369"/>
      <c r="L1411" s="372"/>
      <c r="M1411" s="37"/>
      <c r="N1411" s="368"/>
      <c r="O1411" s="439"/>
      <c r="Q1411" s="389"/>
      <c r="R1411" s="416" t="str">
        <f t="shared" si="119"/>
        <v>DELETE</v>
      </c>
    </row>
    <row r="1412" spans="2:18" ht="9" customHeight="1" thickTop="1" x14ac:dyDescent="0.45">
      <c r="B1412" s="461"/>
      <c r="C1412" s="369"/>
      <c r="L1412" s="372"/>
      <c r="M1412" s="37"/>
      <c r="N1412" s="368"/>
      <c r="O1412" s="441"/>
      <c r="Q1412" s="389"/>
      <c r="R1412" s="416" t="str">
        <f t="shared" si="119"/>
        <v>DELETE</v>
      </c>
    </row>
    <row r="1413" spans="2:18" ht="31.5" customHeight="1" x14ac:dyDescent="0.45">
      <c r="B1413" s="461"/>
      <c r="C1413" s="369"/>
      <c r="L1413" s="372"/>
      <c r="M1413" s="37"/>
      <c r="N1413" s="368"/>
      <c r="O1413" s="434"/>
      <c r="Q1413" s="389"/>
      <c r="R1413" s="416" t="str">
        <f t="shared" si="119"/>
        <v>DELETE</v>
      </c>
    </row>
    <row r="1414" spans="2:18" ht="31.5" customHeight="1" x14ac:dyDescent="0.45">
      <c r="B1414" s="461"/>
      <c r="C1414" s="369"/>
      <c r="M1414" s="434"/>
      <c r="N1414" s="390"/>
      <c r="O1414" s="434"/>
      <c r="Q1414" s="389"/>
      <c r="R1414" s="416" t="str">
        <f t="shared" si="119"/>
        <v>DELETE</v>
      </c>
    </row>
    <row r="1415" spans="2:18" ht="31.5" customHeight="1" x14ac:dyDescent="0.45">
      <c r="B1415" s="462"/>
      <c r="C1415" s="407"/>
      <c r="D1415" s="383"/>
      <c r="E1415" s="383"/>
      <c r="F1415" s="383"/>
      <c r="G1415" s="383"/>
      <c r="H1415" s="383"/>
      <c r="I1415" s="383"/>
      <c r="J1415" s="383"/>
      <c r="K1415" s="383"/>
      <c r="L1415" s="383"/>
      <c r="M1415" s="438"/>
      <c r="N1415" s="392"/>
      <c r="O1415" s="438"/>
      <c r="P1415" s="475"/>
      <c r="Q1415" s="398"/>
      <c r="R1415" s="416" t="str">
        <f t="shared" si="119"/>
        <v>DELETE</v>
      </c>
    </row>
    <row r="1416" spans="2:18" ht="31.5" customHeight="1" x14ac:dyDescent="0.45">
      <c r="B1416" s="431"/>
      <c r="M1416" s="479"/>
      <c r="N1416" s="469"/>
      <c r="O1416" s="479"/>
      <c r="R1416" s="416" t="str">
        <f t="shared" si="119"/>
        <v>DELETE</v>
      </c>
    </row>
    <row r="1417" spans="2:18" ht="31.5" customHeight="1" x14ac:dyDescent="0.45">
      <c r="B1417" s="431"/>
      <c r="M1417" s="479"/>
      <c r="N1417" s="469"/>
      <c r="O1417" s="479"/>
      <c r="R1417" s="416" t="str">
        <f>R$1433</f>
        <v>DELETE</v>
      </c>
    </row>
    <row r="1418" spans="2:18" ht="31.5" customHeight="1" x14ac:dyDescent="0.45">
      <c r="B1418" s="431"/>
      <c r="D1418" s="369" t="str">
        <f>Criteria!E9</f>
        <v>ABC TRUST</v>
      </c>
      <c r="M1418" s="479"/>
      <c r="N1418" s="469"/>
      <c r="O1418" s="434" t="s">
        <v>105</v>
      </c>
      <c r="Q1418" s="370">
        <f>MAX($Q$114:Q1417)+1</f>
        <v>31</v>
      </c>
      <c r="R1418" s="416" t="str">
        <f t="shared" ref="R1418:R1427" si="121">R$1433</f>
        <v>DELETE</v>
      </c>
    </row>
    <row r="1419" spans="2:18" ht="31.5" customHeight="1" x14ac:dyDescent="0.45">
      <c r="B1419" s="431"/>
      <c r="D1419" s="369" t="str">
        <f>Criteria!E10</f>
        <v>T/A RENTAL PROPERTIES, SEAFRONT RESTAURANT AND SURF SHOP</v>
      </c>
      <c r="M1419" s="479"/>
      <c r="N1419" s="469"/>
      <c r="O1419" s="479"/>
      <c r="R1419" s="416" t="str">
        <f>IF(R$1433="DELETE","DELETE",IF(D1419=0,"DELETE"," "))</f>
        <v>DELETE</v>
      </c>
    </row>
    <row r="1420" spans="2:18" ht="31.5" customHeight="1" x14ac:dyDescent="0.45">
      <c r="B1420" s="431"/>
      <c r="M1420" s="479"/>
      <c r="N1420" s="469"/>
      <c r="O1420" s="479"/>
      <c r="R1420" s="416" t="str">
        <f t="shared" si="121"/>
        <v>DELETE</v>
      </c>
    </row>
    <row r="1421" spans="2:18" ht="31.5" customHeight="1" x14ac:dyDescent="0.45">
      <c r="B1421" s="431"/>
      <c r="D1421" s="369" t="s">
        <v>383</v>
      </c>
      <c r="M1421" s="479"/>
      <c r="N1421" s="469"/>
      <c r="O1421" s="479"/>
      <c r="R1421" s="416" t="str">
        <f t="shared" si="121"/>
        <v>DELETE</v>
      </c>
    </row>
    <row r="1422" spans="2:18" ht="31.5" customHeight="1" x14ac:dyDescent="0.45">
      <c r="B1422" s="431"/>
      <c r="D1422" s="369" t="str">
        <f>Criteria!E20</f>
        <v>29 FEBRUARY 2024</v>
      </c>
      <c r="J1422" s="368" t="s">
        <v>253</v>
      </c>
      <c r="M1422" s="479"/>
      <c r="N1422" s="469"/>
      <c r="O1422" s="479"/>
      <c r="R1422" s="416" t="str">
        <f t="shared" si="121"/>
        <v>DELETE</v>
      </c>
    </row>
    <row r="1423" spans="2:18" ht="31.5" customHeight="1" x14ac:dyDescent="0.45">
      <c r="B1423" s="431"/>
      <c r="D1423" s="369"/>
      <c r="M1423" s="479"/>
      <c r="N1423" s="469"/>
      <c r="O1423" s="479"/>
      <c r="R1423" s="416" t="str">
        <f t="shared" si="121"/>
        <v>DELETE</v>
      </c>
    </row>
    <row r="1424" spans="2:18" ht="31.5" customHeight="1" x14ac:dyDescent="0.45">
      <c r="B1424" s="465"/>
      <c r="C1424" s="410"/>
      <c r="D1424" s="386"/>
      <c r="E1424" s="386"/>
      <c r="F1424" s="386"/>
      <c r="G1424" s="386"/>
      <c r="H1424" s="386"/>
      <c r="I1424" s="386"/>
      <c r="J1424" s="386"/>
      <c r="K1424" s="386"/>
      <c r="L1424" s="386"/>
      <c r="M1424" s="446"/>
      <c r="N1424" s="391"/>
      <c r="O1424" s="446"/>
      <c r="P1424" s="481"/>
      <c r="Q1424" s="387"/>
      <c r="R1424" s="416" t="str">
        <f t="shared" si="121"/>
        <v>DELETE</v>
      </c>
    </row>
    <row r="1425" spans="2:22" ht="31.5" customHeight="1" x14ac:dyDescent="0.45">
      <c r="B1425" s="461"/>
      <c r="C1425" s="369"/>
      <c r="L1425" s="372"/>
      <c r="M1425" s="37"/>
      <c r="N1425" s="368"/>
      <c r="O1425" s="430">
        <f>Criteria!E22</f>
        <v>2024</v>
      </c>
      <c r="Q1425" s="389"/>
      <c r="R1425" s="416" t="str">
        <f t="shared" si="121"/>
        <v>DELETE</v>
      </c>
    </row>
    <row r="1426" spans="2:22" ht="31.5" customHeight="1" x14ac:dyDescent="0.45">
      <c r="B1426" s="461"/>
      <c r="C1426" s="369"/>
      <c r="L1426" s="372"/>
      <c r="M1426" s="37"/>
      <c r="N1426" s="368"/>
      <c r="O1426" s="434"/>
      <c r="Q1426" s="389"/>
      <c r="R1426" s="416" t="str">
        <f t="shared" si="121"/>
        <v>DELETE</v>
      </c>
    </row>
    <row r="1427" spans="2:22" ht="31.5" customHeight="1" x14ac:dyDescent="0.45">
      <c r="B1427" s="461">
        <f>MAX($B$429:B1426)+1</f>
        <v>23</v>
      </c>
      <c r="C1427" s="369" t="str">
        <f>IF(COUNTIF(TrialBalance!L373:L375,"&lt;0")&gt;1,"SHORT TERM LOANS","SHORT TERM LOAN")</f>
        <v>SHORT TERM LOAN</v>
      </c>
      <c r="L1427" s="372"/>
      <c r="M1427" s="37"/>
      <c r="N1427" s="368"/>
      <c r="O1427" s="434"/>
      <c r="Q1427" s="389"/>
      <c r="R1427" s="416" t="str">
        <f t="shared" si="121"/>
        <v>DELETE</v>
      </c>
    </row>
    <row r="1428" spans="2:22" ht="31.5" customHeight="1" x14ac:dyDescent="0.45">
      <c r="B1428" s="461"/>
      <c r="C1428" s="369"/>
      <c r="D1428" s="368">
        <f>TrialBalance!C373</f>
        <v>0</v>
      </c>
      <c r="L1428" s="372"/>
      <c r="M1428" s="37"/>
      <c r="N1428" s="368"/>
      <c r="O1428" s="434">
        <f>-TrialBalance!L373</f>
        <v>0</v>
      </c>
      <c r="Q1428" s="389"/>
      <c r="R1428" s="416" t="str">
        <f>IF(O1428=0,"DELETE"," ")</f>
        <v>DELETE</v>
      </c>
      <c r="S1428" s="421"/>
      <c r="T1428" s="421"/>
      <c r="U1428" s="425"/>
      <c r="V1428" s="425"/>
    </row>
    <row r="1429" spans="2:22" ht="31.5" customHeight="1" x14ac:dyDescent="0.45">
      <c r="B1429" s="461"/>
      <c r="C1429" s="369"/>
      <c r="D1429" s="368">
        <f>TrialBalance!C374</f>
        <v>0</v>
      </c>
      <c r="L1429" s="372"/>
      <c r="M1429" s="37"/>
      <c r="N1429" s="368"/>
      <c r="O1429" s="434">
        <f>-TrialBalance!L374</f>
        <v>0</v>
      </c>
      <c r="Q1429" s="389"/>
      <c r="R1429" s="416" t="str">
        <f t="shared" ref="R1429:R1430" si="122">IF(O1429=0,"DELETE"," ")</f>
        <v>DELETE</v>
      </c>
      <c r="S1429" s="421"/>
      <c r="T1429" s="421"/>
      <c r="U1429" s="425"/>
      <c r="V1429" s="425"/>
    </row>
    <row r="1430" spans="2:22" ht="31.5" customHeight="1" x14ac:dyDescent="0.45">
      <c r="B1430" s="461"/>
      <c r="C1430" s="369"/>
      <c r="D1430" s="368">
        <f>TrialBalance!C375</f>
        <v>0</v>
      </c>
      <c r="L1430" s="372"/>
      <c r="M1430" s="37"/>
      <c r="N1430" s="368"/>
      <c r="O1430" s="434">
        <f>-TrialBalance!L375</f>
        <v>0</v>
      </c>
      <c r="Q1430" s="389"/>
      <c r="R1430" s="416" t="str">
        <f t="shared" si="122"/>
        <v>DELETE</v>
      </c>
      <c r="S1430" s="421"/>
      <c r="T1430" s="421"/>
      <c r="U1430" s="425"/>
      <c r="V1430" s="425"/>
    </row>
    <row r="1431" spans="2:22" ht="9" customHeight="1" x14ac:dyDescent="0.45">
      <c r="B1431" s="461"/>
      <c r="C1431" s="369"/>
      <c r="L1431" s="372"/>
      <c r="M1431" s="37"/>
      <c r="N1431" s="368"/>
      <c r="O1431" s="438"/>
      <c r="Q1431" s="389"/>
      <c r="R1431" s="416" t="str">
        <f t="shared" ref="R1431:R1439" si="123">R$1433</f>
        <v>DELETE</v>
      </c>
    </row>
    <row r="1432" spans="2:22" ht="9" customHeight="1" x14ac:dyDescent="0.45">
      <c r="B1432" s="461"/>
      <c r="C1432" s="369"/>
      <c r="L1432" s="372"/>
      <c r="M1432" s="37"/>
      <c r="N1432" s="368"/>
      <c r="O1432" s="434"/>
      <c r="Q1432" s="389"/>
      <c r="R1432" s="416" t="str">
        <f t="shared" si="123"/>
        <v>DELETE</v>
      </c>
    </row>
    <row r="1433" spans="2:22" ht="31.5" customHeight="1" x14ac:dyDescent="0.45">
      <c r="B1433" s="461"/>
      <c r="C1433" s="369"/>
      <c r="L1433" s="372"/>
      <c r="M1433" s="37"/>
      <c r="N1433" s="368"/>
      <c r="O1433" s="434">
        <f>SUM(O1428:O1432)</f>
        <v>0</v>
      </c>
      <c r="Q1433" s="389"/>
      <c r="R1433" s="416" t="str">
        <f t="shared" ref="R1433" si="124">IF(O1433=0,"DELETE"," ")</f>
        <v>DELETE</v>
      </c>
    </row>
    <row r="1434" spans="2:22" ht="9" customHeight="1" thickBot="1" x14ac:dyDescent="0.5">
      <c r="B1434" s="461"/>
      <c r="C1434" s="369"/>
      <c r="L1434" s="372"/>
      <c r="M1434" s="37"/>
      <c r="N1434" s="368"/>
      <c r="O1434" s="439"/>
      <c r="Q1434" s="389"/>
      <c r="R1434" s="416" t="str">
        <f t="shared" si="123"/>
        <v>DELETE</v>
      </c>
    </row>
    <row r="1435" spans="2:22" ht="9" customHeight="1" thickTop="1" x14ac:dyDescent="0.45">
      <c r="B1435" s="461"/>
      <c r="C1435" s="369"/>
      <c r="L1435" s="372"/>
      <c r="M1435" s="37"/>
      <c r="N1435" s="368"/>
      <c r="O1435" s="441"/>
      <c r="Q1435" s="389"/>
      <c r="R1435" s="416" t="str">
        <f t="shared" si="123"/>
        <v>DELETE</v>
      </c>
    </row>
    <row r="1436" spans="2:22" ht="31.5" customHeight="1" x14ac:dyDescent="0.45">
      <c r="B1436" s="461"/>
      <c r="C1436" s="369"/>
      <c r="L1436" s="372"/>
      <c r="M1436" s="37"/>
      <c r="N1436" s="368"/>
      <c r="O1436" s="434"/>
      <c r="Q1436" s="389"/>
      <c r="R1436" s="416" t="str">
        <f t="shared" si="123"/>
        <v>DELETE</v>
      </c>
    </row>
    <row r="1437" spans="2:22" ht="31.5" customHeight="1" x14ac:dyDescent="0.45">
      <c r="B1437" s="461"/>
      <c r="C1437" s="369"/>
      <c r="M1437" s="434"/>
      <c r="N1437" s="390"/>
      <c r="O1437" s="434"/>
      <c r="Q1437" s="389"/>
      <c r="R1437" s="416" t="str">
        <f t="shared" si="123"/>
        <v>DELETE</v>
      </c>
    </row>
    <row r="1438" spans="2:22" ht="31.5" customHeight="1" x14ac:dyDescent="0.45">
      <c r="B1438" s="462"/>
      <c r="C1438" s="407"/>
      <c r="D1438" s="383"/>
      <c r="E1438" s="383"/>
      <c r="F1438" s="383"/>
      <c r="G1438" s="383"/>
      <c r="H1438" s="383"/>
      <c r="I1438" s="383"/>
      <c r="J1438" s="383"/>
      <c r="K1438" s="383"/>
      <c r="L1438" s="383"/>
      <c r="M1438" s="438"/>
      <c r="N1438" s="392"/>
      <c r="O1438" s="438"/>
      <c r="P1438" s="475"/>
      <c r="Q1438" s="398"/>
      <c r="R1438" s="416" t="str">
        <f t="shared" si="123"/>
        <v>DELETE</v>
      </c>
    </row>
    <row r="1439" spans="2:22" ht="31.5" customHeight="1" x14ac:dyDescent="0.45">
      <c r="B1439" s="431"/>
      <c r="M1439" s="479"/>
      <c r="N1439" s="469"/>
      <c r="O1439" s="479"/>
      <c r="R1439" s="416" t="str">
        <f t="shared" si="123"/>
        <v>DELETE</v>
      </c>
    </row>
    <row r="1440" spans="2:22" ht="31.5" customHeight="1" x14ac:dyDescent="0.45">
      <c r="B1440" s="431"/>
      <c r="M1440" s="479"/>
      <c r="N1440" s="469"/>
      <c r="O1440" s="479"/>
      <c r="R1440" s="416" t="str">
        <f>R$1456</f>
        <v>DELETE</v>
      </c>
    </row>
    <row r="1441" spans="2:18" ht="31.5" customHeight="1" x14ac:dyDescent="0.45">
      <c r="B1441" s="431"/>
      <c r="D1441" s="369" t="str">
        <f>Criteria!E9</f>
        <v>ABC TRUST</v>
      </c>
      <c r="M1441" s="479"/>
      <c r="N1441" s="469"/>
      <c r="O1441" s="434" t="s">
        <v>105</v>
      </c>
      <c r="Q1441" s="370">
        <f>MAX($Q$114:Q1440)+1</f>
        <v>32</v>
      </c>
      <c r="R1441" s="416" t="str">
        <f t="shared" ref="R1441:R1450" si="125">R$1456</f>
        <v>DELETE</v>
      </c>
    </row>
    <row r="1442" spans="2:18" ht="31.5" customHeight="1" x14ac:dyDescent="0.45">
      <c r="B1442" s="431"/>
      <c r="D1442" s="369" t="str">
        <f>Criteria!E10</f>
        <v>T/A RENTAL PROPERTIES, SEAFRONT RESTAURANT AND SURF SHOP</v>
      </c>
      <c r="M1442" s="479"/>
      <c r="N1442" s="469"/>
      <c r="O1442" s="479"/>
      <c r="R1442" s="416" t="str">
        <f>IF(R$1456="DELETE","DELETE",IF(D1442=0,"DELETE"," "))</f>
        <v>DELETE</v>
      </c>
    </row>
    <row r="1443" spans="2:18" ht="31.5" customHeight="1" x14ac:dyDescent="0.45">
      <c r="B1443" s="431"/>
      <c r="M1443" s="479"/>
      <c r="N1443" s="469"/>
      <c r="O1443" s="479"/>
      <c r="R1443" s="416" t="str">
        <f t="shared" si="125"/>
        <v>DELETE</v>
      </c>
    </row>
    <row r="1444" spans="2:18" ht="31.5" customHeight="1" x14ac:dyDescent="0.45">
      <c r="B1444" s="431"/>
      <c r="D1444" s="369" t="s">
        <v>383</v>
      </c>
      <c r="M1444" s="479"/>
      <c r="N1444" s="469"/>
      <c r="O1444" s="479"/>
      <c r="R1444" s="416" t="str">
        <f t="shared" si="125"/>
        <v>DELETE</v>
      </c>
    </row>
    <row r="1445" spans="2:18" ht="31.5" customHeight="1" x14ac:dyDescent="0.45">
      <c r="B1445" s="431"/>
      <c r="D1445" s="369" t="str">
        <f>Criteria!E20</f>
        <v>29 FEBRUARY 2024</v>
      </c>
      <c r="J1445" s="368" t="s">
        <v>253</v>
      </c>
      <c r="M1445" s="479"/>
      <c r="N1445" s="469"/>
      <c r="O1445" s="479"/>
      <c r="R1445" s="416" t="str">
        <f t="shared" si="125"/>
        <v>DELETE</v>
      </c>
    </row>
    <row r="1446" spans="2:18" ht="31.5" customHeight="1" x14ac:dyDescent="0.45">
      <c r="B1446" s="431"/>
      <c r="D1446" s="369"/>
      <c r="M1446" s="479"/>
      <c r="N1446" s="469"/>
      <c r="O1446" s="479"/>
      <c r="R1446" s="416" t="str">
        <f t="shared" si="125"/>
        <v>DELETE</v>
      </c>
    </row>
    <row r="1447" spans="2:18" ht="31.5" customHeight="1" x14ac:dyDescent="0.45">
      <c r="B1447" s="465"/>
      <c r="C1447" s="410"/>
      <c r="D1447" s="386"/>
      <c r="E1447" s="386"/>
      <c r="F1447" s="386"/>
      <c r="G1447" s="386"/>
      <c r="H1447" s="386"/>
      <c r="I1447" s="386"/>
      <c r="J1447" s="386"/>
      <c r="K1447" s="386"/>
      <c r="L1447" s="386"/>
      <c r="M1447" s="446"/>
      <c r="N1447" s="391"/>
      <c r="O1447" s="446"/>
      <c r="P1447" s="481"/>
      <c r="Q1447" s="387"/>
      <c r="R1447" s="416" t="str">
        <f t="shared" si="125"/>
        <v>DELETE</v>
      </c>
    </row>
    <row r="1448" spans="2:18" ht="31.5" customHeight="1" x14ac:dyDescent="0.45">
      <c r="B1448" s="461"/>
      <c r="C1448" s="369"/>
      <c r="L1448" s="372"/>
      <c r="M1448" s="37"/>
      <c r="N1448" s="368"/>
      <c r="O1448" s="430">
        <f>Criteria!E22</f>
        <v>2024</v>
      </c>
      <c r="Q1448" s="389"/>
      <c r="R1448" s="416" t="str">
        <f t="shared" si="125"/>
        <v>DELETE</v>
      </c>
    </row>
    <row r="1449" spans="2:18" ht="31.5" customHeight="1" x14ac:dyDescent="0.45">
      <c r="B1449" s="461"/>
      <c r="C1449" s="369"/>
      <c r="L1449" s="372"/>
      <c r="M1449" s="37"/>
      <c r="N1449" s="368"/>
      <c r="O1449" s="434"/>
      <c r="Q1449" s="389"/>
      <c r="R1449" s="416" t="str">
        <f t="shared" si="125"/>
        <v>DELETE</v>
      </c>
    </row>
    <row r="1450" spans="2:18" ht="31.5" customHeight="1" x14ac:dyDescent="0.45">
      <c r="B1450" s="461">
        <f>MAX($B$429:B1449)+1</f>
        <v>24</v>
      </c>
      <c r="C1450" s="369" t="str">
        <f>IF(COUNTIF(TrialBalance!L391:L393,"&lt;0")&gt;1,"PROVISIONS","PROVISION")</f>
        <v>PROVISION</v>
      </c>
      <c r="L1450" s="372"/>
      <c r="M1450" s="37"/>
      <c r="N1450" s="368"/>
      <c r="O1450" s="434"/>
      <c r="Q1450" s="389"/>
      <c r="R1450" s="416" t="str">
        <f t="shared" si="125"/>
        <v>DELETE</v>
      </c>
    </row>
    <row r="1451" spans="2:18" ht="31.5" customHeight="1" x14ac:dyDescent="0.45">
      <c r="B1451" s="461"/>
      <c r="C1451" s="369"/>
      <c r="D1451" s="368" t="str">
        <f>TrialBalance!C391</f>
        <v>Provision for future expenses</v>
      </c>
      <c r="L1451" s="372"/>
      <c r="M1451" s="37"/>
      <c r="N1451" s="368"/>
      <c r="O1451" s="434">
        <f>-TrialBalance!L391</f>
        <v>0</v>
      </c>
      <c r="Q1451" s="389"/>
      <c r="R1451" s="416" t="str">
        <f>IF(O1451=0,"DELETE"," ")</f>
        <v>DELETE</v>
      </c>
    </row>
    <row r="1452" spans="2:18" ht="31.5" customHeight="1" x14ac:dyDescent="0.45">
      <c r="B1452" s="461"/>
      <c r="C1452" s="369"/>
      <c r="D1452" s="368" t="str">
        <f>TrialBalance!C392</f>
        <v>Provision for insurance</v>
      </c>
      <c r="L1452" s="372"/>
      <c r="M1452" s="37"/>
      <c r="N1452" s="368"/>
      <c r="O1452" s="434">
        <f>-TrialBalance!L392</f>
        <v>0</v>
      </c>
      <c r="Q1452" s="389"/>
      <c r="R1452" s="416" t="str">
        <f t="shared" ref="R1452:R1453" si="126">IF(O1452=0,"DELETE"," ")</f>
        <v>DELETE</v>
      </c>
    </row>
    <row r="1453" spans="2:18" ht="31.5" customHeight="1" x14ac:dyDescent="0.45">
      <c r="B1453" s="461"/>
      <c r="C1453" s="369"/>
      <c r="D1453" s="368" t="str">
        <f>TrialBalance!C393</f>
        <v>Provision for salary bonus</v>
      </c>
      <c r="L1453" s="372"/>
      <c r="M1453" s="37"/>
      <c r="N1453" s="368"/>
      <c r="O1453" s="434">
        <f>-TrialBalance!L393</f>
        <v>0</v>
      </c>
      <c r="Q1453" s="389"/>
      <c r="R1453" s="416" t="str">
        <f t="shared" si="126"/>
        <v>DELETE</v>
      </c>
    </row>
    <row r="1454" spans="2:18" ht="9" customHeight="1" x14ac:dyDescent="0.45">
      <c r="B1454" s="461"/>
      <c r="C1454" s="369"/>
      <c r="L1454" s="372"/>
      <c r="M1454" s="37"/>
      <c r="N1454" s="368"/>
      <c r="O1454" s="438"/>
      <c r="Q1454" s="389"/>
      <c r="R1454" s="416" t="str">
        <f t="shared" ref="R1454:R1462" si="127">R$1456</f>
        <v>DELETE</v>
      </c>
    </row>
    <row r="1455" spans="2:18" ht="9" customHeight="1" x14ac:dyDescent="0.45">
      <c r="B1455" s="461"/>
      <c r="C1455" s="369"/>
      <c r="L1455" s="372"/>
      <c r="M1455" s="37"/>
      <c r="N1455" s="368"/>
      <c r="O1455" s="434"/>
      <c r="Q1455" s="389"/>
      <c r="R1455" s="416" t="str">
        <f t="shared" si="127"/>
        <v>DELETE</v>
      </c>
    </row>
    <row r="1456" spans="2:18" ht="31.5" customHeight="1" x14ac:dyDescent="0.45">
      <c r="B1456" s="461"/>
      <c r="C1456" s="369"/>
      <c r="L1456" s="372"/>
      <c r="M1456" s="37"/>
      <c r="N1456" s="368"/>
      <c r="O1456" s="434">
        <f>SUM(O1451:O1455)</f>
        <v>0</v>
      </c>
      <c r="Q1456" s="389"/>
      <c r="R1456" s="416" t="str">
        <f t="shared" ref="R1456" si="128">IF(O1456=0,"DELETE"," ")</f>
        <v>DELETE</v>
      </c>
    </row>
    <row r="1457" spans="2:18" ht="9" customHeight="1" thickBot="1" x14ac:dyDescent="0.5">
      <c r="B1457" s="461"/>
      <c r="C1457" s="369"/>
      <c r="L1457" s="372"/>
      <c r="M1457" s="37"/>
      <c r="N1457" s="368"/>
      <c r="O1457" s="439"/>
      <c r="Q1457" s="389"/>
      <c r="R1457" s="416" t="str">
        <f t="shared" si="127"/>
        <v>DELETE</v>
      </c>
    </row>
    <row r="1458" spans="2:18" ht="9" customHeight="1" thickTop="1" x14ac:dyDescent="0.45">
      <c r="B1458" s="461"/>
      <c r="C1458" s="369"/>
      <c r="L1458" s="372"/>
      <c r="M1458" s="37"/>
      <c r="N1458" s="368"/>
      <c r="O1458" s="441"/>
      <c r="Q1458" s="389"/>
      <c r="R1458" s="416" t="str">
        <f t="shared" si="127"/>
        <v>DELETE</v>
      </c>
    </row>
    <row r="1459" spans="2:18" ht="31.5" customHeight="1" x14ac:dyDescent="0.45">
      <c r="B1459" s="461"/>
      <c r="C1459" s="369"/>
      <c r="L1459" s="372"/>
      <c r="M1459" s="37"/>
      <c r="N1459" s="368"/>
      <c r="O1459" s="434"/>
      <c r="Q1459" s="389"/>
      <c r="R1459" s="416" t="str">
        <f t="shared" si="127"/>
        <v>DELETE</v>
      </c>
    </row>
    <row r="1460" spans="2:18" ht="31.5" customHeight="1" x14ac:dyDescent="0.45">
      <c r="B1460" s="461"/>
      <c r="C1460" s="369"/>
      <c r="M1460" s="434"/>
      <c r="N1460" s="390"/>
      <c r="O1460" s="434"/>
      <c r="Q1460" s="389"/>
      <c r="R1460" s="416" t="str">
        <f t="shared" si="127"/>
        <v>DELETE</v>
      </c>
    </row>
    <row r="1461" spans="2:18" ht="31.5" customHeight="1" x14ac:dyDescent="0.45">
      <c r="B1461" s="462"/>
      <c r="C1461" s="407"/>
      <c r="D1461" s="383"/>
      <c r="E1461" s="383"/>
      <c r="F1461" s="383"/>
      <c r="G1461" s="383"/>
      <c r="H1461" s="383"/>
      <c r="I1461" s="383"/>
      <c r="J1461" s="383"/>
      <c r="K1461" s="383"/>
      <c r="L1461" s="383"/>
      <c r="M1461" s="438"/>
      <c r="N1461" s="392"/>
      <c r="O1461" s="438"/>
      <c r="P1461" s="475"/>
      <c r="Q1461" s="398"/>
      <c r="R1461" s="416" t="str">
        <f t="shared" si="127"/>
        <v>DELETE</v>
      </c>
    </row>
    <row r="1462" spans="2:18" ht="31.5" customHeight="1" x14ac:dyDescent="0.45">
      <c r="B1462" s="445"/>
      <c r="C1462" s="369"/>
      <c r="M1462" s="434"/>
      <c r="N1462" s="390"/>
      <c r="O1462" s="434"/>
      <c r="R1462" s="416" t="str">
        <f t="shared" si="127"/>
        <v>DELETE</v>
      </c>
    </row>
    <row r="1463" spans="2:18" ht="31.5" customHeight="1" x14ac:dyDescent="0.45">
      <c r="B1463" s="445"/>
      <c r="C1463" s="369"/>
      <c r="M1463" s="434"/>
      <c r="N1463" s="390"/>
      <c r="O1463" s="434"/>
      <c r="R1463" s="416" t="str">
        <f t="shared" ref="R1463:R1473" si="129">R$1483</f>
        <v>DELETE</v>
      </c>
    </row>
    <row r="1464" spans="2:18" ht="31.5" customHeight="1" x14ac:dyDescent="0.45">
      <c r="B1464" s="445"/>
      <c r="C1464" s="369"/>
      <c r="D1464" s="369" t="str">
        <f>Criteria!E9</f>
        <v>ABC TRUST</v>
      </c>
      <c r="M1464" s="479"/>
      <c r="N1464" s="469"/>
      <c r="O1464" s="434" t="s">
        <v>105</v>
      </c>
      <c r="Q1464" s="370">
        <f>MAX($Q$114:Q1463)+1</f>
        <v>33</v>
      </c>
      <c r="R1464" s="416" t="str">
        <f t="shared" si="129"/>
        <v>DELETE</v>
      </c>
    </row>
    <row r="1465" spans="2:18" ht="31.5" customHeight="1" x14ac:dyDescent="0.45">
      <c r="B1465" s="445"/>
      <c r="C1465" s="369"/>
      <c r="D1465" s="369" t="str">
        <f>Criteria!E10</f>
        <v>T/A RENTAL PROPERTIES, SEAFRONT RESTAURANT AND SURF SHOP</v>
      </c>
      <c r="M1465" s="479"/>
      <c r="N1465" s="469"/>
      <c r="O1465" s="479"/>
      <c r="R1465" s="416" t="str">
        <f>IF(R$1483="DELETE","DELETE",IF(D1465=0,"DELETE"," "))</f>
        <v>DELETE</v>
      </c>
    </row>
    <row r="1466" spans="2:18" ht="31.5" customHeight="1" x14ac:dyDescent="0.45">
      <c r="B1466" s="445"/>
      <c r="C1466" s="369"/>
      <c r="M1466" s="479"/>
      <c r="N1466" s="469"/>
      <c r="O1466" s="479"/>
      <c r="R1466" s="416" t="str">
        <f t="shared" si="129"/>
        <v>DELETE</v>
      </c>
    </row>
    <row r="1467" spans="2:18" ht="31.5" customHeight="1" x14ac:dyDescent="0.45">
      <c r="B1467" s="445"/>
      <c r="C1467" s="369"/>
      <c r="D1467" s="369" t="s">
        <v>383</v>
      </c>
      <c r="M1467" s="479"/>
      <c r="N1467" s="469"/>
      <c r="O1467" s="479"/>
      <c r="R1467" s="416" t="str">
        <f t="shared" si="129"/>
        <v>DELETE</v>
      </c>
    </row>
    <row r="1468" spans="2:18" ht="31.5" customHeight="1" x14ac:dyDescent="0.45">
      <c r="B1468" s="445"/>
      <c r="C1468" s="369"/>
      <c r="D1468" s="369" t="str">
        <f>Criteria!E20</f>
        <v>29 FEBRUARY 2024</v>
      </c>
      <c r="J1468" s="368" t="s">
        <v>253</v>
      </c>
      <c r="M1468" s="479"/>
      <c r="N1468" s="469"/>
      <c r="O1468" s="479"/>
      <c r="R1468" s="416" t="str">
        <f t="shared" si="129"/>
        <v>DELETE</v>
      </c>
    </row>
    <row r="1469" spans="2:18" ht="31.5" customHeight="1" x14ac:dyDescent="0.45">
      <c r="B1469" s="445"/>
      <c r="C1469" s="369"/>
      <c r="M1469" s="434"/>
      <c r="N1469" s="390"/>
      <c r="O1469" s="434"/>
      <c r="R1469" s="416" t="str">
        <f t="shared" si="129"/>
        <v>DELETE</v>
      </c>
    </row>
    <row r="1470" spans="2:18" ht="31.5" customHeight="1" x14ac:dyDescent="0.45">
      <c r="B1470" s="465"/>
      <c r="C1470" s="410"/>
      <c r="D1470" s="386"/>
      <c r="E1470" s="386"/>
      <c r="F1470" s="386"/>
      <c r="G1470" s="386"/>
      <c r="H1470" s="386"/>
      <c r="I1470" s="386"/>
      <c r="J1470" s="386"/>
      <c r="K1470" s="386"/>
      <c r="L1470" s="386"/>
      <c r="M1470" s="446"/>
      <c r="N1470" s="391"/>
      <c r="O1470" s="446"/>
      <c r="P1470" s="481"/>
      <c r="Q1470" s="387"/>
      <c r="R1470" s="416" t="str">
        <f t="shared" si="129"/>
        <v>DELETE</v>
      </c>
    </row>
    <row r="1471" spans="2:18" ht="31.5" customHeight="1" x14ac:dyDescent="0.45">
      <c r="B1471" s="461"/>
      <c r="C1471" s="369"/>
      <c r="M1471" s="441"/>
      <c r="N1471" s="400"/>
      <c r="O1471" s="430">
        <f>Criteria!E22</f>
        <v>2024</v>
      </c>
      <c r="P1471" s="478"/>
      <c r="Q1471" s="389"/>
      <c r="R1471" s="416" t="str">
        <f t="shared" si="129"/>
        <v>DELETE</v>
      </c>
    </row>
    <row r="1472" spans="2:18" ht="31.5" customHeight="1" x14ac:dyDescent="0.45">
      <c r="B1472" s="461"/>
      <c r="C1472" s="369"/>
      <c r="M1472" s="441"/>
      <c r="N1472" s="400"/>
      <c r="O1472" s="441"/>
      <c r="P1472" s="478"/>
      <c r="Q1472" s="389"/>
      <c r="R1472" s="416" t="str">
        <f t="shared" si="129"/>
        <v>DELETE</v>
      </c>
    </row>
    <row r="1473" spans="2:23" ht="31.5" customHeight="1" x14ac:dyDescent="0.45">
      <c r="B1473" s="461">
        <f>MAX($B$429:B1472)+1</f>
        <v>25</v>
      </c>
      <c r="C1473" s="411" t="str">
        <f>IF(W1483=2,"CURRENT TAX LIABILITY","CURRENT TAX ASSET")</f>
        <v>CURRENT TAX LIABILITY</v>
      </c>
      <c r="D1473" s="372"/>
      <c r="M1473" s="400"/>
      <c r="N1473" s="400"/>
      <c r="O1473" s="441"/>
      <c r="P1473" s="478"/>
      <c r="Q1473" s="389"/>
      <c r="R1473" s="416" t="str">
        <f t="shared" si="129"/>
        <v>DELETE</v>
      </c>
    </row>
    <row r="1474" spans="2:23" ht="31.5" customHeight="1" x14ac:dyDescent="0.45">
      <c r="B1474" s="461"/>
      <c r="C1474" s="369"/>
      <c r="D1474" s="384" t="str">
        <f>IF(W1474=2,"Current tax liability at the beginning of the year","Current tax asset at the beginning of the year")</f>
        <v>Current tax liability at the beginning of the year</v>
      </c>
      <c r="M1474" s="400"/>
      <c r="N1474" s="400"/>
      <c r="O1474" s="441">
        <f>-TrialBalance!L384</f>
        <v>0</v>
      </c>
      <c r="P1474" s="478"/>
      <c r="Q1474" s="389"/>
      <c r="R1474" s="416" t="str">
        <f t="shared" ref="R1474:R1480" si="130">IF(O1474=0,"DELETE"," ")</f>
        <v>DELETE</v>
      </c>
      <c r="W1474" s="417">
        <f>IF(O1474&lt;0,1,2)</f>
        <v>2</v>
      </c>
    </row>
    <row r="1475" spans="2:23" ht="31.5" customHeight="1" x14ac:dyDescent="0.45">
      <c r="B1475" s="461"/>
      <c r="C1475" s="369"/>
      <c r="D1475" s="368" t="s">
        <v>1185</v>
      </c>
      <c r="M1475" s="400"/>
      <c r="N1475" s="400"/>
      <c r="O1475" s="441">
        <f>-TrialBalance!L385</f>
        <v>0</v>
      </c>
      <c r="P1475" s="478"/>
      <c r="Q1475" s="389"/>
      <c r="R1475" s="416" t="str">
        <f t="shared" si="130"/>
        <v>DELETE</v>
      </c>
      <c r="U1475" s="417" t="b">
        <f>O1475=O775</f>
        <v>1</v>
      </c>
    </row>
    <row r="1476" spans="2:23" ht="31.5" customHeight="1" x14ac:dyDescent="0.45">
      <c r="B1476" s="461"/>
      <c r="C1476" s="369"/>
      <c r="D1476" s="368" t="s">
        <v>1186</v>
      </c>
      <c r="M1476" s="400"/>
      <c r="N1476" s="400"/>
      <c r="O1476" s="441">
        <f>-TrialBalance!L386</f>
        <v>0</v>
      </c>
      <c r="P1476" s="478"/>
      <c r="Q1476" s="389"/>
      <c r="R1476" s="416" t="str">
        <f t="shared" si="130"/>
        <v>DELETE</v>
      </c>
      <c r="U1476" s="417" t="b">
        <f>O1476=O776</f>
        <v>1</v>
      </c>
    </row>
    <row r="1477" spans="2:23" ht="31.5" customHeight="1" x14ac:dyDescent="0.45">
      <c r="B1477" s="461"/>
      <c r="C1477" s="369"/>
      <c r="D1477" s="368" t="s">
        <v>1187</v>
      </c>
      <c r="M1477" s="400"/>
      <c r="N1477" s="400"/>
      <c r="O1477" s="441">
        <f>-TrialBalance!L387</f>
        <v>0</v>
      </c>
      <c r="P1477" s="478"/>
      <c r="Q1477" s="389"/>
      <c r="R1477" s="416" t="str">
        <f t="shared" si="130"/>
        <v>DELETE</v>
      </c>
    </row>
    <row r="1478" spans="2:23" ht="31.5" customHeight="1" x14ac:dyDescent="0.45">
      <c r="B1478" s="461"/>
      <c r="C1478" s="369"/>
      <c r="D1478" s="368" t="s">
        <v>1188</v>
      </c>
      <c r="M1478" s="400"/>
      <c r="N1478" s="400"/>
      <c r="O1478" s="441">
        <f>-TrialBalance!L388</f>
        <v>0</v>
      </c>
      <c r="P1478" s="478"/>
      <c r="Q1478" s="389"/>
      <c r="R1478" s="416" t="str">
        <f t="shared" si="130"/>
        <v>DELETE</v>
      </c>
    </row>
    <row r="1479" spans="2:23" ht="31.5" customHeight="1" x14ac:dyDescent="0.45">
      <c r="B1479" s="461"/>
      <c r="C1479" s="369"/>
      <c r="D1479" s="368" t="s">
        <v>1189</v>
      </c>
      <c r="M1479" s="400"/>
      <c r="N1479" s="400"/>
      <c r="O1479" s="441">
        <f>-TrialBalance!L389</f>
        <v>0</v>
      </c>
      <c r="P1479" s="478"/>
      <c r="Q1479" s="389"/>
      <c r="R1479" s="416" t="str">
        <f t="shared" si="130"/>
        <v>DELETE</v>
      </c>
    </row>
    <row r="1480" spans="2:23" ht="31.5" customHeight="1" x14ac:dyDescent="0.45">
      <c r="B1480" s="461"/>
      <c r="C1480" s="369"/>
      <c r="D1480" s="368" t="s">
        <v>1190</v>
      </c>
      <c r="M1480" s="400"/>
      <c r="N1480" s="400"/>
      <c r="O1480" s="441">
        <f>-TrialBalance!L390</f>
        <v>0</v>
      </c>
      <c r="P1480" s="478"/>
      <c r="Q1480" s="389"/>
      <c r="R1480" s="416" t="str">
        <f t="shared" si="130"/>
        <v>DELETE</v>
      </c>
    </row>
    <row r="1481" spans="2:23" ht="9" customHeight="1" x14ac:dyDescent="0.45">
      <c r="B1481" s="461"/>
      <c r="C1481" s="369"/>
      <c r="M1481" s="400"/>
      <c r="N1481" s="400"/>
      <c r="O1481" s="438"/>
      <c r="P1481" s="478"/>
      <c r="Q1481" s="389"/>
      <c r="R1481" s="416" t="str">
        <f>R$1483</f>
        <v>DELETE</v>
      </c>
    </row>
    <row r="1482" spans="2:23" ht="9" customHeight="1" x14ac:dyDescent="0.45">
      <c r="B1482" s="461"/>
      <c r="C1482" s="369"/>
      <c r="M1482" s="400"/>
      <c r="N1482" s="400"/>
      <c r="O1482" s="441"/>
      <c r="P1482" s="478"/>
      <c r="Q1482" s="389"/>
      <c r="R1482" s="416" t="str">
        <f>R$1483</f>
        <v>DELETE</v>
      </c>
    </row>
    <row r="1483" spans="2:23" ht="31.5" customHeight="1" x14ac:dyDescent="0.45">
      <c r="B1483" s="461"/>
      <c r="C1483" s="369"/>
      <c r="D1483" s="384" t="str">
        <f>IF(W1483=2,"Current tax liability at the end of the year","Current tax asset at the end of the year")</f>
        <v>Current tax liability at the end of the year</v>
      </c>
      <c r="M1483" s="400"/>
      <c r="N1483" s="400"/>
      <c r="O1483" s="441">
        <f>SUM(O1474:O1481)</f>
        <v>0</v>
      </c>
      <c r="P1483" s="478"/>
      <c r="Q1483" s="389"/>
      <c r="R1483" s="416" t="str">
        <f>IF(O1483=0,IF(COUNTIF(O1474:O1480,"&gt;0")&gt;0," ","DELETE")," ")</f>
        <v>DELETE</v>
      </c>
      <c r="W1483" s="417">
        <f>IF(O1483&lt;0,1,2)</f>
        <v>2</v>
      </c>
    </row>
    <row r="1484" spans="2:23" ht="9" customHeight="1" thickBot="1" x14ac:dyDescent="0.5">
      <c r="B1484" s="461"/>
      <c r="C1484" s="369"/>
      <c r="M1484" s="400"/>
      <c r="N1484" s="400"/>
      <c r="O1484" s="439"/>
      <c r="P1484" s="478"/>
      <c r="Q1484" s="389"/>
      <c r="R1484" s="416" t="str">
        <f t="shared" ref="R1484:R1489" si="131">R$1483</f>
        <v>DELETE</v>
      </c>
    </row>
    <row r="1485" spans="2:23" ht="9" customHeight="1" thickTop="1" x14ac:dyDescent="0.45">
      <c r="B1485" s="461"/>
      <c r="C1485" s="369"/>
      <c r="M1485" s="400"/>
      <c r="N1485" s="400"/>
      <c r="O1485" s="441"/>
      <c r="P1485" s="478"/>
      <c r="Q1485" s="389"/>
      <c r="R1485" s="416" t="str">
        <f t="shared" si="131"/>
        <v>DELETE</v>
      </c>
    </row>
    <row r="1486" spans="2:23" ht="31.5" customHeight="1" x14ac:dyDescent="0.45">
      <c r="B1486" s="461"/>
      <c r="C1486" s="369"/>
      <c r="M1486" s="441"/>
      <c r="N1486" s="400"/>
      <c r="O1486" s="441"/>
      <c r="P1486" s="478"/>
      <c r="Q1486" s="389"/>
      <c r="R1486" s="416" t="str">
        <f t="shared" si="131"/>
        <v>DELETE</v>
      </c>
    </row>
    <row r="1487" spans="2:23" ht="31.5" customHeight="1" x14ac:dyDescent="0.45">
      <c r="B1487" s="461"/>
      <c r="C1487" s="369"/>
      <c r="M1487" s="441"/>
      <c r="N1487" s="400"/>
      <c r="O1487" s="441"/>
      <c r="P1487" s="478"/>
      <c r="Q1487" s="389"/>
      <c r="R1487" s="416" t="str">
        <f t="shared" si="131"/>
        <v>DELETE</v>
      </c>
    </row>
    <row r="1488" spans="2:23" ht="31.5" customHeight="1" x14ac:dyDescent="0.45">
      <c r="B1488" s="462"/>
      <c r="C1488" s="407"/>
      <c r="D1488" s="383"/>
      <c r="E1488" s="383"/>
      <c r="F1488" s="383"/>
      <c r="G1488" s="383"/>
      <c r="H1488" s="383"/>
      <c r="I1488" s="383"/>
      <c r="J1488" s="383"/>
      <c r="K1488" s="383"/>
      <c r="L1488" s="383"/>
      <c r="M1488" s="438"/>
      <c r="N1488" s="392"/>
      <c r="O1488" s="438"/>
      <c r="P1488" s="475"/>
      <c r="Q1488" s="398"/>
      <c r="R1488" s="416" t="str">
        <f t="shared" si="131"/>
        <v>DELETE</v>
      </c>
    </row>
    <row r="1489" spans="2:22" ht="31.5" customHeight="1" x14ac:dyDescent="0.45">
      <c r="B1489" s="445"/>
      <c r="C1489" s="369"/>
      <c r="M1489" s="434"/>
      <c r="N1489" s="390"/>
      <c r="O1489" s="434"/>
      <c r="R1489" s="416" t="str">
        <f t="shared" si="131"/>
        <v>DELETE</v>
      </c>
    </row>
    <row r="1490" spans="2:22" ht="31.5" customHeight="1" x14ac:dyDescent="0.45">
      <c r="M1490" s="479"/>
      <c r="N1490" s="469"/>
      <c r="O1490" s="479"/>
    </row>
    <row r="1491" spans="2:22" ht="31.5" customHeight="1" x14ac:dyDescent="0.45">
      <c r="D1491" s="369" t="str">
        <f>Criteria!E9</f>
        <v>ABC TRUST</v>
      </c>
      <c r="M1491" s="479"/>
      <c r="N1491" s="469"/>
      <c r="O1491" s="434" t="s">
        <v>105</v>
      </c>
      <c r="Q1491" s="370">
        <f>MAX($Q$114:Q1490)+1</f>
        <v>34</v>
      </c>
    </row>
    <row r="1492" spans="2:22" ht="31.5" customHeight="1" x14ac:dyDescent="0.45">
      <c r="D1492" s="369" t="str">
        <f>IF(Criteria!E13=0," ",CONCATENATE("T/A ",Criteria!E13))</f>
        <v>T/A RENTAL PROPERTIES</v>
      </c>
      <c r="M1492" s="479"/>
      <c r="N1492" s="469"/>
      <c r="O1492" s="479"/>
      <c r="R1492" s="416" t="str">
        <f>IF(Criteria!E13=0,"DELETE"," ")</f>
        <v xml:space="preserve"> </v>
      </c>
    </row>
    <row r="1493" spans="2:22" ht="31.5" customHeight="1" x14ac:dyDescent="0.45">
      <c r="M1493" s="479"/>
      <c r="N1493" s="469"/>
      <c r="O1493" s="479"/>
    </row>
    <row r="1494" spans="2:22" ht="31.5" customHeight="1" x14ac:dyDescent="0.45">
      <c r="D1494" s="369" t="s">
        <v>100</v>
      </c>
      <c r="M1494" s="479"/>
      <c r="N1494" s="469"/>
      <c r="O1494" s="479"/>
    </row>
    <row r="1495" spans="2:22" ht="31.5" customHeight="1" x14ac:dyDescent="0.45">
      <c r="D1495" s="369" t="str">
        <f>Criteria!E20</f>
        <v>29 FEBRUARY 2024</v>
      </c>
      <c r="M1495" s="479"/>
      <c r="N1495" s="469"/>
      <c r="O1495" s="479"/>
    </row>
    <row r="1496" spans="2:22" ht="31.5" customHeight="1" x14ac:dyDescent="0.45">
      <c r="M1496" s="479"/>
      <c r="N1496" s="469"/>
      <c r="O1496" s="479"/>
    </row>
    <row r="1497" spans="2:22" ht="31.5" customHeight="1" x14ac:dyDescent="0.45">
      <c r="B1497" s="385"/>
      <c r="C1497" s="386"/>
      <c r="D1497" s="386"/>
      <c r="E1497" s="386"/>
      <c r="F1497" s="386"/>
      <c r="G1497" s="386"/>
      <c r="H1497" s="386"/>
      <c r="I1497" s="386"/>
      <c r="J1497" s="386"/>
      <c r="K1497" s="386"/>
      <c r="L1497" s="386"/>
      <c r="M1497" s="484"/>
      <c r="N1497" s="485"/>
      <c r="O1497" s="484"/>
      <c r="P1497" s="481"/>
      <c r="Q1497" s="387"/>
    </row>
    <row r="1498" spans="2:22" ht="31.5" customHeight="1" x14ac:dyDescent="0.45">
      <c r="B1498" s="388"/>
      <c r="J1498" s="370"/>
      <c r="K1498" s="370" t="s">
        <v>113</v>
      </c>
      <c r="L1498" s="372"/>
      <c r="M1498" s="37"/>
      <c r="N1498" s="370"/>
      <c r="O1498" s="430">
        <f>Criteria!E22</f>
        <v>2024</v>
      </c>
      <c r="P1498" s="380"/>
      <c r="Q1498" s="389"/>
    </row>
    <row r="1499" spans="2:22" ht="31.5" customHeight="1" x14ac:dyDescent="0.45">
      <c r="B1499" s="388"/>
      <c r="J1499" s="370"/>
      <c r="K1499" s="370"/>
      <c r="L1499" s="372"/>
      <c r="M1499" s="37"/>
      <c r="N1499" s="370"/>
      <c r="O1499" s="434"/>
      <c r="P1499" s="380"/>
      <c r="Q1499" s="389"/>
    </row>
    <row r="1500" spans="2:22" ht="31.5" customHeight="1" x14ac:dyDescent="0.45">
      <c r="B1500" s="388"/>
      <c r="C1500" s="369" t="s">
        <v>1044</v>
      </c>
      <c r="J1500" s="370"/>
      <c r="K1500" s="370"/>
      <c r="L1500" s="372"/>
      <c r="M1500" s="37"/>
      <c r="N1500" s="370"/>
      <c r="O1500" s="434">
        <f>-SUM(TrialBalance!L6:L7)</f>
        <v>0</v>
      </c>
      <c r="P1500" s="380"/>
      <c r="Q1500" s="389"/>
      <c r="R1500" s="416" t="str">
        <f>IF(O1500=0,IF(O1502=0," ","DELETE")," ")</f>
        <v xml:space="preserve"> </v>
      </c>
      <c r="S1500" s="421">
        <f>O1500</f>
        <v>0</v>
      </c>
      <c r="T1500" s="421"/>
      <c r="U1500" s="421"/>
      <c r="V1500" s="421"/>
    </row>
    <row r="1501" spans="2:22" ht="31.5" customHeight="1" x14ac:dyDescent="0.45">
      <c r="B1501" s="388"/>
      <c r="C1501" s="369"/>
      <c r="J1501" s="370"/>
      <c r="K1501" s="370"/>
      <c r="L1501" s="372"/>
      <c r="M1501" s="37"/>
      <c r="N1501" s="370"/>
      <c r="O1501" s="434"/>
      <c r="P1501" s="380"/>
      <c r="Q1501" s="389"/>
      <c r="R1501" s="416" t="str">
        <f>R1500</f>
        <v xml:space="preserve"> </v>
      </c>
      <c r="S1501" s="421"/>
      <c r="T1501" s="421"/>
      <c r="U1501" s="421"/>
      <c r="V1501" s="421"/>
    </row>
    <row r="1502" spans="2:22" ht="31.5" customHeight="1" x14ac:dyDescent="0.45">
      <c r="B1502" s="388"/>
      <c r="C1502" s="369" t="s">
        <v>497</v>
      </c>
      <c r="J1502" s="370"/>
      <c r="K1502" s="370"/>
      <c r="L1502" s="372"/>
      <c r="M1502" s="37"/>
      <c r="N1502" s="370"/>
      <c r="O1502" s="434">
        <f>-TrialBalance!L8</f>
        <v>0</v>
      </c>
      <c r="P1502" s="380"/>
      <c r="Q1502" s="389"/>
      <c r="R1502" s="416" t="str">
        <f>IF(O1502=0,"DELETE"," ")</f>
        <v>DELETE</v>
      </c>
      <c r="S1502" s="421">
        <f>O1502</f>
        <v>0</v>
      </c>
      <c r="T1502" s="421"/>
      <c r="U1502" s="421"/>
      <c r="V1502" s="421"/>
    </row>
    <row r="1503" spans="2:22" ht="31.5" customHeight="1" x14ac:dyDescent="0.45">
      <c r="B1503" s="388"/>
      <c r="C1503" s="369"/>
      <c r="J1503" s="370"/>
      <c r="K1503" s="370"/>
      <c r="L1503" s="372"/>
      <c r="M1503" s="37"/>
      <c r="N1503" s="370"/>
      <c r="O1503" s="434"/>
      <c r="P1503" s="380"/>
      <c r="Q1503" s="389"/>
      <c r="R1503" s="416" t="str">
        <f>R1502</f>
        <v>DELETE</v>
      </c>
    </row>
    <row r="1504" spans="2:22" ht="31.5" customHeight="1" x14ac:dyDescent="0.45">
      <c r="B1504" s="388"/>
      <c r="C1504" s="369" t="s">
        <v>275</v>
      </c>
      <c r="J1504" s="370"/>
      <c r="K1504" s="370"/>
      <c r="L1504" s="372"/>
      <c r="M1504" s="37"/>
      <c r="N1504" s="370"/>
      <c r="O1504" s="434">
        <f>SUM(O1507:O1514)</f>
        <v>0</v>
      </c>
      <c r="P1504" s="380"/>
      <c r="Q1504" s="389"/>
      <c r="R1504" s="416" t="str">
        <f>IF(O1504=0,"DELETE"," ")</f>
        <v>DELETE</v>
      </c>
      <c r="S1504" s="421">
        <f>-O1504</f>
        <v>0</v>
      </c>
      <c r="T1504" s="421"/>
      <c r="U1504" s="421"/>
      <c r="V1504" s="421"/>
    </row>
    <row r="1505" spans="2:23" ht="9" customHeight="1" x14ac:dyDescent="0.45">
      <c r="B1505" s="388"/>
      <c r="C1505" s="369"/>
      <c r="J1505" s="370"/>
      <c r="K1505" s="370"/>
      <c r="L1505" s="372"/>
      <c r="M1505" s="37"/>
      <c r="N1505" s="370"/>
      <c r="O1505" s="434"/>
      <c r="P1505" s="380"/>
      <c r="Q1505" s="389"/>
      <c r="R1505" s="416" t="str">
        <f>R1504</f>
        <v>DELETE</v>
      </c>
    </row>
    <row r="1506" spans="2:23" ht="9" customHeight="1" x14ac:dyDescent="0.45">
      <c r="B1506" s="388"/>
      <c r="C1506" s="369"/>
      <c r="J1506" s="370"/>
      <c r="K1506" s="370"/>
      <c r="L1506" s="372"/>
      <c r="M1506" s="37"/>
      <c r="N1506" s="370"/>
      <c r="O1506" s="455"/>
      <c r="P1506" s="380"/>
      <c r="Q1506" s="389"/>
      <c r="R1506" s="416" t="str">
        <f>R1505</f>
        <v>DELETE</v>
      </c>
    </row>
    <row r="1507" spans="2:23" ht="31.5" customHeight="1" x14ac:dyDescent="0.45">
      <c r="B1507" s="388"/>
      <c r="C1507" s="369"/>
      <c r="D1507" s="368" t="s">
        <v>499</v>
      </c>
      <c r="J1507" s="370"/>
      <c r="K1507" s="370"/>
      <c r="L1507" s="372"/>
      <c r="M1507" s="37"/>
      <c r="N1507" s="370"/>
      <c r="O1507" s="456">
        <f>SUM(TrialBalance!L10:L13)</f>
        <v>0</v>
      </c>
      <c r="P1507" s="380"/>
      <c r="Q1507" s="389"/>
      <c r="R1507" s="416" t="str">
        <f t="shared" ref="R1507:R1514" si="132">IF(O1507=0,"DELETE"," ")</f>
        <v>DELETE</v>
      </c>
    </row>
    <row r="1508" spans="2:23" ht="31.5" customHeight="1" x14ac:dyDescent="0.45">
      <c r="B1508" s="388"/>
      <c r="C1508" s="369"/>
      <c r="D1508" s="368" t="s">
        <v>276</v>
      </c>
      <c r="J1508" s="370"/>
      <c r="K1508" s="370"/>
      <c r="L1508" s="372"/>
      <c r="M1508" s="37"/>
      <c r="N1508" s="370"/>
      <c r="O1508" s="456">
        <f>TrialBalance!L14</f>
        <v>0</v>
      </c>
      <c r="P1508" s="380"/>
      <c r="Q1508" s="389"/>
      <c r="R1508" s="416" t="str">
        <f t="shared" si="132"/>
        <v>DELETE</v>
      </c>
    </row>
    <row r="1509" spans="2:23" ht="31.5" customHeight="1" x14ac:dyDescent="0.45">
      <c r="B1509" s="388"/>
      <c r="C1509" s="369"/>
      <c r="D1509" s="368">
        <f>TrialBalance!C15</f>
        <v>0</v>
      </c>
      <c r="J1509" s="370"/>
      <c r="K1509" s="370"/>
      <c r="L1509" s="372"/>
      <c r="M1509" s="37"/>
      <c r="N1509" s="370"/>
      <c r="O1509" s="456">
        <f>TrialBalance!L15</f>
        <v>0</v>
      </c>
      <c r="P1509" s="380"/>
      <c r="Q1509" s="389"/>
      <c r="R1509" s="416" t="str">
        <f t="shared" si="132"/>
        <v>DELETE</v>
      </c>
    </row>
    <row r="1510" spans="2:23" ht="31.5" customHeight="1" x14ac:dyDescent="0.45">
      <c r="B1510" s="388"/>
      <c r="C1510" s="369"/>
      <c r="D1510" s="368">
        <f>TrialBalance!C16</f>
        <v>0</v>
      </c>
      <c r="J1510" s="370"/>
      <c r="K1510" s="370"/>
      <c r="L1510" s="372"/>
      <c r="M1510" s="37"/>
      <c r="N1510" s="370"/>
      <c r="O1510" s="456">
        <f>TrialBalance!L16</f>
        <v>0</v>
      </c>
      <c r="P1510" s="380"/>
      <c r="Q1510" s="389"/>
      <c r="R1510" s="416" t="str">
        <f t="shared" si="132"/>
        <v>DELETE</v>
      </c>
    </row>
    <row r="1511" spans="2:23" ht="31.5" customHeight="1" x14ac:dyDescent="0.45">
      <c r="B1511" s="388"/>
      <c r="C1511" s="369"/>
      <c r="D1511" s="368">
        <f>TrialBalance!C17</f>
        <v>0</v>
      </c>
      <c r="J1511" s="370"/>
      <c r="K1511" s="370"/>
      <c r="L1511" s="372"/>
      <c r="M1511" s="37"/>
      <c r="N1511" s="370"/>
      <c r="O1511" s="456">
        <f>TrialBalance!L17</f>
        <v>0</v>
      </c>
      <c r="P1511" s="380"/>
      <c r="Q1511" s="389"/>
      <c r="R1511" s="416" t="str">
        <f t="shared" si="132"/>
        <v>DELETE</v>
      </c>
    </row>
    <row r="1512" spans="2:23" ht="31.5" customHeight="1" x14ac:dyDescent="0.45">
      <c r="B1512" s="388"/>
      <c r="C1512" s="369"/>
      <c r="D1512" s="368">
        <f>TrialBalance!C18</f>
        <v>0</v>
      </c>
      <c r="J1512" s="370"/>
      <c r="K1512" s="370"/>
      <c r="L1512" s="372"/>
      <c r="M1512" s="37"/>
      <c r="N1512" s="370"/>
      <c r="O1512" s="456">
        <f>TrialBalance!L18</f>
        <v>0</v>
      </c>
      <c r="P1512" s="380"/>
      <c r="Q1512" s="389"/>
      <c r="R1512" s="416" t="str">
        <f t="shared" si="132"/>
        <v>DELETE</v>
      </c>
    </row>
    <row r="1513" spans="2:23" ht="31.5" customHeight="1" x14ac:dyDescent="0.45">
      <c r="B1513" s="388"/>
      <c r="C1513" s="369"/>
      <c r="D1513" s="368">
        <f>TrialBalance!C19</f>
        <v>0</v>
      </c>
      <c r="J1513" s="370"/>
      <c r="K1513" s="370"/>
      <c r="L1513" s="372"/>
      <c r="M1513" s="37"/>
      <c r="N1513" s="370"/>
      <c r="O1513" s="456">
        <f>TrialBalance!L19</f>
        <v>0</v>
      </c>
      <c r="P1513" s="380"/>
      <c r="Q1513" s="389"/>
      <c r="R1513" s="416" t="str">
        <f t="shared" si="132"/>
        <v>DELETE</v>
      </c>
    </row>
    <row r="1514" spans="2:23" ht="31.5" customHeight="1" x14ac:dyDescent="0.45">
      <c r="B1514" s="388"/>
      <c r="C1514" s="369"/>
      <c r="D1514" s="368" t="s">
        <v>500</v>
      </c>
      <c r="J1514" s="370"/>
      <c r="K1514" s="370"/>
      <c r="L1514" s="372"/>
      <c r="M1514" s="37"/>
      <c r="N1514" s="370"/>
      <c r="O1514" s="456">
        <f>SUM(TrialBalance!L20:L23)</f>
        <v>0</v>
      </c>
      <c r="P1514" s="380"/>
      <c r="Q1514" s="389"/>
      <c r="R1514" s="416" t="str">
        <f t="shared" si="132"/>
        <v>DELETE</v>
      </c>
    </row>
    <row r="1515" spans="2:23" ht="9" customHeight="1" x14ac:dyDescent="0.45">
      <c r="B1515" s="388"/>
      <c r="C1515" s="369"/>
      <c r="J1515" s="370"/>
      <c r="K1515" s="370"/>
      <c r="L1515" s="372"/>
      <c r="M1515" s="37"/>
      <c r="N1515" s="370"/>
      <c r="O1515" s="457"/>
      <c r="P1515" s="380"/>
      <c r="Q1515" s="389"/>
      <c r="R1515" s="416" t="str">
        <f>R1504</f>
        <v>DELETE</v>
      </c>
    </row>
    <row r="1516" spans="2:23" ht="9" customHeight="1" x14ac:dyDescent="0.45">
      <c r="B1516" s="388"/>
      <c r="C1516" s="369"/>
      <c r="J1516" s="370"/>
      <c r="K1516" s="370"/>
      <c r="L1516" s="372"/>
      <c r="M1516" s="37"/>
      <c r="N1516" s="370"/>
      <c r="O1516" s="438"/>
      <c r="P1516" s="380"/>
      <c r="Q1516" s="389"/>
      <c r="R1516" s="416" t="str">
        <f>R1504</f>
        <v>DELETE</v>
      </c>
    </row>
    <row r="1517" spans="2:23" ht="9" customHeight="1" x14ac:dyDescent="0.45">
      <c r="B1517" s="388"/>
      <c r="C1517" s="369"/>
      <c r="J1517" s="370"/>
      <c r="K1517" s="370"/>
      <c r="L1517" s="372"/>
      <c r="M1517" s="37"/>
      <c r="N1517" s="370"/>
      <c r="O1517" s="434"/>
      <c r="P1517" s="380"/>
      <c r="Q1517" s="389"/>
      <c r="R1517" s="416" t="str">
        <f>R1516</f>
        <v>DELETE</v>
      </c>
    </row>
    <row r="1518" spans="2:23" ht="31.5" customHeight="1" x14ac:dyDescent="0.45">
      <c r="B1518" s="388"/>
      <c r="C1518" s="411" t="str">
        <f>IF((W1518=2),"GROSS PROFIT","GROSS LOSS")</f>
        <v>GROSS PROFIT</v>
      </c>
      <c r="J1518" s="370"/>
      <c r="K1518" s="370"/>
      <c r="L1518" s="372"/>
      <c r="M1518" s="37"/>
      <c r="N1518" s="370"/>
      <c r="O1518" s="434">
        <f>SUM(S1500:S1515)</f>
        <v>0</v>
      </c>
      <c r="P1518" s="380"/>
      <c r="Q1518" s="389"/>
      <c r="R1518" s="416" t="str">
        <f>R1517</f>
        <v>DELETE</v>
      </c>
      <c r="W1518" s="417">
        <f>IF(O1518&lt;0,1,2)</f>
        <v>2</v>
      </c>
    </row>
    <row r="1519" spans="2:23" ht="31.5" customHeight="1" x14ac:dyDescent="0.45">
      <c r="B1519" s="388"/>
      <c r="C1519" s="369"/>
      <c r="J1519" s="370"/>
      <c r="K1519" s="370"/>
      <c r="L1519" s="372"/>
      <c r="M1519" s="37"/>
      <c r="N1519" s="370"/>
      <c r="O1519" s="434"/>
      <c r="P1519" s="380"/>
      <c r="Q1519" s="389"/>
      <c r="R1519" s="416" t="str">
        <f>R1518</f>
        <v>DELETE</v>
      </c>
    </row>
    <row r="1520" spans="2:23" ht="31.5" customHeight="1" x14ac:dyDescent="0.45">
      <c r="B1520" s="388"/>
      <c r="C1520" s="369" t="s">
        <v>319</v>
      </c>
      <c r="J1520" s="370"/>
      <c r="K1520" s="370"/>
      <c r="L1520" s="372"/>
      <c r="M1520" s="37"/>
      <c r="N1520" s="370"/>
      <c r="O1520" s="434">
        <f>SUM(O1522:O1529)</f>
        <v>0</v>
      </c>
      <c r="P1520" s="380"/>
      <c r="Q1520" s="389"/>
      <c r="R1520" s="416" t="str">
        <f t="shared" ref="R1520" si="133">IF(O1520=0,"DELETE"," ")</f>
        <v>DELETE</v>
      </c>
      <c r="S1520" s="421">
        <f>O1520</f>
        <v>0</v>
      </c>
      <c r="T1520" s="421"/>
    </row>
    <row r="1521" spans="2:22" ht="9" customHeight="1" x14ac:dyDescent="0.45">
      <c r="B1521" s="388"/>
      <c r="C1521" s="369"/>
      <c r="J1521" s="370"/>
      <c r="K1521" s="370"/>
      <c r="L1521" s="372"/>
      <c r="M1521" s="37"/>
      <c r="N1521" s="370"/>
      <c r="O1521" s="434"/>
      <c r="P1521" s="380"/>
      <c r="Q1521" s="389"/>
      <c r="R1521" s="416" t="str">
        <f>R1520</f>
        <v>DELETE</v>
      </c>
    </row>
    <row r="1522" spans="2:22" ht="9" customHeight="1" x14ac:dyDescent="0.45">
      <c r="B1522" s="388"/>
      <c r="C1522" s="369"/>
      <c r="J1522" s="370"/>
      <c r="K1522" s="370"/>
      <c r="L1522" s="372"/>
      <c r="M1522" s="37"/>
      <c r="N1522" s="370"/>
      <c r="O1522" s="455"/>
      <c r="P1522" s="380"/>
      <c r="Q1522" s="389"/>
      <c r="R1522" s="416" t="str">
        <f>R1520</f>
        <v>DELETE</v>
      </c>
    </row>
    <row r="1523" spans="2:22" ht="31.5" customHeight="1" x14ac:dyDescent="0.45">
      <c r="B1523" s="388"/>
      <c r="C1523" s="369"/>
      <c r="D1523" s="368" t="str">
        <f>TrialBalance!C25</f>
        <v>Insurance claims - Rental Properties</v>
      </c>
      <c r="J1523" s="370"/>
      <c r="K1523" s="370"/>
      <c r="L1523" s="372"/>
      <c r="M1523" s="37"/>
      <c r="N1523" s="370"/>
      <c r="O1523" s="456">
        <f>-TrialBalance!L25</f>
        <v>0</v>
      </c>
      <c r="P1523" s="380"/>
      <c r="Q1523" s="389"/>
      <c r="R1523" s="416" t="str">
        <f t="shared" ref="R1523:R1527" si="134">IF(O1523=0,"DELETE"," ")</f>
        <v>DELETE</v>
      </c>
    </row>
    <row r="1524" spans="2:22" ht="31.5" customHeight="1" x14ac:dyDescent="0.45">
      <c r="B1524" s="388"/>
      <c r="C1524" s="369"/>
      <c r="D1524" s="368" t="str">
        <f>TrialBalance!C26</f>
        <v>Government grants received</v>
      </c>
      <c r="J1524" s="370"/>
      <c r="K1524" s="370"/>
      <c r="L1524" s="372"/>
      <c r="M1524" s="37"/>
      <c r="N1524" s="370"/>
      <c r="O1524" s="456">
        <f>-TrialBalance!L26</f>
        <v>0</v>
      </c>
      <c r="P1524" s="380"/>
      <c r="Q1524" s="389"/>
      <c r="R1524" s="416" t="str">
        <f t="shared" si="134"/>
        <v>DELETE</v>
      </c>
    </row>
    <row r="1525" spans="2:22" ht="31.5" customHeight="1" x14ac:dyDescent="0.45">
      <c r="B1525" s="388"/>
      <c r="C1525" s="369"/>
      <c r="D1525" s="368">
        <f>TrialBalance!C27</f>
        <v>0</v>
      </c>
      <c r="J1525" s="370"/>
      <c r="K1525" s="370"/>
      <c r="L1525" s="372"/>
      <c r="M1525" s="37"/>
      <c r="N1525" s="370"/>
      <c r="O1525" s="456">
        <f>-TrialBalance!L27</f>
        <v>0</v>
      </c>
      <c r="P1525" s="380"/>
      <c r="Q1525" s="389"/>
      <c r="R1525" s="416" t="str">
        <f t="shared" si="134"/>
        <v>DELETE</v>
      </c>
    </row>
    <row r="1526" spans="2:22" ht="31.5" customHeight="1" x14ac:dyDescent="0.45">
      <c r="B1526" s="388"/>
      <c r="C1526" s="369"/>
      <c r="D1526" s="368">
        <f>TrialBalance!C28</f>
        <v>0</v>
      </c>
      <c r="J1526" s="370"/>
      <c r="K1526" s="370"/>
      <c r="L1526" s="372"/>
      <c r="M1526" s="37"/>
      <c r="N1526" s="370"/>
      <c r="O1526" s="456">
        <f>-TrialBalance!L28</f>
        <v>0</v>
      </c>
      <c r="P1526" s="380"/>
      <c r="Q1526" s="389"/>
      <c r="R1526" s="416" t="str">
        <f t="shared" si="134"/>
        <v>DELETE</v>
      </c>
    </row>
    <row r="1527" spans="2:22" ht="31.5" customHeight="1" x14ac:dyDescent="0.45">
      <c r="B1527" s="388"/>
      <c r="C1527" s="369"/>
      <c r="D1527" s="368">
        <f>TrialBalance!C29</f>
        <v>0</v>
      </c>
      <c r="J1527" s="370"/>
      <c r="K1527" s="370"/>
      <c r="L1527" s="372"/>
      <c r="M1527" s="37"/>
      <c r="N1527" s="370"/>
      <c r="O1527" s="456">
        <f>-TrialBalance!L29</f>
        <v>0</v>
      </c>
      <c r="P1527" s="380"/>
      <c r="Q1527" s="389"/>
      <c r="R1527" s="416" t="str">
        <f t="shared" si="134"/>
        <v>DELETE</v>
      </c>
    </row>
    <row r="1528" spans="2:22" ht="31.5" customHeight="1" x14ac:dyDescent="0.45">
      <c r="B1528" s="388"/>
      <c r="C1528" s="369"/>
      <c r="D1528" s="368" t="str">
        <f>TrialBalance!C30</f>
        <v>Recoupment of depreciation</v>
      </c>
      <c r="J1528" s="370"/>
      <c r="K1528" s="370"/>
      <c r="L1528" s="372"/>
      <c r="M1528" s="37"/>
      <c r="N1528" s="370"/>
      <c r="O1528" s="456">
        <f>-TrialBalance!L30</f>
        <v>0</v>
      </c>
      <c r="P1528" s="380"/>
      <c r="Q1528" s="389"/>
      <c r="R1528" s="416" t="str">
        <f>IF(O1528=0,"DELETE"," ")</f>
        <v>DELETE</v>
      </c>
    </row>
    <row r="1529" spans="2:22" ht="9" customHeight="1" x14ac:dyDescent="0.45">
      <c r="B1529" s="388"/>
      <c r="C1529" s="369"/>
      <c r="J1529" s="370"/>
      <c r="K1529" s="370"/>
      <c r="L1529" s="372"/>
      <c r="M1529" s="37"/>
      <c r="N1529" s="370"/>
      <c r="O1529" s="457"/>
      <c r="P1529" s="380"/>
      <c r="Q1529" s="389"/>
      <c r="R1529" s="416" t="str">
        <f>R1520</f>
        <v>DELETE</v>
      </c>
    </row>
    <row r="1530" spans="2:22" ht="9" customHeight="1" x14ac:dyDescent="0.45">
      <c r="B1530" s="388"/>
      <c r="C1530" s="369"/>
      <c r="J1530" s="370"/>
      <c r="K1530" s="370"/>
      <c r="L1530" s="372"/>
      <c r="M1530" s="37"/>
      <c r="N1530" s="370"/>
      <c r="O1530" s="447"/>
      <c r="P1530" s="380"/>
      <c r="Q1530" s="389"/>
      <c r="R1530" s="416" t="str">
        <f>R1529</f>
        <v>DELETE</v>
      </c>
    </row>
    <row r="1531" spans="2:22" ht="9" customHeight="1" x14ac:dyDescent="0.45">
      <c r="B1531" s="388"/>
      <c r="C1531" s="369"/>
      <c r="J1531" s="370"/>
      <c r="K1531" s="370"/>
      <c r="L1531" s="372"/>
      <c r="M1531" s="37"/>
      <c r="N1531" s="370"/>
      <c r="O1531" s="434"/>
      <c r="P1531" s="380"/>
      <c r="Q1531" s="389"/>
      <c r="R1531" s="416" t="str">
        <f>R1530</f>
        <v>DELETE</v>
      </c>
    </row>
    <row r="1532" spans="2:22" ht="31.5" customHeight="1" x14ac:dyDescent="0.45">
      <c r="B1532" s="388"/>
      <c r="C1532" s="369"/>
      <c r="J1532" s="370"/>
      <c r="K1532" s="370"/>
      <c r="L1532" s="372"/>
      <c r="M1532" s="37"/>
      <c r="N1532" s="370"/>
      <c r="O1532" s="434">
        <f>SUM(S1500:S1520)</f>
        <v>0</v>
      </c>
      <c r="P1532" s="380"/>
      <c r="Q1532" s="389"/>
      <c r="R1532" s="416" t="str">
        <f>R1520</f>
        <v>DELETE</v>
      </c>
    </row>
    <row r="1533" spans="2:22" ht="31.5" customHeight="1" x14ac:dyDescent="0.45">
      <c r="B1533" s="388"/>
      <c r="C1533" s="369"/>
      <c r="J1533" s="370"/>
      <c r="K1533" s="370"/>
      <c r="L1533" s="372"/>
      <c r="M1533" s="37"/>
      <c r="N1533" s="370"/>
      <c r="O1533" s="434"/>
      <c r="P1533" s="380"/>
      <c r="Q1533" s="389"/>
      <c r="R1533" s="416" t="str">
        <f>R1532</f>
        <v>DELETE</v>
      </c>
    </row>
    <row r="1534" spans="2:22" ht="31.5" customHeight="1" x14ac:dyDescent="0.45">
      <c r="B1534" s="388"/>
      <c r="C1534" s="369" t="s">
        <v>1051</v>
      </c>
      <c r="J1534" s="370"/>
      <c r="K1534" s="370"/>
      <c r="L1534" s="372"/>
      <c r="M1534" s="37"/>
      <c r="N1534" s="370"/>
      <c r="O1534" s="434">
        <f>SUM(O1536:O1564)</f>
        <v>0</v>
      </c>
      <c r="P1534" s="380"/>
      <c r="Q1534" s="389"/>
      <c r="R1534" s="416" t="str">
        <f t="shared" ref="R1534" si="135">IF(O1534=0,"DELETE"," ")</f>
        <v>DELETE</v>
      </c>
      <c r="S1534" s="421">
        <f>-O1534</f>
        <v>0</v>
      </c>
      <c r="T1534" s="421"/>
      <c r="U1534" s="421"/>
      <c r="V1534" s="421"/>
    </row>
    <row r="1535" spans="2:22" ht="9" customHeight="1" x14ac:dyDescent="0.45">
      <c r="B1535" s="388"/>
      <c r="C1535" s="369"/>
      <c r="J1535" s="370"/>
      <c r="K1535" s="370"/>
      <c r="L1535" s="372"/>
      <c r="M1535" s="37"/>
      <c r="N1535" s="370"/>
      <c r="O1535" s="434"/>
      <c r="P1535" s="380"/>
      <c r="Q1535" s="389"/>
      <c r="R1535" s="416" t="str">
        <f>R1534</f>
        <v>DELETE</v>
      </c>
    </row>
    <row r="1536" spans="2:22" ht="9" customHeight="1" x14ac:dyDescent="0.45">
      <c r="B1536" s="388"/>
      <c r="C1536" s="369"/>
      <c r="J1536" s="370"/>
      <c r="K1536" s="370"/>
      <c r="L1536" s="372"/>
      <c r="M1536" s="37"/>
      <c r="N1536" s="370"/>
      <c r="O1536" s="455"/>
      <c r="P1536" s="380"/>
      <c r="Q1536" s="389"/>
      <c r="R1536" s="416" t="str">
        <f>R1535</f>
        <v>DELETE</v>
      </c>
    </row>
    <row r="1537" spans="2:22" ht="31.5" customHeight="1" x14ac:dyDescent="0.45">
      <c r="B1537" s="388"/>
      <c r="C1537" s="369"/>
      <c r="D1537" s="368" t="s">
        <v>277</v>
      </c>
      <c r="J1537" s="370"/>
      <c r="K1537" s="370"/>
      <c r="L1537" s="372"/>
      <c r="M1537" s="37"/>
      <c r="N1537" s="370"/>
      <c r="O1537" s="456">
        <f>TrialBalance!L37</f>
        <v>0</v>
      </c>
      <c r="P1537" s="380"/>
      <c r="Q1537" s="389"/>
      <c r="R1537" s="416" t="str">
        <f t="shared" ref="R1537:R1563" si="136">IF(O1537=0,"DELETE"," ")</f>
        <v>DELETE</v>
      </c>
    </row>
    <row r="1538" spans="2:22" ht="31.5" customHeight="1" x14ac:dyDescent="0.45">
      <c r="B1538" s="388"/>
      <c r="C1538" s="369"/>
      <c r="D1538" s="368" t="s">
        <v>703</v>
      </c>
      <c r="J1538" s="370"/>
      <c r="K1538" s="370"/>
      <c r="L1538" s="372"/>
      <c r="M1538" s="37"/>
      <c r="N1538" s="370"/>
      <c r="O1538" s="456">
        <f>TrialBalance!L38</f>
        <v>0</v>
      </c>
      <c r="P1538" s="380"/>
      <c r="Q1538" s="389"/>
      <c r="R1538" s="416" t="str">
        <f t="shared" si="136"/>
        <v>DELETE</v>
      </c>
    </row>
    <row r="1539" spans="2:22" ht="31.5" customHeight="1" x14ac:dyDescent="0.45">
      <c r="B1539" s="388"/>
      <c r="C1539" s="369"/>
      <c r="D1539" s="368" t="s">
        <v>278</v>
      </c>
      <c r="J1539" s="370"/>
      <c r="K1539" s="370"/>
      <c r="L1539" s="372"/>
      <c r="M1539" s="37"/>
      <c r="N1539" s="370"/>
      <c r="O1539" s="456">
        <f>TrialBalance!L39</f>
        <v>0</v>
      </c>
      <c r="P1539" s="380"/>
      <c r="Q1539" s="389"/>
      <c r="R1539" s="416" t="str">
        <f t="shared" si="136"/>
        <v>DELETE</v>
      </c>
    </row>
    <row r="1540" spans="2:22" ht="31.5" customHeight="1" x14ac:dyDescent="0.45">
      <c r="B1540" s="388"/>
      <c r="C1540" s="369"/>
      <c r="D1540" s="368" t="s">
        <v>279</v>
      </c>
      <c r="J1540" s="370"/>
      <c r="K1540" s="370">
        <f>C$745</f>
        <v>6.2999999999999989</v>
      </c>
      <c r="L1540" s="372"/>
      <c r="M1540" s="37"/>
      <c r="N1540" s="370"/>
      <c r="O1540" s="456">
        <f>SUM(TrialBalance!L41:L43)</f>
        <v>0</v>
      </c>
      <c r="P1540" s="380"/>
      <c r="Q1540" s="389"/>
      <c r="R1540" s="416" t="str">
        <f t="shared" si="136"/>
        <v>DELETE</v>
      </c>
    </row>
    <row r="1541" spans="2:22" ht="31.5" customHeight="1" x14ac:dyDescent="0.45">
      <c r="B1541" s="388"/>
      <c r="C1541" s="369"/>
      <c r="D1541" s="368" t="s">
        <v>501</v>
      </c>
      <c r="J1541" s="370"/>
      <c r="K1541" s="370"/>
      <c r="L1541" s="372"/>
      <c r="M1541" s="37"/>
      <c r="N1541" s="370"/>
      <c r="O1541" s="456">
        <f>TrialBalance!L44</f>
        <v>0</v>
      </c>
      <c r="P1541" s="380"/>
      <c r="Q1541" s="389"/>
      <c r="R1541" s="416" t="str">
        <f t="shared" si="136"/>
        <v>DELETE</v>
      </c>
      <c r="S1541" s="422"/>
      <c r="T1541" s="422"/>
      <c r="U1541" s="422"/>
      <c r="V1541" s="422"/>
    </row>
    <row r="1542" spans="2:22" ht="31.5" customHeight="1" x14ac:dyDescent="0.45">
      <c r="B1542" s="388"/>
      <c r="C1542" s="369"/>
      <c r="D1542" s="368" t="s">
        <v>733</v>
      </c>
      <c r="J1542" s="370"/>
      <c r="K1542" s="370"/>
      <c r="L1542" s="372"/>
      <c r="M1542" s="37"/>
      <c r="N1542" s="370"/>
      <c r="O1542" s="456">
        <f>TrialBalance!L45</f>
        <v>0</v>
      </c>
      <c r="P1542" s="380"/>
      <c r="Q1542" s="389"/>
      <c r="R1542" s="416" t="str">
        <f t="shared" si="136"/>
        <v>DELETE</v>
      </c>
    </row>
    <row r="1543" spans="2:22" ht="31.5" customHeight="1" x14ac:dyDescent="0.45">
      <c r="B1543" s="388"/>
      <c r="C1543" s="369"/>
      <c r="D1543" s="368" t="s">
        <v>68</v>
      </c>
      <c r="J1543" s="370"/>
      <c r="K1543" s="370"/>
      <c r="L1543" s="372"/>
      <c r="M1543" s="37"/>
      <c r="N1543" s="370"/>
      <c r="O1543" s="456">
        <f>TrialBalance!L46</f>
        <v>0</v>
      </c>
      <c r="P1543" s="380"/>
      <c r="Q1543" s="389"/>
      <c r="R1543" s="416" t="str">
        <f t="shared" si="136"/>
        <v>DELETE</v>
      </c>
    </row>
    <row r="1544" spans="2:22" ht="31.5" customHeight="1" x14ac:dyDescent="0.45">
      <c r="B1544" s="388"/>
      <c r="C1544" s="369"/>
      <c r="D1544" s="368" t="s">
        <v>280</v>
      </c>
      <c r="J1544" s="370"/>
      <c r="K1544" s="370"/>
      <c r="L1544" s="372"/>
      <c r="M1544" s="37"/>
      <c r="N1544" s="370"/>
      <c r="O1544" s="456">
        <f>TrialBalance!L47</f>
        <v>0</v>
      </c>
      <c r="P1544" s="380"/>
      <c r="Q1544" s="389"/>
      <c r="R1544" s="416" t="str">
        <f t="shared" si="136"/>
        <v>DELETE</v>
      </c>
    </row>
    <row r="1545" spans="2:22" ht="31.5" customHeight="1" x14ac:dyDescent="0.45">
      <c r="B1545" s="388"/>
      <c r="C1545" s="369"/>
      <c r="D1545" s="368" t="s">
        <v>518</v>
      </c>
      <c r="J1545" s="370"/>
      <c r="K1545" s="370"/>
      <c r="L1545" s="372"/>
      <c r="M1545" s="37"/>
      <c r="N1545" s="370"/>
      <c r="O1545" s="456">
        <f>SUM(TrialBalance!L48:L49)</f>
        <v>0</v>
      </c>
      <c r="P1545" s="380"/>
      <c r="Q1545" s="389"/>
      <c r="R1545" s="416" t="str">
        <f t="shared" si="136"/>
        <v>DELETE</v>
      </c>
    </row>
    <row r="1546" spans="2:22" ht="31.5" customHeight="1" x14ac:dyDescent="0.45">
      <c r="B1546" s="388"/>
      <c r="C1546" s="369"/>
      <c r="D1546" s="368" t="s">
        <v>516</v>
      </c>
      <c r="J1546" s="370"/>
      <c r="K1546" s="370"/>
      <c r="L1546" s="372"/>
      <c r="M1546" s="37"/>
      <c r="N1546" s="370"/>
      <c r="O1546" s="456">
        <f>TrialBalance!L50</f>
        <v>0</v>
      </c>
      <c r="P1546" s="380"/>
      <c r="Q1546" s="389"/>
      <c r="R1546" s="416" t="str">
        <f t="shared" si="136"/>
        <v>DELETE</v>
      </c>
    </row>
    <row r="1547" spans="2:22" ht="31.5" customHeight="1" x14ac:dyDescent="0.45">
      <c r="B1547" s="388"/>
      <c r="C1547" s="369"/>
      <c r="D1547" s="368" t="s">
        <v>502</v>
      </c>
      <c r="J1547" s="370"/>
      <c r="K1547" s="370"/>
      <c r="L1547" s="372"/>
      <c r="M1547" s="37"/>
      <c r="N1547" s="370"/>
      <c r="O1547" s="456">
        <f>SUM(TrialBalance!L52:L56)</f>
        <v>0</v>
      </c>
      <c r="P1547" s="380"/>
      <c r="Q1547" s="389"/>
      <c r="R1547" s="416" t="str">
        <f t="shared" si="136"/>
        <v>DELETE</v>
      </c>
    </row>
    <row r="1548" spans="2:22" ht="31.5" customHeight="1" x14ac:dyDescent="0.45">
      <c r="B1548" s="388"/>
      <c r="C1548" s="369"/>
      <c r="D1548" s="368" t="s">
        <v>483</v>
      </c>
      <c r="J1548" s="370"/>
      <c r="K1548" s="370">
        <f>C$713</f>
        <v>6.1999999999999993</v>
      </c>
      <c r="L1548" s="372"/>
      <c r="M1548" s="37"/>
      <c r="N1548" s="370"/>
      <c r="O1548" s="456">
        <f>SUM(TrialBalance!L58:L60)</f>
        <v>0</v>
      </c>
      <c r="P1548" s="380"/>
      <c r="Q1548" s="389"/>
      <c r="R1548" s="416" t="str">
        <f t="shared" si="136"/>
        <v>DELETE</v>
      </c>
    </row>
    <row r="1549" spans="2:22" ht="31.5" customHeight="1" x14ac:dyDescent="0.45">
      <c r="B1549" s="388"/>
      <c r="C1549" s="369"/>
      <c r="D1549" s="368" t="s">
        <v>76</v>
      </c>
      <c r="J1549" s="370"/>
      <c r="K1549" s="370"/>
      <c r="L1549" s="372"/>
      <c r="M1549" s="37"/>
      <c r="N1549" s="370"/>
      <c r="O1549" s="456">
        <f>TrialBalance!L61</f>
        <v>0</v>
      </c>
      <c r="P1549" s="380"/>
      <c r="Q1549" s="389"/>
      <c r="R1549" s="416" t="str">
        <f t="shared" si="136"/>
        <v>DELETE</v>
      </c>
    </row>
    <row r="1550" spans="2:22" ht="31.5" customHeight="1" x14ac:dyDescent="0.45">
      <c r="B1550" s="388"/>
      <c r="C1550" s="369"/>
      <c r="D1550" s="368" t="s">
        <v>254</v>
      </c>
      <c r="J1550" s="370"/>
      <c r="K1550" s="370"/>
      <c r="L1550" s="372"/>
      <c r="M1550" s="37"/>
      <c r="N1550" s="370"/>
      <c r="O1550" s="456">
        <f>SUM(TrialBalance!L62:L64)</f>
        <v>0</v>
      </c>
      <c r="P1550" s="380"/>
      <c r="Q1550" s="389"/>
      <c r="R1550" s="416" t="str">
        <f t="shared" si="136"/>
        <v>DELETE</v>
      </c>
    </row>
    <row r="1551" spans="2:22" ht="31.5" customHeight="1" x14ac:dyDescent="0.45">
      <c r="B1551" s="388"/>
      <c r="C1551" s="369"/>
      <c r="D1551" s="368" t="s">
        <v>734</v>
      </c>
      <c r="J1551" s="370"/>
      <c r="K1551" s="370"/>
      <c r="L1551" s="372"/>
      <c r="M1551" s="37"/>
      <c r="N1551" s="370"/>
      <c r="O1551" s="456">
        <f>SUM(TrialBalance!L65:L66)</f>
        <v>0</v>
      </c>
      <c r="P1551" s="380"/>
      <c r="Q1551" s="389"/>
      <c r="R1551" s="416" t="str">
        <f t="shared" si="136"/>
        <v>DELETE</v>
      </c>
    </row>
    <row r="1552" spans="2:22" ht="31.5" customHeight="1" x14ac:dyDescent="0.45">
      <c r="B1552" s="388"/>
      <c r="C1552" s="369"/>
      <c r="D1552" s="368" t="s">
        <v>255</v>
      </c>
      <c r="J1552" s="370"/>
      <c r="K1552" s="370"/>
      <c r="L1552" s="372"/>
      <c r="M1552" s="37"/>
      <c r="N1552" s="370"/>
      <c r="O1552" s="456">
        <f>TrialBalance!L67</f>
        <v>0</v>
      </c>
      <c r="P1552" s="380"/>
      <c r="Q1552" s="389"/>
      <c r="R1552" s="416" t="str">
        <f t="shared" si="136"/>
        <v>DELETE</v>
      </c>
    </row>
    <row r="1553" spans="2:23" ht="31.5" customHeight="1" x14ac:dyDescent="0.45">
      <c r="B1553" s="388"/>
      <c r="C1553" s="369"/>
      <c r="D1553" s="368" t="s">
        <v>392</v>
      </c>
      <c r="J1553" s="370"/>
      <c r="K1553" s="370"/>
      <c r="L1553" s="372"/>
      <c r="M1553" s="37"/>
      <c r="N1553" s="370"/>
      <c r="O1553" s="456">
        <f>TrialBalance!L68</f>
        <v>0</v>
      </c>
      <c r="P1553" s="380"/>
      <c r="Q1553" s="389"/>
      <c r="R1553" s="416" t="str">
        <f t="shared" si="136"/>
        <v>DELETE</v>
      </c>
    </row>
    <row r="1554" spans="2:23" ht="31.5" customHeight="1" x14ac:dyDescent="0.45">
      <c r="B1554" s="388"/>
      <c r="C1554" s="369"/>
      <c r="D1554" s="368">
        <f>TrialBalance!C69</f>
        <v>0</v>
      </c>
      <c r="J1554" s="370"/>
      <c r="K1554" s="370"/>
      <c r="L1554" s="372"/>
      <c r="M1554" s="37"/>
      <c r="N1554" s="370"/>
      <c r="O1554" s="456">
        <f>TrialBalance!L69</f>
        <v>0</v>
      </c>
      <c r="P1554" s="380"/>
      <c r="Q1554" s="389"/>
      <c r="R1554" s="416" t="str">
        <f t="shared" si="136"/>
        <v>DELETE</v>
      </c>
    </row>
    <row r="1555" spans="2:23" ht="31.5" customHeight="1" x14ac:dyDescent="0.45">
      <c r="B1555" s="388"/>
      <c r="C1555" s="369"/>
      <c r="D1555" s="368">
        <f>TrialBalance!C70</f>
        <v>0</v>
      </c>
      <c r="J1555" s="370"/>
      <c r="K1555" s="370"/>
      <c r="L1555" s="372"/>
      <c r="M1555" s="37"/>
      <c r="N1555" s="370"/>
      <c r="O1555" s="456">
        <f>TrialBalance!L70</f>
        <v>0</v>
      </c>
      <c r="P1555" s="380"/>
      <c r="Q1555" s="389"/>
      <c r="R1555" s="416" t="str">
        <f t="shared" si="136"/>
        <v>DELETE</v>
      </c>
    </row>
    <row r="1556" spans="2:23" ht="31.5" customHeight="1" x14ac:dyDescent="0.45">
      <c r="B1556" s="388"/>
      <c r="C1556" s="369"/>
      <c r="D1556" s="368">
        <f>TrialBalance!C71</f>
        <v>0</v>
      </c>
      <c r="J1556" s="370"/>
      <c r="K1556" s="370"/>
      <c r="L1556" s="372"/>
      <c r="M1556" s="37"/>
      <c r="N1556" s="370"/>
      <c r="O1556" s="456">
        <f>TrialBalance!L71</f>
        <v>0</v>
      </c>
      <c r="P1556" s="380"/>
      <c r="Q1556" s="389"/>
      <c r="R1556" s="416" t="str">
        <f t="shared" si="136"/>
        <v>DELETE</v>
      </c>
    </row>
    <row r="1557" spans="2:23" ht="31.5" customHeight="1" x14ac:dyDescent="0.45">
      <c r="B1557" s="388"/>
      <c r="C1557" s="369"/>
      <c r="D1557" s="368">
        <f>TrialBalance!C72</f>
        <v>0</v>
      </c>
      <c r="J1557" s="370"/>
      <c r="K1557" s="370"/>
      <c r="L1557" s="372"/>
      <c r="M1557" s="37"/>
      <c r="N1557" s="370"/>
      <c r="O1557" s="456">
        <f>TrialBalance!L72</f>
        <v>0</v>
      </c>
      <c r="P1557" s="380"/>
      <c r="Q1557" s="389"/>
      <c r="R1557" s="416" t="str">
        <f t="shared" si="136"/>
        <v>DELETE</v>
      </c>
    </row>
    <row r="1558" spans="2:23" ht="31.5" customHeight="1" x14ac:dyDescent="0.45">
      <c r="B1558" s="388"/>
      <c r="C1558" s="369"/>
      <c r="D1558" s="368">
        <f>TrialBalance!C73</f>
        <v>0</v>
      </c>
      <c r="J1558" s="370"/>
      <c r="K1558" s="370"/>
      <c r="L1558" s="372"/>
      <c r="M1558" s="37"/>
      <c r="N1558" s="370"/>
      <c r="O1558" s="456">
        <f>TrialBalance!L73</f>
        <v>0</v>
      </c>
      <c r="P1558" s="380"/>
      <c r="Q1558" s="389"/>
      <c r="R1558" s="416" t="str">
        <f t="shared" si="136"/>
        <v>DELETE</v>
      </c>
    </row>
    <row r="1559" spans="2:23" ht="31.5" customHeight="1" x14ac:dyDescent="0.45">
      <c r="B1559" s="388"/>
      <c r="C1559" s="369"/>
      <c r="D1559" s="368">
        <f>TrialBalance!C74</f>
        <v>0</v>
      </c>
      <c r="J1559" s="370"/>
      <c r="K1559" s="370"/>
      <c r="L1559" s="372"/>
      <c r="M1559" s="37"/>
      <c r="N1559" s="370"/>
      <c r="O1559" s="456">
        <f>TrialBalance!L74</f>
        <v>0</v>
      </c>
      <c r="P1559" s="380"/>
      <c r="Q1559" s="389"/>
      <c r="R1559" s="416" t="str">
        <f t="shared" si="136"/>
        <v>DELETE</v>
      </c>
    </row>
    <row r="1560" spans="2:23" ht="31.5" customHeight="1" x14ac:dyDescent="0.45">
      <c r="B1560" s="388"/>
      <c r="C1560" s="369"/>
      <c r="D1560" s="368">
        <f>TrialBalance!C75</f>
        <v>0</v>
      </c>
      <c r="J1560" s="370"/>
      <c r="K1560" s="370"/>
      <c r="L1560" s="372"/>
      <c r="M1560" s="37"/>
      <c r="N1560" s="370"/>
      <c r="O1560" s="456">
        <f>TrialBalance!L75</f>
        <v>0</v>
      </c>
      <c r="P1560" s="380"/>
      <c r="Q1560" s="389"/>
      <c r="R1560" s="416" t="str">
        <f t="shared" si="136"/>
        <v>DELETE</v>
      </c>
    </row>
    <row r="1561" spans="2:23" ht="31.5" customHeight="1" x14ac:dyDescent="0.45">
      <c r="B1561" s="388"/>
      <c r="C1561" s="369"/>
      <c r="D1561" s="368">
        <f>TrialBalance!C76</f>
        <v>0</v>
      </c>
      <c r="J1561" s="370"/>
      <c r="K1561" s="370"/>
      <c r="L1561" s="372"/>
      <c r="M1561" s="37"/>
      <c r="N1561" s="370"/>
      <c r="O1561" s="456">
        <f>TrialBalance!L76</f>
        <v>0</v>
      </c>
      <c r="P1561" s="380"/>
      <c r="Q1561" s="389"/>
      <c r="R1561" s="416" t="str">
        <f t="shared" si="136"/>
        <v>DELETE</v>
      </c>
    </row>
    <row r="1562" spans="2:23" ht="31.5" customHeight="1" x14ac:dyDescent="0.45">
      <c r="B1562" s="388"/>
      <c r="C1562" s="369"/>
      <c r="D1562" s="368">
        <f>TrialBalance!C77</f>
        <v>0</v>
      </c>
      <c r="J1562" s="370"/>
      <c r="K1562" s="370"/>
      <c r="L1562" s="372"/>
      <c r="M1562" s="37"/>
      <c r="N1562" s="370"/>
      <c r="O1562" s="456">
        <f>TrialBalance!L77</f>
        <v>0</v>
      </c>
      <c r="P1562" s="380"/>
      <c r="Q1562" s="389"/>
      <c r="R1562" s="416" t="str">
        <f t="shared" si="136"/>
        <v>DELETE</v>
      </c>
    </row>
    <row r="1563" spans="2:23" ht="31.5" customHeight="1" x14ac:dyDescent="0.45">
      <c r="B1563" s="388"/>
      <c r="C1563" s="369"/>
      <c r="D1563" s="368">
        <f>TrialBalance!C78</f>
        <v>0</v>
      </c>
      <c r="J1563" s="370"/>
      <c r="K1563" s="370"/>
      <c r="L1563" s="372"/>
      <c r="M1563" s="37"/>
      <c r="N1563" s="370"/>
      <c r="O1563" s="456">
        <f>TrialBalance!L78</f>
        <v>0</v>
      </c>
      <c r="P1563" s="380"/>
      <c r="Q1563" s="389"/>
      <c r="R1563" s="416" t="str">
        <f t="shared" si="136"/>
        <v>DELETE</v>
      </c>
    </row>
    <row r="1564" spans="2:23" ht="9" customHeight="1" x14ac:dyDescent="0.45">
      <c r="B1564" s="388"/>
      <c r="C1564" s="369"/>
      <c r="J1564" s="370"/>
      <c r="K1564" s="370"/>
      <c r="L1564" s="372"/>
      <c r="M1564" s="37"/>
      <c r="N1564" s="370"/>
      <c r="O1564" s="457"/>
      <c r="P1564" s="380"/>
      <c r="Q1564" s="389"/>
      <c r="R1564" s="416" t="str">
        <f>R1534</f>
        <v>DELETE</v>
      </c>
    </row>
    <row r="1565" spans="2:23" ht="9" customHeight="1" x14ac:dyDescent="0.45">
      <c r="B1565" s="388"/>
      <c r="C1565" s="369"/>
      <c r="J1565" s="370"/>
      <c r="K1565" s="370"/>
      <c r="L1565" s="372"/>
      <c r="M1565" s="37"/>
      <c r="N1565" s="370"/>
      <c r="O1565" s="438"/>
      <c r="P1565" s="380"/>
      <c r="Q1565" s="389"/>
    </row>
    <row r="1566" spans="2:23" ht="9" customHeight="1" x14ac:dyDescent="0.45">
      <c r="B1566" s="388"/>
      <c r="C1566" s="369"/>
      <c r="J1566" s="370"/>
      <c r="K1566" s="370"/>
      <c r="L1566" s="372"/>
      <c r="M1566" s="37"/>
      <c r="N1566" s="370"/>
      <c r="O1566" s="434"/>
      <c r="P1566" s="380"/>
      <c r="Q1566" s="389"/>
    </row>
    <row r="1567" spans="2:23" ht="31.5" customHeight="1" x14ac:dyDescent="0.45">
      <c r="B1567" s="388"/>
      <c r="C1567" s="411" t="str">
        <f>IF((W1567=2),"OPERATING PROFIT","OPERATING LOSS")</f>
        <v>OPERATING PROFIT</v>
      </c>
      <c r="J1567" s="370"/>
      <c r="K1567" s="370"/>
      <c r="L1567" s="372"/>
      <c r="M1567" s="37"/>
      <c r="N1567" s="370"/>
      <c r="O1567" s="434">
        <f>SUM(S1500:S1565)</f>
        <v>0</v>
      </c>
      <c r="P1567" s="380"/>
      <c r="Q1567" s="389"/>
      <c r="W1567" s="417">
        <f>IF(O1567&lt;0,1,2)</f>
        <v>2</v>
      </c>
    </row>
    <row r="1568" spans="2:23" ht="31.5" customHeight="1" x14ac:dyDescent="0.45">
      <c r="B1568" s="388"/>
      <c r="C1568" s="369"/>
      <c r="D1568" s="368" t="s">
        <v>257</v>
      </c>
      <c r="J1568" s="370"/>
      <c r="K1568" s="370"/>
      <c r="L1568" s="372"/>
      <c r="M1568" s="37"/>
      <c r="N1568" s="370"/>
      <c r="O1568" s="434"/>
      <c r="P1568" s="380"/>
      <c r="Q1568" s="389"/>
    </row>
    <row r="1569" spans="2:23" ht="31.5" customHeight="1" x14ac:dyDescent="0.45">
      <c r="B1569" s="388"/>
      <c r="C1569" s="369"/>
      <c r="J1569" s="370"/>
      <c r="K1569" s="370"/>
      <c r="L1569" s="372"/>
      <c r="M1569" s="37"/>
      <c r="N1569" s="370"/>
      <c r="O1569" s="434"/>
      <c r="P1569" s="380"/>
      <c r="Q1569" s="389"/>
    </row>
    <row r="1570" spans="2:23" ht="31.5" customHeight="1" x14ac:dyDescent="0.45">
      <c r="B1570" s="388"/>
      <c r="C1570" s="369"/>
      <c r="J1570" s="370"/>
      <c r="K1570" s="370"/>
      <c r="L1570" s="370"/>
      <c r="M1570" s="434"/>
      <c r="N1570" s="390"/>
      <c r="O1570" s="434"/>
      <c r="P1570" s="380"/>
      <c r="Q1570" s="389"/>
    </row>
    <row r="1571" spans="2:23" ht="31.5" customHeight="1" x14ac:dyDescent="0.45">
      <c r="B1571" s="396"/>
      <c r="C1571" s="407"/>
      <c r="D1571" s="383"/>
      <c r="E1571" s="383"/>
      <c r="F1571" s="383"/>
      <c r="G1571" s="383"/>
      <c r="H1571" s="383"/>
      <c r="I1571" s="383"/>
      <c r="J1571" s="403"/>
      <c r="K1571" s="403"/>
      <c r="L1571" s="403"/>
      <c r="M1571" s="438"/>
      <c r="N1571" s="392"/>
      <c r="O1571" s="438"/>
      <c r="P1571" s="404"/>
      <c r="Q1571" s="398"/>
    </row>
    <row r="1572" spans="2:23" ht="31.5" customHeight="1" x14ac:dyDescent="0.45">
      <c r="C1572" s="369"/>
      <c r="J1572" s="370"/>
      <c r="K1572" s="370"/>
      <c r="L1572" s="370"/>
      <c r="M1572" s="434"/>
      <c r="N1572" s="390"/>
      <c r="O1572" s="434"/>
      <c r="P1572" s="380"/>
    </row>
    <row r="1573" spans="2:23" ht="31.5" customHeight="1" x14ac:dyDescent="0.45">
      <c r="C1573" s="369"/>
      <c r="J1573" s="370"/>
      <c r="K1573" s="370"/>
      <c r="L1573" s="370"/>
      <c r="M1573" s="434"/>
      <c r="N1573" s="390"/>
      <c r="O1573" s="434"/>
      <c r="P1573" s="380"/>
    </row>
    <row r="1574" spans="2:23" ht="31.5" customHeight="1" x14ac:dyDescent="0.45">
      <c r="C1574" s="369"/>
      <c r="D1574" s="369" t="str">
        <f>Criteria!E9</f>
        <v>ABC TRUST</v>
      </c>
      <c r="J1574" s="370"/>
      <c r="K1574" s="370"/>
      <c r="L1574" s="370"/>
      <c r="M1574" s="434"/>
      <c r="N1574" s="390"/>
      <c r="O1574" s="434" t="s">
        <v>105</v>
      </c>
      <c r="P1574" s="380"/>
      <c r="Q1574" s="370">
        <f>MAX($Q$114:Q1573)+1</f>
        <v>35</v>
      </c>
    </row>
    <row r="1575" spans="2:23" ht="31.5" customHeight="1" x14ac:dyDescent="0.45">
      <c r="C1575" s="369"/>
      <c r="D1575" s="369" t="str">
        <f>IF(Criteria!E13=0," ",CONCATENATE("T/A ",Criteria!E13))</f>
        <v>T/A RENTAL PROPERTIES</v>
      </c>
      <c r="J1575" s="370"/>
      <c r="K1575" s="370"/>
      <c r="L1575" s="370"/>
      <c r="M1575" s="434"/>
      <c r="N1575" s="390"/>
      <c r="O1575" s="434"/>
      <c r="P1575" s="380"/>
      <c r="R1575" s="416" t="str">
        <f>IF(Criteria!E13=0,"DELETE"," ")</f>
        <v xml:space="preserve"> </v>
      </c>
    </row>
    <row r="1576" spans="2:23" ht="31.5" customHeight="1" x14ac:dyDescent="0.45">
      <c r="C1576" s="369"/>
      <c r="J1576" s="370"/>
      <c r="K1576" s="370"/>
      <c r="L1576" s="370"/>
      <c r="M1576" s="434"/>
      <c r="N1576" s="390"/>
      <c r="O1576" s="434"/>
      <c r="P1576" s="380"/>
    </row>
    <row r="1577" spans="2:23" ht="31.5" customHeight="1" x14ac:dyDescent="0.45">
      <c r="C1577" s="369"/>
      <c r="D1577" s="369" t="s">
        <v>100</v>
      </c>
      <c r="J1577" s="370"/>
      <c r="K1577" s="370"/>
      <c r="L1577" s="370"/>
      <c r="M1577" s="434"/>
      <c r="N1577" s="390"/>
      <c r="O1577" s="434"/>
      <c r="P1577" s="380"/>
    </row>
    <row r="1578" spans="2:23" ht="31.5" customHeight="1" x14ac:dyDescent="0.45">
      <c r="C1578" s="369"/>
      <c r="D1578" s="369" t="str">
        <f>D1495</f>
        <v>29 FEBRUARY 2024</v>
      </c>
      <c r="H1578" s="368" t="s">
        <v>111</v>
      </c>
      <c r="J1578" s="370"/>
      <c r="K1578" s="370"/>
      <c r="L1578" s="370"/>
      <c r="M1578" s="434"/>
      <c r="N1578" s="390"/>
      <c r="O1578" s="434"/>
      <c r="P1578" s="380"/>
    </row>
    <row r="1579" spans="2:23" ht="31.5" customHeight="1" x14ac:dyDescent="0.45">
      <c r="C1579" s="369"/>
      <c r="J1579" s="370"/>
      <c r="K1579" s="403"/>
      <c r="L1579" s="403"/>
      <c r="M1579" s="438"/>
      <c r="N1579" s="392"/>
      <c r="O1579" s="438"/>
      <c r="P1579" s="380"/>
    </row>
    <row r="1580" spans="2:23" ht="31.5" customHeight="1" x14ac:dyDescent="0.45">
      <c r="B1580" s="385"/>
      <c r="C1580" s="410"/>
      <c r="D1580" s="386"/>
      <c r="E1580" s="386"/>
      <c r="F1580" s="386"/>
      <c r="G1580" s="386"/>
      <c r="H1580" s="386"/>
      <c r="I1580" s="386"/>
      <c r="J1580" s="413"/>
      <c r="M1580" s="479"/>
      <c r="N1580" s="469"/>
      <c r="O1580" s="479"/>
      <c r="P1580" s="406"/>
      <c r="Q1580" s="387"/>
    </row>
    <row r="1581" spans="2:23" ht="31.5" customHeight="1" x14ac:dyDescent="0.45">
      <c r="B1581" s="388"/>
      <c r="C1581" s="369"/>
      <c r="J1581" s="370"/>
      <c r="K1581" s="370" t="s">
        <v>113</v>
      </c>
      <c r="L1581" s="372"/>
      <c r="M1581" s="37"/>
      <c r="N1581" s="370"/>
      <c r="O1581" s="430">
        <f>Criteria!E22</f>
        <v>2024</v>
      </c>
      <c r="P1581" s="380"/>
      <c r="Q1581" s="389"/>
    </row>
    <row r="1582" spans="2:23" ht="31.5" customHeight="1" x14ac:dyDescent="0.45">
      <c r="B1582" s="388"/>
      <c r="C1582" s="369"/>
      <c r="J1582" s="370"/>
      <c r="K1582" s="370"/>
      <c r="L1582" s="372"/>
      <c r="M1582" s="37"/>
      <c r="N1582" s="370"/>
      <c r="O1582" s="434"/>
      <c r="P1582" s="380"/>
      <c r="Q1582" s="389"/>
    </row>
    <row r="1583" spans="2:23" ht="31.5" customHeight="1" x14ac:dyDescent="0.45">
      <c r="B1583" s="388"/>
      <c r="C1583" s="411" t="str">
        <f>IF((W1583=2),"OPERATING PROFIT","OPERATING LOSS")</f>
        <v>OPERATING PROFIT</v>
      </c>
      <c r="J1583" s="370"/>
      <c r="K1583" s="370"/>
      <c r="L1583" s="372"/>
      <c r="M1583" s="37"/>
      <c r="N1583" s="370"/>
      <c r="O1583" s="434">
        <f>SUM(S1500:S1564)</f>
        <v>0</v>
      </c>
      <c r="P1583" s="380"/>
      <c r="Q1583" s="389"/>
      <c r="U1583" s="417" t="b">
        <f>O1583=O1567</f>
        <v>1</v>
      </c>
      <c r="W1583" s="417">
        <f>IF(O1583&lt;0,1,2)</f>
        <v>2</v>
      </c>
    </row>
    <row r="1584" spans="2:23" ht="31.5" customHeight="1" x14ac:dyDescent="0.45">
      <c r="B1584" s="388"/>
      <c r="C1584" s="369"/>
      <c r="D1584" s="368" t="s">
        <v>258</v>
      </c>
      <c r="J1584" s="370"/>
      <c r="K1584" s="370"/>
      <c r="L1584" s="372"/>
      <c r="M1584" s="37"/>
      <c r="N1584" s="370"/>
      <c r="O1584" s="434"/>
      <c r="P1584" s="380"/>
      <c r="Q1584" s="389"/>
    </row>
    <row r="1585" spans="2:22" ht="31.5" customHeight="1" x14ac:dyDescent="0.45">
      <c r="B1585" s="388"/>
      <c r="C1585" s="369"/>
      <c r="J1585" s="370"/>
      <c r="K1585" s="370"/>
      <c r="L1585" s="372"/>
      <c r="M1585" s="37"/>
      <c r="N1585" s="370"/>
      <c r="O1585" s="434"/>
      <c r="P1585" s="380"/>
      <c r="Q1585" s="389"/>
    </row>
    <row r="1586" spans="2:22" ht="31.5" customHeight="1" x14ac:dyDescent="0.45">
      <c r="B1586" s="388"/>
      <c r="C1586" s="369" t="s">
        <v>1045</v>
      </c>
      <c r="J1586" s="370"/>
      <c r="K1586" s="370"/>
      <c r="L1586" s="372"/>
      <c r="M1586" s="37"/>
      <c r="N1586" s="370"/>
      <c r="O1586" s="434">
        <f>SUM(O1589:O1622)</f>
        <v>0</v>
      </c>
      <c r="P1586" s="380"/>
      <c r="Q1586" s="389"/>
      <c r="R1586" s="416" t="str">
        <f>IF(O1586=0,"DELETE"," ")</f>
        <v>DELETE</v>
      </c>
      <c r="S1586" s="421">
        <f>-O1586</f>
        <v>0</v>
      </c>
      <c r="T1586" s="421"/>
      <c r="U1586" s="421"/>
      <c r="V1586" s="421"/>
    </row>
    <row r="1587" spans="2:22" ht="9" customHeight="1" x14ac:dyDescent="0.45">
      <c r="B1587" s="388"/>
      <c r="C1587" s="369"/>
      <c r="J1587" s="370"/>
      <c r="K1587" s="370"/>
      <c r="L1587" s="372"/>
      <c r="M1587" s="37"/>
      <c r="N1587" s="370"/>
      <c r="O1587" s="434"/>
      <c r="P1587" s="380"/>
      <c r="Q1587" s="389"/>
      <c r="R1587" s="416" t="str">
        <f>R1586</f>
        <v>DELETE</v>
      </c>
    </row>
    <row r="1588" spans="2:22" ht="9" customHeight="1" x14ac:dyDescent="0.45">
      <c r="B1588" s="388"/>
      <c r="C1588" s="369"/>
      <c r="J1588" s="370"/>
      <c r="K1588" s="370"/>
      <c r="L1588" s="372"/>
      <c r="M1588" s="37"/>
      <c r="N1588" s="370"/>
      <c r="O1588" s="455"/>
      <c r="P1588" s="380"/>
      <c r="Q1588" s="389"/>
      <c r="R1588" s="416" t="str">
        <f>R1587</f>
        <v>DELETE</v>
      </c>
    </row>
    <row r="1589" spans="2:22" ht="31.5" customHeight="1" x14ac:dyDescent="0.45">
      <c r="B1589" s="388"/>
      <c r="C1589" s="369"/>
      <c r="D1589" s="368" t="s">
        <v>218</v>
      </c>
      <c r="J1589" s="370"/>
      <c r="K1589" s="370"/>
      <c r="L1589" s="372"/>
      <c r="M1589" s="37"/>
      <c r="N1589" s="370"/>
      <c r="O1589" s="456">
        <f>SUM(TrialBalance!L88:L88)</f>
        <v>0</v>
      </c>
      <c r="P1589" s="380"/>
      <c r="Q1589" s="389"/>
      <c r="R1589" s="416" t="str">
        <f t="shared" ref="R1589:R1620" si="137">IF(O1589=0,"DELETE"," ")</f>
        <v>DELETE</v>
      </c>
    </row>
    <row r="1590" spans="2:22" ht="31.5" customHeight="1" x14ac:dyDescent="0.45">
      <c r="B1590" s="388"/>
      <c r="C1590" s="369"/>
      <c r="D1590" s="368" t="s">
        <v>640</v>
      </c>
      <c r="J1590" s="370"/>
      <c r="K1590" s="370"/>
      <c r="L1590" s="372"/>
      <c r="M1590" s="37"/>
      <c r="N1590" s="370"/>
      <c r="O1590" s="456">
        <f>SUM(TrialBalance!L85:L87)</f>
        <v>0</v>
      </c>
      <c r="P1590" s="380"/>
      <c r="Q1590" s="389"/>
      <c r="R1590" s="416" t="str">
        <f t="shared" si="137"/>
        <v>DELETE</v>
      </c>
    </row>
    <row r="1591" spans="2:22" ht="31.5" customHeight="1" x14ac:dyDescent="0.45">
      <c r="B1591" s="388"/>
      <c r="C1591" s="369"/>
      <c r="D1591" s="368" t="s">
        <v>222</v>
      </c>
      <c r="J1591" s="370"/>
      <c r="K1591" s="370"/>
      <c r="L1591" s="372"/>
      <c r="M1591" s="37"/>
      <c r="N1591" s="370"/>
      <c r="O1591" s="456">
        <f>TrialBalance!L90</f>
        <v>0</v>
      </c>
      <c r="P1591" s="380"/>
      <c r="Q1591" s="389"/>
      <c r="R1591" s="416" t="str">
        <f t="shared" si="137"/>
        <v>DELETE</v>
      </c>
    </row>
    <row r="1592" spans="2:22" ht="31.5" customHeight="1" x14ac:dyDescent="0.45">
      <c r="B1592" s="388"/>
      <c r="C1592" s="369"/>
      <c r="D1592" s="368" t="s">
        <v>220</v>
      </c>
      <c r="J1592" s="370"/>
      <c r="K1592" s="370"/>
      <c r="L1592" s="372"/>
      <c r="M1592" s="37"/>
      <c r="N1592" s="370"/>
      <c r="O1592" s="456">
        <f>TrialBalance!L89</f>
        <v>0</v>
      </c>
      <c r="P1592" s="380"/>
      <c r="Q1592" s="389"/>
      <c r="R1592" s="416" t="str">
        <f t="shared" si="137"/>
        <v>DELETE</v>
      </c>
    </row>
    <row r="1593" spans="2:22" ht="31.5" customHeight="1" x14ac:dyDescent="0.45">
      <c r="B1593" s="388"/>
      <c r="C1593" s="369"/>
      <c r="D1593" s="368" t="s">
        <v>259</v>
      </c>
      <c r="J1593" s="370"/>
      <c r="K1593" s="370"/>
      <c r="L1593" s="372"/>
      <c r="M1593" s="37"/>
      <c r="N1593" s="370"/>
      <c r="O1593" s="456">
        <f>TrialBalance!L91</f>
        <v>0</v>
      </c>
      <c r="P1593" s="380"/>
      <c r="Q1593" s="389"/>
      <c r="R1593" s="416" t="str">
        <f t="shared" si="137"/>
        <v>DELETE</v>
      </c>
    </row>
    <row r="1594" spans="2:22" ht="31.5" customHeight="1" x14ac:dyDescent="0.45">
      <c r="B1594" s="388"/>
      <c r="C1594" s="369"/>
      <c r="D1594" s="368" t="s">
        <v>225</v>
      </c>
      <c r="J1594" s="370"/>
      <c r="K1594" s="370"/>
      <c r="L1594" s="372"/>
      <c r="M1594" s="37"/>
      <c r="N1594" s="370"/>
      <c r="O1594" s="456">
        <f>TrialBalance!L92</f>
        <v>0</v>
      </c>
      <c r="P1594" s="380"/>
      <c r="Q1594" s="389"/>
      <c r="R1594" s="416" t="str">
        <f t="shared" si="137"/>
        <v>DELETE</v>
      </c>
    </row>
    <row r="1595" spans="2:22" ht="31.5" customHeight="1" x14ac:dyDescent="0.45">
      <c r="B1595" s="388"/>
      <c r="C1595" s="369"/>
      <c r="D1595" s="368" t="s">
        <v>735</v>
      </c>
      <c r="J1595" s="370"/>
      <c r="K1595" s="370"/>
      <c r="L1595" s="372"/>
      <c r="M1595" s="37"/>
      <c r="N1595" s="370"/>
      <c r="O1595" s="456">
        <f>TrialBalance!L93</f>
        <v>0</v>
      </c>
      <c r="P1595" s="380"/>
      <c r="Q1595" s="389"/>
      <c r="R1595" s="416" t="str">
        <f t="shared" si="137"/>
        <v>DELETE</v>
      </c>
    </row>
    <row r="1596" spans="2:22" ht="31.5" customHeight="1" x14ac:dyDescent="0.45">
      <c r="B1596" s="388"/>
      <c r="C1596" s="369"/>
      <c r="D1596" s="368" t="s">
        <v>279</v>
      </c>
      <c r="J1596" s="370"/>
      <c r="K1596" s="370">
        <f>C$745</f>
        <v>6.2999999999999989</v>
      </c>
      <c r="L1596" s="372"/>
      <c r="M1596" s="37"/>
      <c r="N1596" s="370"/>
      <c r="O1596" s="456">
        <f>SUM(TrialBalance!L95:L96)</f>
        <v>0</v>
      </c>
      <c r="P1596" s="380"/>
      <c r="Q1596" s="389"/>
      <c r="R1596" s="416" t="str">
        <f t="shared" si="137"/>
        <v>DELETE</v>
      </c>
    </row>
    <row r="1597" spans="2:22" ht="31.5" customHeight="1" x14ac:dyDescent="0.45">
      <c r="B1597" s="388"/>
      <c r="C1597" s="369"/>
      <c r="D1597" s="368" t="s">
        <v>260</v>
      </c>
      <c r="J1597" s="370"/>
      <c r="K1597" s="370"/>
      <c r="L1597" s="372"/>
      <c r="M1597" s="37"/>
      <c r="N1597" s="370"/>
      <c r="O1597" s="456">
        <f>TrialBalance!L103</f>
        <v>0</v>
      </c>
      <c r="P1597" s="380"/>
      <c r="Q1597" s="389"/>
      <c r="R1597" s="416" t="str">
        <f t="shared" si="137"/>
        <v>DELETE</v>
      </c>
    </row>
    <row r="1598" spans="2:22" ht="31.5" customHeight="1" x14ac:dyDescent="0.45">
      <c r="B1598" s="388"/>
      <c r="C1598" s="369"/>
      <c r="D1598" s="368" t="s">
        <v>375</v>
      </c>
      <c r="J1598" s="370"/>
      <c r="K1598" s="370"/>
      <c r="L1598" s="372"/>
      <c r="M1598" s="37"/>
      <c r="N1598" s="370"/>
      <c r="O1598" s="456">
        <f>TrialBalance!L104</f>
        <v>0</v>
      </c>
      <c r="P1598" s="380"/>
      <c r="Q1598" s="389"/>
      <c r="R1598" s="416" t="str">
        <f t="shared" si="137"/>
        <v>DELETE</v>
      </c>
    </row>
    <row r="1599" spans="2:22" ht="31.5" customHeight="1" x14ac:dyDescent="0.45">
      <c r="B1599" s="388"/>
      <c r="C1599" s="369"/>
      <c r="D1599" s="368" t="s">
        <v>326</v>
      </c>
      <c r="J1599" s="370"/>
      <c r="K1599" s="370"/>
      <c r="L1599" s="372"/>
      <c r="M1599" s="37"/>
      <c r="N1599" s="370"/>
      <c r="O1599" s="456">
        <f>TrialBalance!L105</f>
        <v>0</v>
      </c>
      <c r="P1599" s="380"/>
      <c r="Q1599" s="389"/>
      <c r="R1599" s="416" t="str">
        <f t="shared" si="137"/>
        <v>DELETE</v>
      </c>
    </row>
    <row r="1600" spans="2:22" ht="31.5" customHeight="1" x14ac:dyDescent="0.45">
      <c r="B1600" s="388"/>
      <c r="C1600" s="369"/>
      <c r="D1600" s="368" t="s">
        <v>377</v>
      </c>
      <c r="J1600" s="370"/>
      <c r="K1600" s="370"/>
      <c r="L1600" s="372"/>
      <c r="M1600" s="37"/>
      <c r="N1600" s="370"/>
      <c r="O1600" s="456">
        <f>TrialBalance!L106</f>
        <v>0</v>
      </c>
      <c r="P1600" s="380"/>
      <c r="Q1600" s="389"/>
      <c r="R1600" s="416" t="str">
        <f t="shared" si="137"/>
        <v>DELETE</v>
      </c>
    </row>
    <row r="1601" spans="2:18" ht="31.5" customHeight="1" x14ac:dyDescent="0.45">
      <c r="B1601" s="388"/>
      <c r="C1601" s="369"/>
      <c r="D1601" s="368" t="str">
        <f>TrialBalance!C141</f>
        <v>Impairment losses</v>
      </c>
      <c r="J1601" s="370"/>
      <c r="K1601" s="370"/>
      <c r="L1601" s="372"/>
      <c r="M1601" s="37"/>
      <c r="N1601" s="370"/>
      <c r="O1601" s="456">
        <f>TrialBalance!L141</f>
        <v>0</v>
      </c>
      <c r="P1601" s="380"/>
      <c r="Q1601" s="389"/>
      <c r="R1601" s="416" t="str">
        <f>IF(O1601=0,"DELETE"," ")</f>
        <v>DELETE</v>
      </c>
    </row>
    <row r="1602" spans="2:18" ht="31.5" customHeight="1" x14ac:dyDescent="0.45">
      <c r="B1602" s="388"/>
      <c r="C1602" s="369"/>
      <c r="D1602" s="368" t="s">
        <v>496</v>
      </c>
      <c r="J1602" s="370"/>
      <c r="K1602" s="370"/>
      <c r="L1602" s="372"/>
      <c r="M1602" s="37"/>
      <c r="N1602" s="370"/>
      <c r="O1602" s="456">
        <f>TrialBalance!L107+TrialBalance!L108</f>
        <v>0</v>
      </c>
      <c r="P1602" s="380"/>
      <c r="Q1602" s="389"/>
      <c r="R1602" s="416" t="str">
        <f t="shared" si="137"/>
        <v>DELETE</v>
      </c>
    </row>
    <row r="1603" spans="2:18" ht="31.5" customHeight="1" x14ac:dyDescent="0.45">
      <c r="B1603" s="388"/>
      <c r="C1603" s="369"/>
      <c r="D1603" s="368" t="s">
        <v>519</v>
      </c>
      <c r="J1603" s="370"/>
      <c r="K1603" s="370"/>
      <c r="L1603" s="372"/>
      <c r="M1603" s="37"/>
      <c r="N1603" s="370"/>
      <c r="O1603" s="456">
        <f>IF(TrialBalance!L81&gt;0,TrialBalance!L81,0)</f>
        <v>0</v>
      </c>
      <c r="P1603" s="380"/>
      <c r="Q1603" s="389"/>
      <c r="R1603" s="416" t="str">
        <f t="shared" si="137"/>
        <v>DELETE</v>
      </c>
    </row>
    <row r="1604" spans="2:18" ht="31.5" customHeight="1" x14ac:dyDescent="0.45">
      <c r="B1604" s="388"/>
      <c r="C1604" s="369"/>
      <c r="D1604" s="368" t="s">
        <v>736</v>
      </c>
      <c r="J1604" s="370"/>
      <c r="K1604" s="370"/>
      <c r="L1604" s="372"/>
      <c r="M1604" s="37"/>
      <c r="N1604" s="370"/>
      <c r="O1604" s="456">
        <f>TrialBalance!L109</f>
        <v>0</v>
      </c>
      <c r="P1604" s="380"/>
      <c r="Q1604" s="389"/>
      <c r="R1604" s="416" t="str">
        <f t="shared" si="137"/>
        <v>DELETE</v>
      </c>
    </row>
    <row r="1605" spans="2:18" ht="31.5" customHeight="1" x14ac:dyDescent="0.45">
      <c r="B1605" s="388"/>
      <c r="C1605" s="369"/>
      <c r="D1605" s="368" t="s">
        <v>261</v>
      </c>
      <c r="J1605" s="370"/>
      <c r="K1605" s="370"/>
      <c r="L1605" s="372"/>
      <c r="M1605" s="37"/>
      <c r="N1605" s="370"/>
      <c r="O1605" s="456">
        <f>TrialBalance!L110</f>
        <v>0</v>
      </c>
      <c r="P1605" s="380"/>
      <c r="Q1605" s="389"/>
      <c r="R1605" s="416" t="str">
        <f t="shared" si="137"/>
        <v>DELETE</v>
      </c>
    </row>
    <row r="1606" spans="2:18" ht="31.5" customHeight="1" x14ac:dyDescent="0.45">
      <c r="B1606" s="388"/>
      <c r="C1606" s="369"/>
      <c r="D1606" s="368" t="s">
        <v>254</v>
      </c>
      <c r="J1606" s="370"/>
      <c r="K1606" s="370"/>
      <c r="L1606" s="372"/>
      <c r="M1606" s="37"/>
      <c r="N1606" s="370"/>
      <c r="O1606" s="456">
        <f>SUM(TrialBalance!L111:L112)</f>
        <v>0</v>
      </c>
      <c r="P1606" s="380"/>
      <c r="Q1606" s="389"/>
      <c r="R1606" s="416" t="str">
        <f t="shared" si="137"/>
        <v>DELETE</v>
      </c>
    </row>
    <row r="1607" spans="2:18" ht="31.5" customHeight="1" x14ac:dyDescent="0.45">
      <c r="B1607" s="388"/>
      <c r="C1607" s="369"/>
      <c r="D1607" s="368" t="s">
        <v>262</v>
      </c>
      <c r="J1607" s="370"/>
      <c r="K1607" s="370"/>
      <c r="L1607" s="372"/>
      <c r="M1607" s="37"/>
      <c r="N1607" s="370"/>
      <c r="O1607" s="456">
        <f>TrialBalance!L113</f>
        <v>0</v>
      </c>
      <c r="P1607" s="380"/>
      <c r="Q1607" s="389"/>
      <c r="R1607" s="416" t="str">
        <f t="shared" si="137"/>
        <v>DELETE</v>
      </c>
    </row>
    <row r="1608" spans="2:18" ht="31.5" customHeight="1" x14ac:dyDescent="0.45">
      <c r="B1608" s="388"/>
      <c r="C1608" s="369"/>
      <c r="D1608" s="368" t="s">
        <v>737</v>
      </c>
      <c r="J1608" s="370"/>
      <c r="K1608" s="370"/>
      <c r="L1608" s="372"/>
      <c r="M1608" s="37"/>
      <c r="N1608" s="370"/>
      <c r="O1608" s="456">
        <f>TrialBalance!L114</f>
        <v>0</v>
      </c>
      <c r="P1608" s="380"/>
      <c r="Q1608" s="389"/>
      <c r="R1608" s="416" t="str">
        <f t="shared" si="137"/>
        <v>DELETE</v>
      </c>
    </row>
    <row r="1609" spans="2:18" ht="31.5" customHeight="1" x14ac:dyDescent="0.45">
      <c r="B1609" s="388"/>
      <c r="C1609" s="369"/>
      <c r="D1609" s="368" t="s">
        <v>88</v>
      </c>
      <c r="J1609" s="370"/>
      <c r="K1609" s="370"/>
      <c r="L1609" s="372"/>
      <c r="M1609" s="37"/>
      <c r="N1609" s="370"/>
      <c r="O1609" s="456">
        <f>TrialBalance!L115</f>
        <v>0</v>
      </c>
      <c r="P1609" s="380"/>
      <c r="Q1609" s="389"/>
      <c r="R1609" s="416" t="str">
        <f t="shared" si="137"/>
        <v>DELETE</v>
      </c>
    </row>
    <row r="1610" spans="2:18" ht="31.5" customHeight="1" x14ac:dyDescent="0.45">
      <c r="B1610" s="388"/>
      <c r="C1610" s="369"/>
      <c r="D1610" s="368" t="str">
        <f>IF(MAX(Criteria!I38:I42)&gt;1,"Trustees' remuneration","Trustee's remuneration")</f>
        <v>Trustees' remuneration</v>
      </c>
      <c r="J1610" s="370"/>
      <c r="K1610" s="370">
        <f>C$686</f>
        <v>6.1</v>
      </c>
      <c r="L1610" s="372"/>
      <c r="M1610" s="37"/>
      <c r="N1610" s="370"/>
      <c r="O1610" s="456">
        <f>SUM(TrialBalance!L98:L102)</f>
        <v>0</v>
      </c>
      <c r="P1610" s="380"/>
      <c r="Q1610" s="389"/>
      <c r="R1610" s="416" t="str">
        <f t="shared" si="137"/>
        <v>DELETE</v>
      </c>
    </row>
    <row r="1611" spans="2:18" ht="31.5" customHeight="1" x14ac:dyDescent="0.45">
      <c r="B1611" s="388"/>
      <c r="C1611" s="369"/>
      <c r="D1611" s="368">
        <f>TrialBalance!C116</f>
        <v>0</v>
      </c>
      <c r="J1611" s="370"/>
      <c r="K1611" s="370"/>
      <c r="L1611" s="372"/>
      <c r="M1611" s="37"/>
      <c r="N1611" s="370"/>
      <c r="O1611" s="456">
        <f>TrialBalance!L116</f>
        <v>0</v>
      </c>
      <c r="P1611" s="380"/>
      <c r="Q1611" s="389"/>
      <c r="R1611" s="416" t="str">
        <f t="shared" si="137"/>
        <v>DELETE</v>
      </c>
    </row>
    <row r="1612" spans="2:18" ht="31.5" customHeight="1" x14ac:dyDescent="0.45">
      <c r="B1612" s="388"/>
      <c r="C1612" s="369"/>
      <c r="D1612" s="368">
        <f>TrialBalance!C117</f>
        <v>0</v>
      </c>
      <c r="J1612" s="370"/>
      <c r="K1612" s="370"/>
      <c r="L1612" s="372"/>
      <c r="M1612" s="37"/>
      <c r="N1612" s="370"/>
      <c r="O1612" s="456">
        <f>TrialBalance!L117</f>
        <v>0</v>
      </c>
      <c r="P1612" s="380"/>
      <c r="Q1612" s="389"/>
      <c r="R1612" s="416" t="str">
        <f t="shared" si="137"/>
        <v>DELETE</v>
      </c>
    </row>
    <row r="1613" spans="2:18" ht="31.5" customHeight="1" x14ac:dyDescent="0.45">
      <c r="B1613" s="388"/>
      <c r="C1613" s="369"/>
      <c r="D1613" s="368">
        <f>TrialBalance!C118</f>
        <v>0</v>
      </c>
      <c r="J1613" s="370"/>
      <c r="K1613" s="370"/>
      <c r="L1613" s="372"/>
      <c r="M1613" s="37"/>
      <c r="N1613" s="370"/>
      <c r="O1613" s="456">
        <f>TrialBalance!L118</f>
        <v>0</v>
      </c>
      <c r="P1613" s="380"/>
      <c r="Q1613" s="389"/>
      <c r="R1613" s="416" t="str">
        <f t="shared" si="137"/>
        <v>DELETE</v>
      </c>
    </row>
    <row r="1614" spans="2:18" ht="31.5" customHeight="1" x14ac:dyDescent="0.45">
      <c r="B1614" s="388"/>
      <c r="C1614" s="369"/>
      <c r="D1614" s="368">
        <f>TrialBalance!C119</f>
        <v>0</v>
      </c>
      <c r="J1614" s="370"/>
      <c r="K1614" s="370"/>
      <c r="L1614" s="372"/>
      <c r="M1614" s="37"/>
      <c r="N1614" s="370"/>
      <c r="O1614" s="456">
        <f>TrialBalance!L119</f>
        <v>0</v>
      </c>
      <c r="P1614" s="380"/>
      <c r="Q1614" s="389"/>
      <c r="R1614" s="416" t="str">
        <f t="shared" si="137"/>
        <v>DELETE</v>
      </c>
    </row>
    <row r="1615" spans="2:18" ht="31.5" customHeight="1" x14ac:dyDescent="0.45">
      <c r="B1615" s="388"/>
      <c r="C1615" s="369"/>
      <c r="D1615" s="368">
        <f>TrialBalance!C120</f>
        <v>0</v>
      </c>
      <c r="J1615" s="370"/>
      <c r="K1615" s="370"/>
      <c r="L1615" s="372"/>
      <c r="M1615" s="37"/>
      <c r="N1615" s="370"/>
      <c r="O1615" s="456">
        <f>TrialBalance!L120</f>
        <v>0</v>
      </c>
      <c r="P1615" s="380"/>
      <c r="Q1615" s="389"/>
      <c r="R1615" s="416" t="str">
        <f t="shared" si="137"/>
        <v>DELETE</v>
      </c>
    </row>
    <row r="1616" spans="2:18" ht="31.5" customHeight="1" x14ac:dyDescent="0.45">
      <c r="B1616" s="388"/>
      <c r="C1616" s="369"/>
      <c r="D1616" s="368">
        <f>TrialBalance!C121</f>
        <v>0</v>
      </c>
      <c r="J1616" s="370"/>
      <c r="K1616" s="370"/>
      <c r="L1616" s="372"/>
      <c r="M1616" s="37"/>
      <c r="N1616" s="370"/>
      <c r="O1616" s="456">
        <f>TrialBalance!L121</f>
        <v>0</v>
      </c>
      <c r="P1616" s="380"/>
      <c r="Q1616" s="389"/>
      <c r="R1616" s="416" t="str">
        <f t="shared" si="137"/>
        <v>DELETE</v>
      </c>
    </row>
    <row r="1617" spans="2:23" ht="31.5" customHeight="1" x14ac:dyDescent="0.45">
      <c r="B1617" s="388"/>
      <c r="C1617" s="369"/>
      <c r="D1617" s="368">
        <f>TrialBalance!C122</f>
        <v>0</v>
      </c>
      <c r="J1617" s="370"/>
      <c r="K1617" s="370"/>
      <c r="L1617" s="372"/>
      <c r="M1617" s="37"/>
      <c r="N1617" s="370"/>
      <c r="O1617" s="456">
        <f>TrialBalance!L122</f>
        <v>0</v>
      </c>
      <c r="P1617" s="380"/>
      <c r="Q1617" s="389"/>
      <c r="R1617" s="416" t="str">
        <f t="shared" si="137"/>
        <v>DELETE</v>
      </c>
    </row>
    <row r="1618" spans="2:23" ht="31.5" customHeight="1" x14ac:dyDescent="0.45">
      <c r="B1618" s="388"/>
      <c r="C1618" s="369"/>
      <c r="D1618" s="368">
        <f>TrialBalance!C123</f>
        <v>0</v>
      </c>
      <c r="J1618" s="370"/>
      <c r="K1618" s="370"/>
      <c r="L1618" s="372"/>
      <c r="M1618" s="37"/>
      <c r="N1618" s="370"/>
      <c r="O1618" s="456">
        <f>TrialBalance!L123</f>
        <v>0</v>
      </c>
      <c r="P1618" s="380"/>
      <c r="Q1618" s="389"/>
      <c r="R1618" s="416" t="str">
        <f t="shared" si="137"/>
        <v>DELETE</v>
      </c>
    </row>
    <row r="1619" spans="2:23" ht="31.5" customHeight="1" x14ac:dyDescent="0.45">
      <c r="B1619" s="388"/>
      <c r="C1619" s="369"/>
      <c r="D1619" s="368">
        <f>TrialBalance!C124</f>
        <v>0</v>
      </c>
      <c r="J1619" s="370"/>
      <c r="K1619" s="370"/>
      <c r="L1619" s="372"/>
      <c r="M1619" s="37"/>
      <c r="N1619" s="370"/>
      <c r="O1619" s="456">
        <f>TrialBalance!L124</f>
        <v>0</v>
      </c>
      <c r="P1619" s="380"/>
      <c r="Q1619" s="389"/>
      <c r="R1619" s="416" t="str">
        <f t="shared" si="137"/>
        <v>DELETE</v>
      </c>
    </row>
    <row r="1620" spans="2:23" ht="31.5" customHeight="1" x14ac:dyDescent="0.45">
      <c r="B1620" s="388"/>
      <c r="C1620" s="369"/>
      <c r="D1620" s="368" t="str">
        <f>TrialBalance!C125</f>
        <v>Amortisation of prepaid lease agreement</v>
      </c>
      <c r="J1620" s="370"/>
      <c r="K1620" s="370"/>
      <c r="L1620" s="372"/>
      <c r="M1620" s="37"/>
      <c r="N1620" s="370"/>
      <c r="O1620" s="456">
        <f>TrialBalance!L125</f>
        <v>0</v>
      </c>
      <c r="P1620" s="380"/>
      <c r="Q1620" s="389"/>
      <c r="R1620" s="416" t="str">
        <f t="shared" si="137"/>
        <v>DELETE</v>
      </c>
    </row>
    <row r="1621" spans="2:23" ht="31.5" customHeight="1" x14ac:dyDescent="0.45">
      <c r="B1621" s="388"/>
      <c r="C1621" s="369"/>
      <c r="D1621" s="368" t="str">
        <f>TrialBalance!C126</f>
        <v>Amortisation of goodwill</v>
      </c>
      <c r="J1621" s="370"/>
      <c r="K1621" s="370"/>
      <c r="L1621" s="372"/>
      <c r="M1621" s="37"/>
      <c r="N1621" s="370"/>
      <c r="O1621" s="456">
        <f>TrialBalance!L126</f>
        <v>0</v>
      </c>
      <c r="P1621" s="380"/>
      <c r="Q1621" s="389"/>
      <c r="R1621" s="416" t="str">
        <f>IF(O1621=0,"DELETE"," ")</f>
        <v>DELETE</v>
      </c>
    </row>
    <row r="1622" spans="2:23" ht="9" customHeight="1" x14ac:dyDescent="0.45">
      <c r="B1622" s="388"/>
      <c r="C1622" s="369"/>
      <c r="J1622" s="370"/>
      <c r="K1622" s="370"/>
      <c r="L1622" s="372"/>
      <c r="M1622" s="37"/>
      <c r="N1622" s="370"/>
      <c r="O1622" s="457"/>
      <c r="P1622" s="380"/>
      <c r="Q1622" s="389"/>
      <c r="R1622" s="416" t="str">
        <f>R1586</f>
        <v>DELETE</v>
      </c>
    </row>
    <row r="1623" spans="2:23" ht="9" customHeight="1" x14ac:dyDescent="0.45">
      <c r="B1623" s="388"/>
      <c r="C1623" s="369"/>
      <c r="J1623" s="370"/>
      <c r="K1623" s="370"/>
      <c r="L1623" s="372"/>
      <c r="M1623" s="37"/>
      <c r="N1623" s="370"/>
      <c r="O1623" s="438"/>
      <c r="P1623" s="380"/>
      <c r="Q1623" s="389"/>
    </row>
    <row r="1624" spans="2:23" ht="9" customHeight="1" x14ac:dyDescent="0.45">
      <c r="B1624" s="388"/>
      <c r="C1624" s="369"/>
      <c r="J1624" s="370"/>
      <c r="K1624" s="370"/>
      <c r="L1624" s="372"/>
      <c r="M1624" s="37"/>
      <c r="N1624" s="370"/>
      <c r="O1624" s="434"/>
      <c r="P1624" s="380"/>
      <c r="Q1624" s="389"/>
    </row>
    <row r="1625" spans="2:23" ht="31.5" customHeight="1" x14ac:dyDescent="0.45">
      <c r="B1625" s="388"/>
      <c r="C1625" s="411" t="str">
        <f>IF((W1625=2),"OPERATING PROFIT FOR THE YEAR","OPERATING LOSS FOR THE YEAR")</f>
        <v>OPERATING PROFIT FOR THE YEAR</v>
      </c>
      <c r="J1625" s="370"/>
      <c r="K1625" s="370">
        <f>B683</f>
        <v>6</v>
      </c>
      <c r="L1625" s="372"/>
      <c r="M1625" s="37"/>
      <c r="N1625" s="370"/>
      <c r="O1625" s="434">
        <f>SUM(S1500:S1622)</f>
        <v>0</v>
      </c>
      <c r="P1625" s="380"/>
      <c r="Q1625" s="389"/>
      <c r="W1625" s="417">
        <f>IF(O1625&lt;0,1,2)</f>
        <v>2</v>
      </c>
    </row>
    <row r="1626" spans="2:23" ht="31.5" customHeight="1" x14ac:dyDescent="0.45">
      <c r="B1626" s="388"/>
      <c r="C1626" s="369"/>
      <c r="J1626" s="370"/>
      <c r="K1626" s="370"/>
      <c r="L1626" s="372"/>
      <c r="M1626" s="37"/>
      <c r="N1626" s="370"/>
      <c r="O1626" s="434"/>
      <c r="P1626" s="380"/>
      <c r="Q1626" s="389"/>
    </row>
    <row r="1627" spans="2:23" ht="31.5" customHeight="1" x14ac:dyDescent="0.45">
      <c r="B1627" s="388"/>
      <c r="C1627" s="369" t="s">
        <v>122</v>
      </c>
      <c r="J1627" s="370"/>
      <c r="K1627" s="370"/>
      <c r="L1627" s="372"/>
      <c r="M1627" s="37"/>
      <c r="N1627" s="370"/>
      <c r="O1627" s="434">
        <f>SUM(O1630:O1634)</f>
        <v>0</v>
      </c>
      <c r="P1627" s="380"/>
      <c r="Q1627" s="389"/>
      <c r="R1627" s="416" t="str">
        <f t="shared" ref="R1627" si="138">IF(O1627=0,"DELETE"," ")</f>
        <v>DELETE</v>
      </c>
      <c r="S1627" s="421">
        <f>O1627</f>
        <v>0</v>
      </c>
      <c r="T1627" s="421"/>
      <c r="U1627" s="421"/>
      <c r="V1627" s="421"/>
    </row>
    <row r="1628" spans="2:23" ht="9" customHeight="1" x14ac:dyDescent="0.45">
      <c r="B1628" s="388"/>
      <c r="C1628" s="369"/>
      <c r="J1628" s="370"/>
      <c r="K1628" s="370"/>
      <c r="L1628" s="372"/>
      <c r="M1628" s="37"/>
      <c r="N1628" s="370"/>
      <c r="O1628" s="434"/>
      <c r="P1628" s="380"/>
      <c r="Q1628" s="389"/>
      <c r="R1628" s="416" t="str">
        <f>R1627</f>
        <v>DELETE</v>
      </c>
    </row>
    <row r="1629" spans="2:23" ht="9" customHeight="1" x14ac:dyDescent="0.45">
      <c r="B1629" s="388"/>
      <c r="C1629" s="369"/>
      <c r="J1629" s="370"/>
      <c r="K1629" s="370"/>
      <c r="L1629" s="372"/>
      <c r="M1629" s="37"/>
      <c r="N1629" s="370"/>
      <c r="O1629" s="455"/>
      <c r="P1629" s="380"/>
      <c r="Q1629" s="389"/>
      <c r="R1629" s="416" t="str">
        <f>R1628</f>
        <v>DELETE</v>
      </c>
    </row>
    <row r="1630" spans="2:23" ht="31.5" customHeight="1" x14ac:dyDescent="0.45">
      <c r="B1630" s="388"/>
      <c r="C1630" s="369"/>
      <c r="D1630" s="368" t="s">
        <v>208</v>
      </c>
      <c r="J1630" s="370"/>
      <c r="K1630" s="370"/>
      <c r="L1630" s="372"/>
      <c r="M1630" s="37"/>
      <c r="N1630" s="370"/>
      <c r="O1630" s="456">
        <f>-TrialBalance!L82</f>
        <v>0</v>
      </c>
      <c r="P1630" s="380"/>
      <c r="Q1630" s="389"/>
      <c r="R1630" s="416" t="str">
        <f t="shared" ref="R1630:R1633" si="139">IF(O1630=0,"DELETE"," ")</f>
        <v>DELETE</v>
      </c>
    </row>
    <row r="1631" spans="2:23" ht="31.5" customHeight="1" x14ac:dyDescent="0.45">
      <c r="B1631" s="388"/>
      <c r="C1631" s="369"/>
      <c r="D1631" s="368" t="s">
        <v>210</v>
      </c>
      <c r="J1631" s="370"/>
      <c r="K1631" s="370"/>
      <c r="L1631" s="372"/>
      <c r="M1631" s="37"/>
      <c r="N1631" s="370"/>
      <c r="O1631" s="458">
        <f>-SUM(TrialBalance!L83)</f>
        <v>0</v>
      </c>
      <c r="P1631" s="380"/>
      <c r="Q1631" s="389"/>
      <c r="R1631" s="416" t="str">
        <f t="shared" si="139"/>
        <v>DELETE</v>
      </c>
    </row>
    <row r="1632" spans="2:23" ht="31.5" customHeight="1" x14ac:dyDescent="0.45">
      <c r="B1632" s="388"/>
      <c r="C1632" s="369"/>
      <c r="D1632" s="368" t="s">
        <v>520</v>
      </c>
      <c r="J1632" s="370"/>
      <c r="K1632" s="370"/>
      <c r="L1632" s="372"/>
      <c r="M1632" s="37"/>
      <c r="N1632" s="370"/>
      <c r="O1632" s="456">
        <f>IF(TrialBalance!L81&lt;0,-TrialBalance!L81,0)</f>
        <v>0</v>
      </c>
      <c r="P1632" s="380"/>
      <c r="Q1632" s="389"/>
      <c r="R1632" s="416" t="str">
        <f t="shared" si="139"/>
        <v>DELETE</v>
      </c>
    </row>
    <row r="1633" spans="2:23" ht="31.5" customHeight="1" x14ac:dyDescent="0.45">
      <c r="B1633" s="388"/>
      <c r="C1633" s="369"/>
      <c r="D1633" s="368" t="s">
        <v>365</v>
      </c>
      <c r="J1633" s="370"/>
      <c r="K1633" s="370"/>
      <c r="L1633" s="372"/>
      <c r="M1633" s="37"/>
      <c r="N1633" s="370"/>
      <c r="O1633" s="456">
        <f>-TrialBalance!L80</f>
        <v>0</v>
      </c>
      <c r="P1633" s="380"/>
      <c r="Q1633" s="389"/>
      <c r="R1633" s="416" t="str">
        <f t="shared" si="139"/>
        <v>DELETE</v>
      </c>
    </row>
    <row r="1634" spans="2:23" ht="9" customHeight="1" x14ac:dyDescent="0.45">
      <c r="B1634" s="388"/>
      <c r="C1634" s="369"/>
      <c r="J1634" s="370"/>
      <c r="K1634" s="370"/>
      <c r="L1634" s="372"/>
      <c r="M1634" s="37"/>
      <c r="N1634" s="370"/>
      <c r="O1634" s="457"/>
      <c r="P1634" s="380"/>
      <c r="Q1634" s="389"/>
      <c r="R1634" s="416" t="str">
        <f>R1627</f>
        <v>DELETE</v>
      </c>
    </row>
    <row r="1635" spans="2:23" ht="9" customHeight="1" x14ac:dyDescent="0.45">
      <c r="B1635" s="388"/>
      <c r="C1635" s="369"/>
      <c r="J1635" s="370"/>
      <c r="K1635" s="370"/>
      <c r="L1635" s="372"/>
      <c r="M1635" s="37"/>
      <c r="N1635" s="370"/>
      <c r="O1635" s="438"/>
      <c r="P1635" s="380"/>
      <c r="Q1635" s="389"/>
      <c r="R1635" s="416" t="str">
        <f>R1634</f>
        <v>DELETE</v>
      </c>
    </row>
    <row r="1636" spans="2:23" ht="9" customHeight="1" x14ac:dyDescent="0.45">
      <c r="B1636" s="388"/>
      <c r="C1636" s="369"/>
      <c r="J1636" s="370"/>
      <c r="K1636" s="370"/>
      <c r="L1636" s="372"/>
      <c r="M1636" s="37"/>
      <c r="N1636" s="370"/>
      <c r="O1636" s="434"/>
      <c r="P1636" s="380"/>
      <c r="Q1636" s="389"/>
      <c r="R1636" s="416" t="str">
        <f>R1635</f>
        <v>DELETE</v>
      </c>
    </row>
    <row r="1637" spans="2:23" ht="31.5" customHeight="1" x14ac:dyDescent="0.45">
      <c r="B1637" s="388"/>
      <c r="C1637" s="369"/>
      <c r="J1637" s="370"/>
      <c r="K1637" s="370"/>
      <c r="L1637" s="372"/>
      <c r="M1637" s="37"/>
      <c r="N1637" s="370"/>
      <c r="O1637" s="434">
        <f>SUM(S1500:S1634)</f>
        <v>0</v>
      </c>
      <c r="P1637" s="380"/>
      <c r="Q1637" s="389"/>
      <c r="R1637" s="416" t="str">
        <f>R1636</f>
        <v>DELETE</v>
      </c>
    </row>
    <row r="1638" spans="2:23" ht="31.5" customHeight="1" x14ac:dyDescent="0.45">
      <c r="B1638" s="388"/>
      <c r="C1638" s="369"/>
      <c r="J1638" s="370"/>
      <c r="K1638" s="370"/>
      <c r="L1638" s="372"/>
      <c r="M1638" s="37"/>
      <c r="N1638" s="370"/>
      <c r="O1638" s="434"/>
      <c r="P1638" s="380"/>
      <c r="Q1638" s="389"/>
      <c r="R1638" s="416" t="str">
        <f>R1637</f>
        <v>DELETE</v>
      </c>
    </row>
    <row r="1639" spans="2:23" ht="31.5" customHeight="1" x14ac:dyDescent="0.45">
      <c r="B1639" s="388"/>
      <c r="C1639" s="369" t="s">
        <v>263</v>
      </c>
      <c r="J1639" s="370"/>
      <c r="K1639" s="370">
        <f>B600</f>
        <v>5</v>
      </c>
      <c r="L1639" s="372"/>
      <c r="M1639" s="37"/>
      <c r="N1639" s="370"/>
      <c r="O1639" s="434">
        <f>SUM(TrialBalance!L129:L139)</f>
        <v>0</v>
      </c>
      <c r="P1639" s="380"/>
      <c r="Q1639" s="389"/>
      <c r="R1639" s="416" t="str">
        <f t="shared" ref="R1639" si="140">IF(O1639=0,"DELETE"," ")</f>
        <v>DELETE</v>
      </c>
      <c r="S1639" s="421">
        <f>-O1639</f>
        <v>0</v>
      </c>
      <c r="T1639" s="421"/>
      <c r="U1639" s="421"/>
      <c r="V1639" s="421"/>
    </row>
    <row r="1640" spans="2:23" ht="9" customHeight="1" x14ac:dyDescent="0.45">
      <c r="B1640" s="388"/>
      <c r="C1640" s="369"/>
      <c r="J1640" s="370"/>
      <c r="K1640" s="370"/>
      <c r="L1640" s="372"/>
      <c r="M1640" s="37"/>
      <c r="N1640" s="370"/>
      <c r="O1640" s="438"/>
      <c r="P1640" s="380"/>
      <c r="Q1640" s="389"/>
    </row>
    <row r="1641" spans="2:23" ht="9" customHeight="1" x14ac:dyDescent="0.45">
      <c r="B1641" s="388"/>
      <c r="C1641" s="369"/>
      <c r="J1641" s="370"/>
      <c r="K1641" s="370"/>
      <c r="L1641" s="372"/>
      <c r="M1641" s="37"/>
      <c r="N1641" s="370"/>
      <c r="O1641" s="434"/>
      <c r="P1641" s="380"/>
      <c r="Q1641" s="389"/>
    </row>
    <row r="1642" spans="2:23" ht="31.5" customHeight="1" x14ac:dyDescent="0.45">
      <c r="B1642" s="388"/>
      <c r="C1642" s="411" t="str">
        <f>IF((W1642=2),"PROFIT BEFORE TAXATION","LOSS BEFORE TAXATION")</f>
        <v>PROFIT BEFORE TAXATION</v>
      </c>
      <c r="J1642" s="370"/>
      <c r="K1642" s="370"/>
      <c r="L1642" s="372"/>
      <c r="M1642" s="37"/>
      <c r="N1642" s="370"/>
      <c r="O1642" s="434">
        <f>SUM(S1500:S1641)</f>
        <v>0</v>
      </c>
      <c r="P1642" s="380"/>
      <c r="Q1642" s="389"/>
      <c r="W1642" s="417">
        <f>IF(O1642&lt;0,1,2)</f>
        <v>2</v>
      </c>
    </row>
    <row r="1643" spans="2:23" ht="9" customHeight="1" thickBot="1" x14ac:dyDescent="0.5">
      <c r="B1643" s="388"/>
      <c r="C1643" s="369"/>
      <c r="J1643" s="370"/>
      <c r="K1643" s="370"/>
      <c r="L1643" s="372"/>
      <c r="M1643" s="37"/>
      <c r="N1643" s="370"/>
      <c r="O1643" s="439"/>
      <c r="P1643" s="380"/>
      <c r="Q1643" s="389"/>
    </row>
    <row r="1644" spans="2:23" ht="9" customHeight="1" thickTop="1" x14ac:dyDescent="0.45">
      <c r="B1644" s="388"/>
      <c r="C1644" s="369"/>
      <c r="J1644" s="370"/>
      <c r="K1644" s="370"/>
      <c r="L1644" s="372"/>
      <c r="M1644" s="37"/>
      <c r="N1644" s="370"/>
      <c r="O1644" s="434"/>
      <c r="P1644" s="380"/>
      <c r="Q1644" s="389"/>
    </row>
    <row r="1645" spans="2:23" ht="31.5" customHeight="1" x14ac:dyDescent="0.45">
      <c r="B1645" s="388"/>
      <c r="C1645" s="369"/>
      <c r="J1645" s="370"/>
      <c r="K1645" s="370"/>
      <c r="L1645" s="372"/>
      <c r="M1645" s="37"/>
      <c r="N1645" s="370"/>
      <c r="O1645" s="434"/>
      <c r="P1645" s="380"/>
      <c r="Q1645" s="389"/>
    </row>
    <row r="1646" spans="2:23" ht="31.5" customHeight="1" x14ac:dyDescent="0.45">
      <c r="B1646" s="396"/>
      <c r="C1646" s="383"/>
      <c r="D1646" s="383"/>
      <c r="E1646" s="383"/>
      <c r="F1646" s="383"/>
      <c r="G1646" s="383"/>
      <c r="H1646" s="383"/>
      <c r="I1646" s="383"/>
      <c r="J1646" s="383"/>
      <c r="K1646" s="383"/>
      <c r="L1646" s="383"/>
      <c r="M1646" s="482"/>
      <c r="N1646" s="483"/>
      <c r="O1646" s="482"/>
      <c r="P1646" s="475"/>
      <c r="Q1646" s="398"/>
    </row>
    <row r="1647" spans="2:23" ht="31.5" customHeight="1" x14ac:dyDescent="0.45">
      <c r="M1647" s="479"/>
      <c r="N1647" s="469"/>
      <c r="O1647" s="479"/>
    </row>
    <row r="1648" spans="2:23" ht="31.5" customHeight="1" x14ac:dyDescent="0.45">
      <c r="M1648" s="479"/>
      <c r="N1648" s="469"/>
      <c r="O1648" s="479"/>
    </row>
    <row r="1649" spans="2:20" ht="31.5" customHeight="1" x14ac:dyDescent="0.45">
      <c r="D1649" s="369" t="str">
        <f>Criteria!E9</f>
        <v>ABC TRUST</v>
      </c>
      <c r="M1649" s="479"/>
      <c r="N1649" s="469"/>
      <c r="O1649" s="434" t="s">
        <v>105</v>
      </c>
      <c r="Q1649" s="370">
        <f>MAX($Q$114:Q1648)+1</f>
        <v>36</v>
      </c>
    </row>
    <row r="1650" spans="2:20" ht="31.5" customHeight="1" x14ac:dyDescent="0.45">
      <c r="D1650" s="369" t="str">
        <f>Criteria!E10</f>
        <v>T/A RENTAL PROPERTIES, SEAFRONT RESTAURANT AND SURF SHOP</v>
      </c>
      <c r="M1650" s="479"/>
      <c r="N1650" s="469"/>
      <c r="O1650" s="479"/>
      <c r="R1650" s="416" t="str">
        <f>IF(D1650=0,"DELETE"," ")</f>
        <v xml:space="preserve"> </v>
      </c>
    </row>
    <row r="1651" spans="2:20" ht="31.5" customHeight="1" x14ac:dyDescent="0.45">
      <c r="M1651" s="479"/>
      <c r="N1651" s="469"/>
      <c r="O1651" s="479"/>
    </row>
    <row r="1652" spans="2:20" ht="31.5" customHeight="1" x14ac:dyDescent="0.45">
      <c r="D1652" s="369" t="s">
        <v>264</v>
      </c>
      <c r="M1652" s="479"/>
      <c r="N1652" s="469"/>
      <c r="O1652" s="479"/>
    </row>
    <row r="1653" spans="2:20" ht="31.5" customHeight="1" x14ac:dyDescent="0.45">
      <c r="D1653" s="369" t="str">
        <f>Criteria!E20</f>
        <v>29 FEBRUARY 2024</v>
      </c>
      <c r="M1653" s="479"/>
      <c r="N1653" s="469"/>
      <c r="O1653" s="479"/>
    </row>
    <row r="1654" spans="2:20" ht="31.5" customHeight="1" x14ac:dyDescent="0.45">
      <c r="M1654" s="479"/>
      <c r="N1654" s="469"/>
      <c r="O1654" s="479"/>
    </row>
    <row r="1655" spans="2:20" ht="31.5" customHeight="1" x14ac:dyDescent="0.45">
      <c r="B1655" s="385"/>
      <c r="C1655" s="386"/>
      <c r="D1655" s="386"/>
      <c r="E1655" s="386"/>
      <c r="F1655" s="386"/>
      <c r="G1655" s="386"/>
      <c r="H1655" s="386"/>
      <c r="I1655" s="386"/>
      <c r="J1655" s="386"/>
      <c r="K1655" s="386"/>
      <c r="L1655" s="386"/>
      <c r="M1655" s="484"/>
      <c r="N1655" s="485"/>
      <c r="O1655" s="484"/>
      <c r="P1655" s="481"/>
      <c r="Q1655" s="387"/>
    </row>
    <row r="1656" spans="2:20" ht="31.5" customHeight="1" x14ac:dyDescent="0.45">
      <c r="B1656" s="388"/>
      <c r="M1656" s="479"/>
      <c r="N1656" s="469"/>
      <c r="O1656" s="479"/>
      <c r="Q1656" s="389"/>
    </row>
    <row r="1657" spans="2:20" ht="31.5" customHeight="1" x14ac:dyDescent="0.45">
      <c r="B1657" s="388"/>
      <c r="D1657" s="368" t="str">
        <f>IF(O1657&lt;0,"NET LOSS FOR THE YEAR","NET PROFIT FOR THE YEAR")</f>
        <v>NET PROFIT FOR THE YEAR</v>
      </c>
      <c r="M1657" s="479"/>
      <c r="N1657" s="469"/>
      <c r="O1657" s="479">
        <f>O321</f>
        <v>0</v>
      </c>
      <c r="Q1657" s="389"/>
      <c r="S1657" s="422">
        <f>O1657</f>
        <v>0</v>
      </c>
      <c r="T1657" s="422"/>
    </row>
    <row r="1658" spans="2:20" ht="31.5" customHeight="1" x14ac:dyDescent="0.45">
      <c r="B1658" s="388"/>
      <c r="M1658" s="479"/>
      <c r="N1658" s="469"/>
      <c r="O1658" s="479"/>
      <c r="Q1658" s="389"/>
    </row>
    <row r="1659" spans="2:20" ht="31.5" customHeight="1" x14ac:dyDescent="0.45">
      <c r="B1659" s="388"/>
      <c r="D1659" s="368" t="s">
        <v>265</v>
      </c>
      <c r="M1659" s="479"/>
      <c r="N1659" s="469"/>
      <c r="O1659" s="479">
        <f>SUM(M1659:M1675)</f>
        <v>0</v>
      </c>
      <c r="Q1659" s="389"/>
      <c r="R1659" s="416" t="str">
        <f>IF(O1659=0,"DELETE"," ")</f>
        <v>DELETE</v>
      </c>
      <c r="S1659" s="422">
        <f>O1659</f>
        <v>0</v>
      </c>
      <c r="T1659" s="422"/>
    </row>
    <row r="1660" spans="2:20" ht="31.5" customHeight="1" x14ac:dyDescent="0.45">
      <c r="B1660" s="388"/>
      <c r="D1660" s="368" t="s">
        <v>1083</v>
      </c>
      <c r="M1660" s="479">
        <f>TrialBalance!L126+TrialBalanceA!I126+TrialBalanceB!I126+TrialBalanceC!I126</f>
        <v>0</v>
      </c>
      <c r="N1660" s="469"/>
      <c r="O1660" s="479"/>
      <c r="Q1660" s="389"/>
      <c r="R1660" s="416" t="str">
        <f>IF(M1660=0,"DELETE"," ")</f>
        <v>DELETE</v>
      </c>
      <c r="S1660" s="422"/>
      <c r="T1660" s="422"/>
    </row>
    <row r="1661" spans="2:20" ht="31.5" customHeight="1" x14ac:dyDescent="0.45">
      <c r="B1661" s="388"/>
      <c r="D1661" s="368" t="s">
        <v>1056</v>
      </c>
      <c r="M1661" s="479">
        <f>TrialBalance!L125+TrialBalanceA!I125+TrialBalanceB!I125+TrialBalanceC!I125</f>
        <v>0</v>
      </c>
      <c r="N1661" s="469"/>
      <c r="O1661" s="479"/>
      <c r="Q1661" s="389"/>
      <c r="R1661" s="416" t="str">
        <f>IF(M1661=0,"DELETE"," ")</f>
        <v>DELETE</v>
      </c>
      <c r="S1661" s="422"/>
      <c r="T1661" s="422"/>
    </row>
    <row r="1662" spans="2:20" ht="31.5" customHeight="1" x14ac:dyDescent="0.45">
      <c r="B1662" s="388"/>
      <c r="D1662" s="368" t="s">
        <v>521</v>
      </c>
      <c r="M1662" s="479">
        <f>O1748</f>
        <v>0</v>
      </c>
      <c r="N1662" s="469"/>
      <c r="O1662" s="479"/>
      <c r="Q1662" s="389"/>
      <c r="R1662" s="416" t="str">
        <f>IF(M1662=0,"DELETE"," ")</f>
        <v>DELETE</v>
      </c>
    </row>
    <row r="1663" spans="2:20" ht="31.5" customHeight="1" x14ac:dyDescent="0.45">
      <c r="B1663" s="388"/>
      <c r="D1663" s="368" t="s">
        <v>279</v>
      </c>
      <c r="M1663" s="479">
        <f>O753</f>
        <v>0</v>
      </c>
      <c r="N1663" s="469"/>
      <c r="O1663" s="479"/>
      <c r="Q1663" s="389"/>
      <c r="R1663" s="416" t="str">
        <f t="shared" ref="R1663:R1674" si="141">IF(M1663=0,"DELETE"," ")</f>
        <v>DELETE</v>
      </c>
    </row>
    <row r="1664" spans="2:20" ht="31.5" customHeight="1" x14ac:dyDescent="0.45">
      <c r="B1664" s="388"/>
      <c r="D1664" s="368" t="s">
        <v>260</v>
      </c>
      <c r="K1664" s="415"/>
      <c r="M1664" s="479">
        <f>TrialBalance!L103+TrialBalanceA!I103+TrialBalanceB!I103+TrialBalanceC!I103</f>
        <v>0</v>
      </c>
      <c r="N1664" s="469"/>
      <c r="O1664" s="479"/>
      <c r="Q1664" s="389"/>
      <c r="R1664" s="416" t="str">
        <f>IF(M1664=0,"DELETE"," ")</f>
        <v>DELETE</v>
      </c>
    </row>
    <row r="1665" spans="2:20" ht="31.5" customHeight="1" x14ac:dyDescent="0.45">
      <c r="B1665" s="388"/>
      <c r="D1665" s="368" t="s">
        <v>326</v>
      </c>
      <c r="K1665" s="415"/>
      <c r="M1665" s="479">
        <f>TrialBalance!L105+TrialBalanceA!I105+TrialBalanceB!I105+TrialBalanceC!I105</f>
        <v>0</v>
      </c>
      <c r="N1665" s="469"/>
      <c r="O1665" s="479"/>
      <c r="Q1665" s="389"/>
      <c r="R1665" s="416" t="str">
        <f t="shared" si="141"/>
        <v>DELETE</v>
      </c>
    </row>
    <row r="1666" spans="2:20" ht="31.5" customHeight="1" x14ac:dyDescent="0.45">
      <c r="B1666" s="388"/>
      <c r="D1666" s="368" t="s">
        <v>1081</v>
      </c>
      <c r="K1666" s="415"/>
      <c r="M1666" s="479">
        <f>TrialBalance!L141+TrialBalanceA!I141+TrialBalanceB!I141+TrialBalanceC!I141</f>
        <v>0</v>
      </c>
      <c r="N1666" s="469"/>
      <c r="O1666" s="479"/>
      <c r="Q1666" s="389"/>
      <c r="R1666" s="416" t="str">
        <f>IF(M1666=0,"DELETE"," ")</f>
        <v>DELETE</v>
      </c>
    </row>
    <row r="1667" spans="2:20" ht="31.5" customHeight="1" x14ac:dyDescent="0.45">
      <c r="B1667" s="388"/>
      <c r="D1667" s="368" t="s">
        <v>496</v>
      </c>
      <c r="K1667" s="415"/>
      <c r="M1667" s="479">
        <f>TrialBalance!L108+TrialBalanceA!I108+TrialBalanceB!I108+TrialBalanceC!I108</f>
        <v>0</v>
      </c>
      <c r="N1667" s="469"/>
      <c r="O1667" s="479"/>
      <c r="Q1667" s="389"/>
      <c r="R1667" s="416" t="str">
        <f>IF(M1667=0,"DELETE"," ")</f>
        <v>DELETE</v>
      </c>
    </row>
    <row r="1668" spans="2:20" ht="31.5" customHeight="1" x14ac:dyDescent="0.45">
      <c r="B1668" s="388"/>
      <c r="D1668" s="368" t="s">
        <v>519</v>
      </c>
      <c r="M1668" s="479">
        <f>IF(TrialBalance!L81&gt;0,TrialBalance!L81,0)+IF(TrialBalanceA!I81&gt;0,TrialBalanceA!I81,0)+IF(TrialBalanceB!I81&gt;0,TrialBalanceB!I81,0)+IF(TrialBalanceC!I81&gt;0,TrialBalanceC!I81,0)</f>
        <v>0</v>
      </c>
      <c r="N1668" s="469"/>
      <c r="O1668" s="479"/>
      <c r="Q1668" s="389"/>
      <c r="R1668" s="416" t="str">
        <f t="shared" si="141"/>
        <v>DELETE</v>
      </c>
    </row>
    <row r="1669" spans="2:20" ht="31.5" customHeight="1" x14ac:dyDescent="0.45">
      <c r="B1669" s="388"/>
      <c r="D1669" s="368" t="str">
        <f>Criteria!C236</f>
        <v>section 8(4)(a) Recoupment of allowances</v>
      </c>
      <c r="M1669" s="479">
        <f>Criteria!G236</f>
        <v>0</v>
      </c>
      <c r="N1669" s="469"/>
      <c r="O1669" s="479"/>
      <c r="Q1669" s="389"/>
      <c r="R1669" s="416" t="str">
        <f t="shared" si="141"/>
        <v>DELETE</v>
      </c>
    </row>
    <row r="1670" spans="2:20" ht="31.5" customHeight="1" x14ac:dyDescent="0.45">
      <c r="B1670" s="388"/>
      <c r="D1670" s="368" t="s">
        <v>88</v>
      </c>
      <c r="M1670" s="479">
        <f>TrialBalance!L115+TrialBalanceA!I115+TrialBalanceB!I115+TrialBalanceC!I115</f>
        <v>0</v>
      </c>
      <c r="N1670" s="469"/>
      <c r="O1670" s="479"/>
      <c r="Q1670" s="389"/>
      <c r="R1670" s="416" t="str">
        <f t="shared" si="141"/>
        <v>DELETE</v>
      </c>
    </row>
    <row r="1671" spans="2:20" ht="31.5" customHeight="1" x14ac:dyDescent="0.45">
      <c r="B1671" s="388"/>
      <c r="D1671" s="368">
        <f>Criteria!C237</f>
        <v>0</v>
      </c>
      <c r="M1671" s="479">
        <f>Criteria!G237</f>
        <v>0</v>
      </c>
      <c r="N1671" s="469"/>
      <c r="O1671" s="479"/>
      <c r="Q1671" s="389"/>
      <c r="R1671" s="416" t="str">
        <f t="shared" si="141"/>
        <v>DELETE</v>
      </c>
    </row>
    <row r="1672" spans="2:20" ht="31.5" customHeight="1" x14ac:dyDescent="0.45">
      <c r="B1672" s="388"/>
      <c r="D1672" s="368">
        <f>Criteria!C238</f>
        <v>0</v>
      </c>
      <c r="M1672" s="479">
        <f>Criteria!G238</f>
        <v>0</v>
      </c>
      <c r="N1672" s="469"/>
      <c r="O1672" s="479"/>
      <c r="Q1672" s="389"/>
      <c r="R1672" s="416" t="str">
        <f t="shared" si="141"/>
        <v>DELETE</v>
      </c>
    </row>
    <row r="1673" spans="2:20" ht="31.5" customHeight="1" x14ac:dyDescent="0.45">
      <c r="B1673" s="388"/>
      <c r="D1673" s="368">
        <f>Criteria!C239</f>
        <v>0</v>
      </c>
      <c r="M1673" s="479">
        <f>Criteria!G239</f>
        <v>0</v>
      </c>
      <c r="N1673" s="469"/>
      <c r="O1673" s="479"/>
      <c r="Q1673" s="389"/>
      <c r="R1673" s="416" t="str">
        <f t="shared" si="141"/>
        <v>DELETE</v>
      </c>
    </row>
    <row r="1674" spans="2:20" ht="31.5" customHeight="1" x14ac:dyDescent="0.45">
      <c r="B1674" s="388"/>
      <c r="D1674" s="368">
        <f>Criteria!C240</f>
        <v>0</v>
      </c>
      <c r="M1674" s="479">
        <f>Criteria!G240</f>
        <v>0</v>
      </c>
      <c r="N1674" s="469"/>
      <c r="O1674" s="479"/>
      <c r="Q1674" s="389"/>
      <c r="R1674" s="416" t="str">
        <f t="shared" si="141"/>
        <v>DELETE</v>
      </c>
    </row>
    <row r="1675" spans="2:20" ht="9" customHeight="1" x14ac:dyDescent="0.45">
      <c r="B1675" s="388"/>
      <c r="M1675" s="482"/>
      <c r="N1675" s="483"/>
      <c r="O1675" s="482"/>
      <c r="Q1675" s="389"/>
      <c r="R1675" s="416" t="str">
        <f>R1659</f>
        <v>DELETE</v>
      </c>
    </row>
    <row r="1676" spans="2:20" ht="9" customHeight="1" x14ac:dyDescent="0.45">
      <c r="B1676" s="388"/>
      <c r="M1676" s="479"/>
      <c r="N1676" s="469"/>
      <c r="O1676" s="479"/>
      <c r="Q1676" s="389"/>
      <c r="R1676" s="416" t="str">
        <f>R1659</f>
        <v>DELETE</v>
      </c>
    </row>
    <row r="1677" spans="2:20" ht="31.5" customHeight="1" x14ac:dyDescent="0.45">
      <c r="B1677" s="388"/>
      <c r="M1677" s="479"/>
      <c r="N1677" s="469"/>
      <c r="O1677" s="479">
        <f>SUM(O1657:O1667)</f>
        <v>0</v>
      </c>
      <c r="Q1677" s="389"/>
      <c r="R1677" s="416" t="str">
        <f>R1659</f>
        <v>DELETE</v>
      </c>
    </row>
    <row r="1678" spans="2:20" ht="31.5" customHeight="1" x14ac:dyDescent="0.45">
      <c r="B1678" s="388"/>
      <c r="M1678" s="479"/>
      <c r="N1678" s="469"/>
      <c r="O1678" s="479"/>
      <c r="Q1678" s="389"/>
      <c r="R1678" s="416" t="str">
        <f>R1677</f>
        <v>DELETE</v>
      </c>
    </row>
    <row r="1679" spans="2:20" ht="31.5" customHeight="1" x14ac:dyDescent="0.45">
      <c r="B1679" s="388"/>
      <c r="D1679" s="368" t="s">
        <v>165</v>
      </c>
      <c r="M1679" s="479"/>
      <c r="N1679" s="469"/>
      <c r="O1679" s="479">
        <f>SUM(M1679:M1689)</f>
        <v>0</v>
      </c>
      <c r="Q1679" s="389"/>
      <c r="R1679" s="416" t="str">
        <f>IF(O1679=0,"DELETE"," ")</f>
        <v>DELETE</v>
      </c>
      <c r="S1679" s="422">
        <f>-O1679</f>
        <v>0</v>
      </c>
      <c r="T1679" s="422"/>
    </row>
    <row r="1680" spans="2:20" ht="31.5" customHeight="1" x14ac:dyDescent="0.45">
      <c r="B1680" s="388"/>
      <c r="D1680" s="368" t="str">
        <f>Criteria!C242</f>
        <v>section 11 (e) Wear-and-tear allowance</v>
      </c>
      <c r="K1680" s="415"/>
      <c r="M1680" s="479">
        <f>Criteria!G242</f>
        <v>0</v>
      </c>
      <c r="N1680" s="469"/>
      <c r="O1680" s="479"/>
      <c r="Q1680" s="389"/>
      <c r="R1680" s="416" t="str">
        <f t="shared" ref="R1680:R1688" si="142">IF(M1680=0,"DELETE"," ")</f>
        <v>DELETE</v>
      </c>
    </row>
    <row r="1681" spans="2:20" ht="31.5" customHeight="1" x14ac:dyDescent="0.45">
      <c r="B1681" s="388"/>
      <c r="D1681" s="368" t="str">
        <f>Criteria!C243</f>
        <v>a13 quin Commercial buildings allowance</v>
      </c>
      <c r="K1681" s="415"/>
      <c r="M1681" s="479">
        <f>Criteria!G243</f>
        <v>0</v>
      </c>
      <c r="N1681" s="469"/>
      <c r="O1681" s="479"/>
      <c r="Q1681" s="389"/>
      <c r="R1681" s="416" t="str">
        <f t="shared" si="142"/>
        <v>DELETE</v>
      </c>
    </row>
    <row r="1682" spans="2:20" ht="31.5" customHeight="1" x14ac:dyDescent="0.45">
      <c r="B1682" s="388"/>
      <c r="D1682" s="368" t="str">
        <f>Criteria!C244</f>
        <v>section 11(o) Scrapping allowance</v>
      </c>
      <c r="K1682" s="415"/>
      <c r="M1682" s="479">
        <f>Criteria!G244</f>
        <v>0</v>
      </c>
      <c r="N1682" s="469"/>
      <c r="O1682" s="479"/>
      <c r="Q1682" s="389"/>
      <c r="R1682" s="416" t="str">
        <f t="shared" si="142"/>
        <v>DELETE</v>
      </c>
    </row>
    <row r="1683" spans="2:20" ht="31.5" customHeight="1" x14ac:dyDescent="0.45">
      <c r="B1683" s="388"/>
      <c r="D1683" s="368" t="s">
        <v>522</v>
      </c>
      <c r="K1683" s="415"/>
      <c r="M1683" s="479">
        <f>-TrialBalance!L153-TrialBalanceA!I153-TrialBalanceB!I153-TrialBalanceC!I153</f>
        <v>0</v>
      </c>
      <c r="N1683" s="469"/>
      <c r="O1683" s="479"/>
      <c r="Q1683" s="389"/>
      <c r="R1683" s="416" t="str">
        <f t="shared" si="142"/>
        <v>DELETE</v>
      </c>
    </row>
    <row r="1684" spans="2:20" ht="31.5" customHeight="1" x14ac:dyDescent="0.45">
      <c r="B1684" s="388"/>
      <c r="D1684" s="368" t="s">
        <v>520</v>
      </c>
      <c r="M1684" s="479">
        <f>Criteria!G259</f>
        <v>0</v>
      </c>
      <c r="N1684" s="469"/>
      <c r="O1684" s="479"/>
      <c r="Q1684" s="389"/>
      <c r="R1684" s="416" t="str">
        <f t="shared" si="142"/>
        <v>DELETE</v>
      </c>
    </row>
    <row r="1685" spans="2:20" ht="31.5" customHeight="1" x14ac:dyDescent="0.45">
      <c r="B1685" s="388"/>
      <c r="D1685" s="368" t="s">
        <v>809</v>
      </c>
      <c r="M1685" s="479">
        <f>-TrialBalance!L26-TrialBalanceA!I26-TrialBalanceB!I26-TrialBalanceC!I26</f>
        <v>0</v>
      </c>
      <c r="N1685" s="469"/>
      <c r="O1685" s="479"/>
      <c r="Q1685" s="389"/>
      <c r="R1685" s="416" t="str">
        <f t="shared" si="142"/>
        <v>DELETE</v>
      </c>
    </row>
    <row r="1686" spans="2:20" ht="31.5" customHeight="1" x14ac:dyDescent="0.45">
      <c r="B1686" s="388"/>
      <c r="D1686" s="368" t="s">
        <v>1157</v>
      </c>
      <c r="M1686" s="479">
        <f>-TrialBalance!L30-TrialBalanceA!I30-TrialBalanceB!I30-TrialBalanceC!I30</f>
        <v>0</v>
      </c>
      <c r="N1686" s="469"/>
      <c r="O1686" s="479"/>
      <c r="Q1686" s="389"/>
      <c r="R1686" s="416" t="str">
        <f t="shared" si="142"/>
        <v>DELETE</v>
      </c>
    </row>
    <row r="1687" spans="2:20" ht="31.5" customHeight="1" x14ac:dyDescent="0.45">
      <c r="B1687" s="388"/>
      <c r="D1687" s="468">
        <f>Criteria!C245</f>
        <v>0</v>
      </c>
      <c r="M1687" s="479">
        <f>Criteria!G245</f>
        <v>0</v>
      </c>
      <c r="N1687" s="469"/>
      <c r="O1687" s="479"/>
      <c r="Q1687" s="389"/>
      <c r="R1687" s="416" t="str">
        <f t="shared" si="142"/>
        <v>DELETE</v>
      </c>
    </row>
    <row r="1688" spans="2:20" ht="31.5" customHeight="1" x14ac:dyDescent="0.45">
      <c r="B1688" s="388"/>
      <c r="D1688" s="412">
        <f>Criteria!C246</f>
        <v>0</v>
      </c>
      <c r="M1688" s="479">
        <f>Criteria!G246</f>
        <v>0</v>
      </c>
      <c r="N1688" s="469"/>
      <c r="O1688" s="479"/>
      <c r="Q1688" s="389"/>
      <c r="R1688" s="416" t="str">
        <f t="shared" si="142"/>
        <v>DELETE</v>
      </c>
    </row>
    <row r="1689" spans="2:20" ht="9" customHeight="1" x14ac:dyDescent="0.45">
      <c r="B1689" s="388"/>
      <c r="M1689" s="482"/>
      <c r="N1689" s="483"/>
      <c r="O1689" s="482"/>
      <c r="Q1689" s="389"/>
      <c r="R1689" s="416" t="str">
        <f>R1690</f>
        <v>DELETE</v>
      </c>
    </row>
    <row r="1690" spans="2:20" ht="9" customHeight="1" x14ac:dyDescent="0.45">
      <c r="B1690" s="388"/>
      <c r="M1690" s="479"/>
      <c r="N1690" s="469"/>
      <c r="O1690" s="479"/>
      <c r="Q1690" s="389"/>
      <c r="R1690" s="416" t="str">
        <f>R1691</f>
        <v>DELETE</v>
      </c>
    </row>
    <row r="1691" spans="2:20" ht="31.5" customHeight="1" x14ac:dyDescent="0.45">
      <c r="B1691" s="388"/>
      <c r="M1691" s="479"/>
      <c r="N1691" s="469"/>
      <c r="O1691" s="479">
        <f>SUM(S1657:S1688)</f>
        <v>0</v>
      </c>
      <c r="Q1691" s="389"/>
      <c r="R1691" s="416" t="str">
        <f>R1692</f>
        <v>DELETE</v>
      </c>
    </row>
    <row r="1692" spans="2:20" ht="31.5" customHeight="1" x14ac:dyDescent="0.45">
      <c r="B1692" s="388"/>
      <c r="D1692" s="368" t="s">
        <v>166</v>
      </c>
      <c r="M1692" s="479"/>
      <c r="N1692" s="469"/>
      <c r="O1692" s="479">
        <f>-Criteria!G232</f>
        <v>0</v>
      </c>
      <c r="Q1692" s="389"/>
      <c r="R1692" s="416" t="str">
        <f>IF(O1692=0,"DELETE"," ")</f>
        <v>DELETE</v>
      </c>
      <c r="S1692" s="421">
        <f>O1692</f>
        <v>0</v>
      </c>
      <c r="T1692" s="421"/>
    </row>
    <row r="1693" spans="2:20" ht="9" customHeight="1" x14ac:dyDescent="0.45">
      <c r="B1693" s="388"/>
      <c r="M1693" s="482"/>
      <c r="N1693" s="483"/>
      <c r="O1693" s="482"/>
      <c r="Q1693" s="389"/>
    </row>
    <row r="1694" spans="2:20" ht="9" customHeight="1" x14ac:dyDescent="0.45">
      <c r="B1694" s="388"/>
      <c r="M1694" s="479"/>
      <c r="N1694" s="469"/>
      <c r="O1694" s="479"/>
      <c r="Q1694" s="389"/>
    </row>
    <row r="1695" spans="2:20" ht="31.5" customHeight="1" x14ac:dyDescent="0.45">
      <c r="B1695" s="388"/>
      <c r="D1695" s="368" t="str">
        <f>IF(O1695&lt;0,"ESTIMATED TAX LOSS CARRIED FORWARD","TAXABLE INCOME FOR THE YEAR")</f>
        <v>TAXABLE INCOME FOR THE YEAR</v>
      </c>
      <c r="M1695" s="479"/>
      <c r="N1695" s="469"/>
      <c r="O1695" s="479">
        <f>SUM(S1657:S1693)</f>
        <v>0</v>
      </c>
      <c r="Q1695" s="389"/>
    </row>
    <row r="1696" spans="2:20" ht="9" customHeight="1" thickBot="1" x14ac:dyDescent="0.5">
      <c r="B1696" s="388"/>
      <c r="M1696" s="479"/>
      <c r="N1696" s="469"/>
      <c r="O1696" s="489"/>
      <c r="Q1696" s="389"/>
    </row>
    <row r="1697" spans="2:20" ht="9" customHeight="1" thickTop="1" x14ac:dyDescent="0.45">
      <c r="B1697" s="388"/>
      <c r="M1697" s="479"/>
      <c r="N1697" s="469"/>
      <c r="O1697" s="479"/>
      <c r="Q1697" s="389"/>
    </row>
    <row r="1698" spans="2:20" ht="31.5" customHeight="1" x14ac:dyDescent="0.45">
      <c r="B1698" s="388"/>
      <c r="K1698" s="412"/>
      <c r="Q1698" s="389"/>
    </row>
    <row r="1699" spans="2:20" ht="31.5" customHeight="1" x14ac:dyDescent="0.45">
      <c r="B1699" s="388"/>
      <c r="D1699" s="368" t="s">
        <v>228</v>
      </c>
      <c r="H1699" s="368" t="s">
        <v>1005</v>
      </c>
      <c r="M1699" s="490"/>
      <c r="Q1699" s="389"/>
    </row>
    <row r="1700" spans="2:20" ht="31.5" customHeight="1" x14ac:dyDescent="0.45">
      <c r="B1700" s="388"/>
      <c r="I1700" s="368" t="s">
        <v>1008</v>
      </c>
      <c r="M1700" s="449">
        <v>0.45</v>
      </c>
      <c r="N1700" s="491"/>
      <c r="O1700" s="467">
        <f>ROUND(IF(O1695&lt;0,0,O1695*0.45),2)</f>
        <v>0</v>
      </c>
      <c r="Q1700" s="389"/>
    </row>
    <row r="1701" spans="2:20" ht="9" customHeight="1" x14ac:dyDescent="0.45">
      <c r="B1701" s="388"/>
      <c r="O1701" s="474"/>
      <c r="Q1701" s="389"/>
    </row>
    <row r="1702" spans="2:20" ht="9" customHeight="1" x14ac:dyDescent="0.45">
      <c r="B1702" s="388"/>
      <c r="Q1702" s="389"/>
    </row>
    <row r="1703" spans="2:20" ht="31.5" customHeight="1" x14ac:dyDescent="0.45">
      <c r="B1703" s="388"/>
      <c r="D1703" s="368" t="s">
        <v>71</v>
      </c>
      <c r="O1703" s="467">
        <f>SUM(O1700:O1702)</f>
        <v>0</v>
      </c>
      <c r="Q1703" s="389"/>
      <c r="S1703" s="422">
        <f>O1703</f>
        <v>0</v>
      </c>
      <c r="T1703" s="422"/>
    </row>
    <row r="1704" spans="2:20" ht="31.5" customHeight="1" x14ac:dyDescent="0.45">
      <c r="B1704" s="388"/>
      <c r="Q1704" s="389"/>
    </row>
    <row r="1705" spans="2:20" ht="31.5" customHeight="1" x14ac:dyDescent="0.45">
      <c r="B1705" s="388"/>
      <c r="D1705" s="368" t="s">
        <v>94</v>
      </c>
      <c r="O1705" s="467">
        <f>SUM(M1707:M1710)</f>
        <v>0</v>
      </c>
      <c r="Q1705" s="389"/>
      <c r="S1705" s="422">
        <f>-O1705</f>
        <v>0</v>
      </c>
      <c r="T1705" s="422"/>
    </row>
    <row r="1706" spans="2:20" ht="31.5" customHeight="1" x14ac:dyDescent="0.45">
      <c r="B1706" s="388"/>
      <c r="D1706" s="368" t="s">
        <v>72</v>
      </c>
      <c r="Q1706" s="389"/>
    </row>
    <row r="1707" spans="2:20" ht="31.5" customHeight="1" x14ac:dyDescent="0.45">
      <c r="B1707" s="388"/>
      <c r="E1707" s="368" t="s">
        <v>73</v>
      </c>
      <c r="M1707" s="467">
        <f>TrialBalance!L388</f>
        <v>0</v>
      </c>
      <c r="Q1707" s="389"/>
    </row>
    <row r="1708" spans="2:20" ht="31.5" customHeight="1" x14ac:dyDescent="0.45">
      <c r="B1708" s="388"/>
      <c r="E1708" s="368" t="s">
        <v>74</v>
      </c>
      <c r="M1708" s="467">
        <f>TrialBalance!L389</f>
        <v>0</v>
      </c>
      <c r="Q1708" s="389"/>
    </row>
    <row r="1709" spans="2:20" ht="31.5" customHeight="1" x14ac:dyDescent="0.45">
      <c r="B1709" s="388"/>
      <c r="E1709" s="368" t="s">
        <v>75</v>
      </c>
      <c r="M1709" s="467">
        <f>TrialBalance!L390</f>
        <v>0</v>
      </c>
      <c r="Q1709" s="389"/>
      <c r="R1709" s="416" t="str">
        <f>IF(M1709=0,"DELETE"," ")</f>
        <v>DELETE</v>
      </c>
    </row>
    <row r="1710" spans="2:20" ht="9" customHeight="1" x14ac:dyDescent="0.45">
      <c r="B1710" s="388"/>
      <c r="M1710" s="474"/>
      <c r="N1710" s="475"/>
      <c r="O1710" s="474"/>
      <c r="Q1710" s="389"/>
    </row>
    <row r="1711" spans="2:20" ht="9" customHeight="1" x14ac:dyDescent="0.45">
      <c r="B1711" s="388"/>
      <c r="Q1711" s="389"/>
    </row>
    <row r="1712" spans="2:20" ht="31.5" customHeight="1" x14ac:dyDescent="0.45">
      <c r="B1712" s="388"/>
      <c r="D1712" s="368" t="str">
        <f>IF(O1712&lt;0,"Income tax refundable","Net income tax payable")</f>
        <v>Net income tax payable</v>
      </c>
      <c r="O1712" s="467">
        <f>SUM(S1698:S1710)</f>
        <v>0</v>
      </c>
      <c r="Q1712" s="389"/>
    </row>
    <row r="1713" spans="2:18" ht="9" customHeight="1" thickBot="1" x14ac:dyDescent="0.5">
      <c r="B1713" s="388"/>
      <c r="O1713" s="492"/>
      <c r="Q1713" s="389"/>
    </row>
    <row r="1714" spans="2:18" ht="9" customHeight="1" thickTop="1" x14ac:dyDescent="0.45">
      <c r="B1714" s="388"/>
      <c r="O1714" s="477"/>
      <c r="Q1714" s="389"/>
    </row>
    <row r="1715" spans="2:18" ht="31.5" customHeight="1" x14ac:dyDescent="0.45">
      <c r="B1715" s="388"/>
      <c r="Q1715" s="389"/>
    </row>
    <row r="1716" spans="2:18" ht="31.5" customHeight="1" x14ac:dyDescent="0.45">
      <c r="B1716" s="388"/>
      <c r="Q1716" s="389"/>
    </row>
    <row r="1717" spans="2:18" ht="31.5" customHeight="1" x14ac:dyDescent="0.45">
      <c r="B1717" s="388"/>
      <c r="Q1717" s="389"/>
    </row>
    <row r="1718" spans="2:18" ht="31.5" customHeight="1" x14ac:dyDescent="0.45">
      <c r="B1718" s="388"/>
      <c r="Q1718" s="389"/>
    </row>
    <row r="1719" spans="2:18" ht="31.5" customHeight="1" x14ac:dyDescent="0.45">
      <c r="B1719" s="396"/>
      <c r="C1719" s="383"/>
      <c r="D1719" s="383"/>
      <c r="E1719" s="383"/>
      <c r="F1719" s="383"/>
      <c r="G1719" s="383"/>
      <c r="H1719" s="383"/>
      <c r="I1719" s="383"/>
      <c r="J1719" s="383"/>
      <c r="K1719" s="383"/>
      <c r="L1719" s="383"/>
      <c r="M1719" s="474"/>
      <c r="N1719" s="475"/>
      <c r="O1719" s="474"/>
      <c r="P1719" s="475"/>
      <c r="Q1719" s="398"/>
    </row>
    <row r="1720" spans="2:18" ht="31.5" customHeight="1" x14ac:dyDescent="0.45"/>
    <row r="1721" spans="2:18" ht="31.5" customHeight="1" x14ac:dyDescent="0.45">
      <c r="R1721" s="416" t="str">
        <f>R$1744</f>
        <v>DELETE</v>
      </c>
    </row>
    <row r="1722" spans="2:18" ht="31.5" customHeight="1" x14ac:dyDescent="0.45">
      <c r="D1722" s="369" t="str">
        <f>Criteria!E9</f>
        <v>ABC TRUST</v>
      </c>
      <c r="O1722" s="433" t="s">
        <v>105</v>
      </c>
      <c r="Q1722" s="370">
        <f>MAX($Q$114:Q1721)+1</f>
        <v>37</v>
      </c>
      <c r="R1722" s="416" t="str">
        <f>R$1744</f>
        <v>DELETE</v>
      </c>
    </row>
    <row r="1723" spans="2:18" ht="31.5" customHeight="1" x14ac:dyDescent="0.45">
      <c r="D1723" s="369" t="str">
        <f>Criteria!E10</f>
        <v>T/A RENTAL PROPERTIES, SEAFRONT RESTAURANT AND SURF SHOP</v>
      </c>
      <c r="R1723" s="416" t="str">
        <f>IF(R$1744="DELETE","DELETE",IF(D1723=0,"DELETE"," "))</f>
        <v>DELETE</v>
      </c>
    </row>
    <row r="1724" spans="2:18" ht="31.5" customHeight="1" x14ac:dyDescent="0.45">
      <c r="R1724" s="416" t="str">
        <f t="shared" ref="R1724:R1743" si="143">R$1744</f>
        <v>DELETE</v>
      </c>
    </row>
    <row r="1725" spans="2:18" ht="31.5" customHeight="1" x14ac:dyDescent="0.45">
      <c r="D1725" s="369" t="s">
        <v>167</v>
      </c>
      <c r="R1725" s="416" t="str">
        <f t="shared" si="143"/>
        <v>DELETE</v>
      </c>
    </row>
    <row r="1726" spans="2:18" ht="31.5" customHeight="1" x14ac:dyDescent="0.45">
      <c r="D1726" s="369" t="str">
        <f>Criteria!E20</f>
        <v>29 FEBRUARY 2024</v>
      </c>
      <c r="R1726" s="416" t="str">
        <f t="shared" si="143"/>
        <v>DELETE</v>
      </c>
    </row>
    <row r="1727" spans="2:18" ht="31.5" customHeight="1" x14ac:dyDescent="0.45">
      <c r="R1727" s="416" t="str">
        <f t="shared" si="143"/>
        <v>DELETE</v>
      </c>
    </row>
    <row r="1728" spans="2:18" ht="31.5" customHeight="1" x14ac:dyDescent="0.45">
      <c r="B1728" s="385"/>
      <c r="C1728" s="386"/>
      <c r="D1728" s="386"/>
      <c r="E1728" s="386"/>
      <c r="F1728" s="386"/>
      <c r="G1728" s="386"/>
      <c r="H1728" s="386"/>
      <c r="I1728" s="386"/>
      <c r="J1728" s="386"/>
      <c r="K1728" s="386"/>
      <c r="L1728" s="386"/>
      <c r="M1728" s="480"/>
      <c r="N1728" s="481"/>
      <c r="O1728" s="480"/>
      <c r="P1728" s="481"/>
      <c r="Q1728" s="387"/>
      <c r="R1728" s="416" t="str">
        <f t="shared" si="143"/>
        <v>DELETE</v>
      </c>
    </row>
    <row r="1729" spans="2:23" ht="31.5" customHeight="1" x14ac:dyDescent="0.45">
      <c r="B1729" s="388"/>
      <c r="Q1729" s="389"/>
      <c r="R1729" s="416" t="str">
        <f t="shared" si="143"/>
        <v>DELETE</v>
      </c>
    </row>
    <row r="1730" spans="2:23" ht="31.5" customHeight="1" x14ac:dyDescent="0.45">
      <c r="B1730" s="388"/>
      <c r="Q1730" s="389"/>
      <c r="R1730" s="416" t="str">
        <f t="shared" si="143"/>
        <v>DELETE</v>
      </c>
    </row>
    <row r="1731" spans="2:23" ht="31.5" customHeight="1" x14ac:dyDescent="0.45">
      <c r="B1731" s="388"/>
      <c r="C1731" s="368">
        <v>1</v>
      </c>
      <c r="D1731" s="368" t="s">
        <v>719</v>
      </c>
      <c r="Q1731" s="389"/>
      <c r="R1731" s="416" t="str">
        <f t="shared" si="143"/>
        <v>DELETE</v>
      </c>
    </row>
    <row r="1732" spans="2:23" ht="31.5" customHeight="1" x14ac:dyDescent="0.45">
      <c r="B1732" s="388"/>
      <c r="Q1732" s="389"/>
      <c r="R1732" s="416" t="str">
        <f t="shared" si="143"/>
        <v>DELETE</v>
      </c>
    </row>
    <row r="1733" spans="2:23" ht="31.5" customHeight="1" x14ac:dyDescent="0.45">
      <c r="B1733" s="388"/>
      <c r="D1733" s="384" t="s">
        <v>721</v>
      </c>
      <c r="O1733" s="479">
        <f>Criteria!G249</f>
        <v>0</v>
      </c>
      <c r="Q1733" s="389"/>
      <c r="R1733" s="416" t="str">
        <f t="shared" si="143"/>
        <v>DELETE</v>
      </c>
      <c r="W1733" s="417">
        <f>IF(M1733&lt;0,1,IF(M1733=0,IF(O1733&lt;0,1,2),2))</f>
        <v>2</v>
      </c>
    </row>
    <row r="1734" spans="2:23" ht="31.5" customHeight="1" x14ac:dyDescent="0.45">
      <c r="B1734" s="388"/>
      <c r="D1734" s="384" t="s">
        <v>1171</v>
      </c>
      <c r="O1734" s="479">
        <f>Criteria!G251</f>
        <v>0</v>
      </c>
      <c r="Q1734" s="389"/>
      <c r="R1734" s="416" t="str">
        <f t="shared" si="143"/>
        <v>DELETE</v>
      </c>
    </row>
    <row r="1735" spans="2:23" ht="9" customHeight="1" x14ac:dyDescent="0.45">
      <c r="B1735" s="388"/>
      <c r="D1735" s="384"/>
      <c r="O1735" s="482"/>
      <c r="Q1735" s="389"/>
      <c r="R1735" s="416" t="str">
        <f t="shared" si="143"/>
        <v>DELETE</v>
      </c>
    </row>
    <row r="1736" spans="2:23" ht="9" customHeight="1" x14ac:dyDescent="0.45">
      <c r="B1736" s="388"/>
      <c r="D1736" s="384"/>
      <c r="O1736" s="479"/>
      <c r="Q1736" s="389"/>
      <c r="R1736" s="416" t="str">
        <f t="shared" si="143"/>
        <v>DELETE</v>
      </c>
    </row>
    <row r="1737" spans="2:23" ht="31.5" customHeight="1" x14ac:dyDescent="0.45">
      <c r="B1737" s="388"/>
      <c r="D1737" s="384"/>
      <c r="O1737" s="479">
        <f>O1733-O1734</f>
        <v>0</v>
      </c>
      <c r="Q1737" s="389"/>
      <c r="R1737" s="416" t="str">
        <f t="shared" si="143"/>
        <v>DELETE</v>
      </c>
    </row>
    <row r="1738" spans="2:23" ht="31.5" customHeight="1" x14ac:dyDescent="0.45">
      <c r="B1738" s="388"/>
      <c r="D1738" s="384"/>
      <c r="O1738" s="479"/>
      <c r="Q1738" s="389"/>
      <c r="R1738" s="416" t="str">
        <f t="shared" si="143"/>
        <v>DELETE</v>
      </c>
    </row>
    <row r="1739" spans="2:23" ht="31.5" customHeight="1" x14ac:dyDescent="0.45">
      <c r="B1739" s="388"/>
      <c r="D1739" s="384" t="s">
        <v>738</v>
      </c>
      <c r="O1739" s="479">
        <f>-Criteria!H249</f>
        <v>0</v>
      </c>
      <c r="Q1739" s="389"/>
      <c r="R1739" s="416" t="str">
        <f t="shared" si="143"/>
        <v>DELETE</v>
      </c>
    </row>
    <row r="1740" spans="2:23" ht="31.5" customHeight="1" x14ac:dyDescent="0.45">
      <c r="B1740" s="388"/>
      <c r="O1740" s="479"/>
      <c r="Q1740" s="389"/>
      <c r="R1740" s="416" t="str">
        <f t="shared" si="143"/>
        <v>DELETE</v>
      </c>
    </row>
    <row r="1741" spans="2:23" ht="31.5" customHeight="1" x14ac:dyDescent="0.45">
      <c r="B1741" s="388"/>
      <c r="D1741" s="368" t="s">
        <v>718</v>
      </c>
      <c r="O1741" s="479">
        <f>-Criteria!G233</f>
        <v>0</v>
      </c>
      <c r="Q1741" s="389"/>
      <c r="R1741" s="416" t="str">
        <f t="shared" si="143"/>
        <v>DELETE</v>
      </c>
    </row>
    <row r="1742" spans="2:23" ht="9" customHeight="1" x14ac:dyDescent="0.45">
      <c r="B1742" s="388"/>
      <c r="O1742" s="482"/>
      <c r="Q1742" s="389"/>
      <c r="R1742" s="416" t="str">
        <f t="shared" si="143"/>
        <v>DELETE</v>
      </c>
    </row>
    <row r="1743" spans="2:23" ht="9" customHeight="1" x14ac:dyDescent="0.45">
      <c r="B1743" s="388"/>
      <c r="O1743" s="479"/>
      <c r="Q1743" s="389"/>
      <c r="R1743" s="416" t="str">
        <f t="shared" si="143"/>
        <v>DELETE</v>
      </c>
    </row>
    <row r="1744" spans="2:23" ht="31.5" customHeight="1" x14ac:dyDescent="0.45">
      <c r="B1744" s="388"/>
      <c r="D1744" s="368" t="str">
        <f>IF(O1744&lt;0,"Loss carried forward","Profit subject to CGT")</f>
        <v>Profit subject to CGT</v>
      </c>
      <c r="O1744" s="479">
        <f>SUM(O1736:O1742)</f>
        <v>0</v>
      </c>
      <c r="Q1744" s="389"/>
      <c r="R1744" s="416" t="str">
        <f>IF(O1733-O1739-O1741=0,"DELETE"," ")</f>
        <v>DELETE</v>
      </c>
    </row>
    <row r="1745" spans="2:18" ht="9" customHeight="1" thickBot="1" x14ac:dyDescent="0.5">
      <c r="B1745" s="388"/>
      <c r="O1745" s="489"/>
      <c r="Q1745" s="389"/>
      <c r="R1745" s="416" t="str">
        <f t="shared" ref="R1745:R1788" si="144">R$1744</f>
        <v>DELETE</v>
      </c>
    </row>
    <row r="1746" spans="2:18" ht="9" customHeight="1" thickTop="1" x14ac:dyDescent="0.45">
      <c r="B1746" s="388"/>
      <c r="O1746" s="493"/>
      <c r="Q1746" s="389"/>
      <c r="R1746" s="416" t="str">
        <f t="shared" si="144"/>
        <v>DELETE</v>
      </c>
    </row>
    <row r="1747" spans="2:18" ht="9" customHeight="1" x14ac:dyDescent="0.45">
      <c r="B1747" s="388"/>
      <c r="Q1747" s="389"/>
      <c r="R1747" s="416" t="str">
        <f t="shared" si="144"/>
        <v>DELETE</v>
      </c>
    </row>
    <row r="1748" spans="2:18" ht="31.5" customHeight="1" x14ac:dyDescent="0.45">
      <c r="B1748" s="388"/>
      <c r="D1748" s="368" t="s">
        <v>517</v>
      </c>
      <c r="O1748" s="479">
        <f>ROUND(IF(O1744&gt;0,O1744*0.8,0),0)</f>
        <v>0</v>
      </c>
      <c r="Q1748" s="389"/>
      <c r="R1748" s="416" t="str">
        <f t="shared" si="144"/>
        <v>DELETE</v>
      </c>
    </row>
    <row r="1749" spans="2:18" ht="9" customHeight="1" thickBot="1" x14ac:dyDescent="0.5">
      <c r="B1749" s="388"/>
      <c r="O1749" s="492"/>
      <c r="Q1749" s="389"/>
      <c r="R1749" s="416" t="str">
        <f t="shared" si="144"/>
        <v>DELETE</v>
      </c>
    </row>
    <row r="1750" spans="2:18" ht="9" customHeight="1" thickTop="1" x14ac:dyDescent="0.45">
      <c r="B1750" s="388"/>
      <c r="Q1750" s="389"/>
      <c r="R1750" s="416" t="str">
        <f t="shared" si="144"/>
        <v>DELETE</v>
      </c>
    </row>
    <row r="1751" spans="2:18" ht="31.5" customHeight="1" x14ac:dyDescent="0.45">
      <c r="B1751" s="388"/>
      <c r="Q1751" s="389"/>
      <c r="R1751" s="416" t="str">
        <f t="shared" si="144"/>
        <v>DELETE</v>
      </c>
    </row>
    <row r="1752" spans="2:18" ht="31.5" customHeight="1" x14ac:dyDescent="0.45">
      <c r="B1752" s="388"/>
      <c r="M1752" s="494"/>
      <c r="Q1752" s="389"/>
      <c r="R1752" s="416" t="str">
        <f t="shared" si="144"/>
        <v>DELETE</v>
      </c>
    </row>
    <row r="1753" spans="2:18" ht="31.5" customHeight="1" x14ac:dyDescent="0.45">
      <c r="B1753" s="388"/>
      <c r="Q1753" s="389"/>
      <c r="R1753" s="416" t="str">
        <f t="shared" si="144"/>
        <v>DELETE</v>
      </c>
    </row>
    <row r="1754" spans="2:18" ht="31.5" customHeight="1" x14ac:dyDescent="0.45">
      <c r="B1754" s="388"/>
      <c r="Q1754" s="389"/>
      <c r="R1754" s="416" t="str">
        <f t="shared" si="144"/>
        <v>DELETE</v>
      </c>
    </row>
    <row r="1755" spans="2:18" ht="31.5" customHeight="1" x14ac:dyDescent="0.45">
      <c r="B1755" s="388"/>
      <c r="Q1755" s="389"/>
      <c r="R1755" s="416" t="str">
        <f t="shared" si="144"/>
        <v>DELETE</v>
      </c>
    </row>
    <row r="1756" spans="2:18" ht="31.5" customHeight="1" x14ac:dyDescent="0.45">
      <c r="B1756" s="388"/>
      <c r="Q1756" s="389"/>
      <c r="R1756" s="416" t="str">
        <f t="shared" si="144"/>
        <v>DELETE</v>
      </c>
    </row>
    <row r="1757" spans="2:18" ht="31.5" customHeight="1" x14ac:dyDescent="0.45">
      <c r="B1757" s="388"/>
      <c r="Q1757" s="389"/>
      <c r="R1757" s="416" t="str">
        <f t="shared" si="144"/>
        <v>DELETE</v>
      </c>
    </row>
    <row r="1758" spans="2:18" ht="31.5" customHeight="1" x14ac:dyDescent="0.45">
      <c r="B1758" s="388"/>
      <c r="Q1758" s="389"/>
      <c r="R1758" s="416" t="str">
        <f t="shared" si="144"/>
        <v>DELETE</v>
      </c>
    </row>
    <row r="1759" spans="2:18" ht="31.5" customHeight="1" x14ac:dyDescent="0.45">
      <c r="B1759" s="388"/>
      <c r="Q1759" s="389"/>
      <c r="R1759" s="416" t="str">
        <f t="shared" si="144"/>
        <v>DELETE</v>
      </c>
    </row>
    <row r="1760" spans="2:18" ht="31.5" customHeight="1" x14ac:dyDescent="0.45">
      <c r="B1760" s="388"/>
      <c r="Q1760" s="389"/>
      <c r="R1760" s="416" t="str">
        <f t="shared" si="144"/>
        <v>DELETE</v>
      </c>
    </row>
    <row r="1761" spans="2:18" ht="31.5" customHeight="1" x14ac:dyDescent="0.45">
      <c r="B1761" s="388"/>
      <c r="Q1761" s="389"/>
      <c r="R1761" s="416" t="str">
        <f t="shared" si="144"/>
        <v>DELETE</v>
      </c>
    </row>
    <row r="1762" spans="2:18" ht="31.5" customHeight="1" x14ac:dyDescent="0.45">
      <c r="B1762" s="388"/>
      <c r="Q1762" s="389"/>
      <c r="R1762" s="416" t="str">
        <f t="shared" si="144"/>
        <v>DELETE</v>
      </c>
    </row>
    <row r="1763" spans="2:18" ht="31.5" customHeight="1" x14ac:dyDescent="0.45">
      <c r="B1763" s="388"/>
      <c r="Q1763" s="389"/>
      <c r="R1763" s="416" t="str">
        <f t="shared" si="144"/>
        <v>DELETE</v>
      </c>
    </row>
    <row r="1764" spans="2:18" ht="31.5" customHeight="1" x14ac:dyDescent="0.45">
      <c r="B1764" s="388"/>
      <c r="Q1764" s="389"/>
      <c r="R1764" s="416" t="str">
        <f t="shared" si="144"/>
        <v>DELETE</v>
      </c>
    </row>
    <row r="1765" spans="2:18" ht="31.5" customHeight="1" x14ac:dyDescent="0.45">
      <c r="B1765" s="388"/>
      <c r="Q1765" s="389"/>
      <c r="R1765" s="416" t="str">
        <f t="shared" si="144"/>
        <v>DELETE</v>
      </c>
    </row>
    <row r="1766" spans="2:18" ht="31.5" customHeight="1" x14ac:dyDescent="0.45">
      <c r="B1766" s="388"/>
      <c r="Q1766" s="389"/>
      <c r="R1766" s="416" t="str">
        <f t="shared" si="144"/>
        <v>DELETE</v>
      </c>
    </row>
    <row r="1767" spans="2:18" ht="31.5" customHeight="1" x14ac:dyDescent="0.45">
      <c r="B1767" s="388"/>
      <c r="Q1767" s="389"/>
      <c r="R1767" s="416" t="str">
        <f t="shared" si="144"/>
        <v>DELETE</v>
      </c>
    </row>
    <row r="1768" spans="2:18" ht="31.5" customHeight="1" x14ac:dyDescent="0.45">
      <c r="B1768" s="388"/>
      <c r="Q1768" s="389"/>
      <c r="R1768" s="416" t="str">
        <f t="shared" si="144"/>
        <v>DELETE</v>
      </c>
    </row>
    <row r="1769" spans="2:18" ht="31.5" customHeight="1" x14ac:dyDescent="0.45">
      <c r="B1769" s="388"/>
      <c r="Q1769" s="389"/>
      <c r="R1769" s="416" t="str">
        <f t="shared" si="144"/>
        <v>DELETE</v>
      </c>
    </row>
    <row r="1770" spans="2:18" ht="31.5" customHeight="1" x14ac:dyDescent="0.45">
      <c r="B1770" s="388"/>
      <c r="Q1770" s="389"/>
      <c r="R1770" s="416" t="str">
        <f t="shared" si="144"/>
        <v>DELETE</v>
      </c>
    </row>
    <row r="1771" spans="2:18" ht="31.5" customHeight="1" x14ac:dyDescent="0.45">
      <c r="B1771" s="388"/>
      <c r="Q1771" s="389"/>
      <c r="R1771" s="416" t="str">
        <f t="shared" si="144"/>
        <v>DELETE</v>
      </c>
    </row>
    <row r="1772" spans="2:18" ht="31.5" customHeight="1" x14ac:dyDescent="0.45">
      <c r="B1772" s="388"/>
      <c r="Q1772" s="389"/>
      <c r="R1772" s="416" t="str">
        <f t="shared" si="144"/>
        <v>DELETE</v>
      </c>
    </row>
    <row r="1773" spans="2:18" ht="31.5" customHeight="1" x14ac:dyDescent="0.45">
      <c r="B1773" s="388"/>
      <c r="Q1773" s="389"/>
      <c r="R1773" s="416" t="str">
        <f t="shared" si="144"/>
        <v>DELETE</v>
      </c>
    </row>
    <row r="1774" spans="2:18" ht="31.5" customHeight="1" x14ac:dyDescent="0.45">
      <c r="B1774" s="388"/>
      <c r="Q1774" s="389"/>
      <c r="R1774" s="416" t="str">
        <f t="shared" si="144"/>
        <v>DELETE</v>
      </c>
    </row>
    <row r="1775" spans="2:18" ht="31.5" customHeight="1" x14ac:dyDescent="0.45">
      <c r="B1775" s="388"/>
      <c r="Q1775" s="389"/>
      <c r="R1775" s="416" t="str">
        <f t="shared" si="144"/>
        <v>DELETE</v>
      </c>
    </row>
    <row r="1776" spans="2:18" ht="31.5" customHeight="1" x14ac:dyDescent="0.45">
      <c r="B1776" s="388"/>
      <c r="Q1776" s="389"/>
      <c r="R1776" s="416" t="str">
        <f t="shared" si="144"/>
        <v>DELETE</v>
      </c>
    </row>
    <row r="1777" spans="2:23" ht="31.5" customHeight="1" x14ac:dyDescent="0.45">
      <c r="B1777" s="388"/>
      <c r="Q1777" s="389"/>
      <c r="R1777" s="416" t="str">
        <f t="shared" si="144"/>
        <v>DELETE</v>
      </c>
    </row>
    <row r="1778" spans="2:23" ht="31.5" customHeight="1" x14ac:dyDescent="0.45">
      <c r="B1778" s="388"/>
      <c r="Q1778" s="389"/>
      <c r="R1778" s="416" t="str">
        <f t="shared" si="144"/>
        <v>DELETE</v>
      </c>
    </row>
    <row r="1779" spans="2:23" ht="31.5" customHeight="1" x14ac:dyDescent="0.45">
      <c r="B1779" s="388"/>
      <c r="Q1779" s="389"/>
      <c r="R1779" s="416" t="str">
        <f t="shared" si="144"/>
        <v>DELETE</v>
      </c>
    </row>
    <row r="1780" spans="2:23" ht="31.5" customHeight="1" x14ac:dyDescent="0.45">
      <c r="B1780" s="388"/>
      <c r="Q1780" s="389"/>
      <c r="R1780" s="416" t="str">
        <f t="shared" si="144"/>
        <v>DELETE</v>
      </c>
    </row>
    <row r="1781" spans="2:23" ht="31.5" customHeight="1" x14ac:dyDescent="0.45">
      <c r="B1781" s="388"/>
      <c r="Q1781" s="389"/>
      <c r="R1781" s="416" t="str">
        <f t="shared" si="144"/>
        <v>DELETE</v>
      </c>
    </row>
    <row r="1782" spans="2:23" ht="31.5" customHeight="1" x14ac:dyDescent="0.45">
      <c r="B1782" s="388"/>
      <c r="Q1782" s="389"/>
      <c r="R1782" s="416" t="str">
        <f t="shared" si="144"/>
        <v>DELETE</v>
      </c>
    </row>
    <row r="1783" spans="2:23" ht="31.5" customHeight="1" x14ac:dyDescent="0.45">
      <c r="B1783" s="388"/>
      <c r="Q1783" s="389"/>
      <c r="R1783" s="416" t="str">
        <f t="shared" si="144"/>
        <v>DELETE</v>
      </c>
    </row>
    <row r="1784" spans="2:23" ht="31.5" customHeight="1" x14ac:dyDescent="0.45">
      <c r="B1784" s="388"/>
      <c r="Q1784" s="389"/>
      <c r="R1784" s="416" t="str">
        <f t="shared" si="144"/>
        <v>DELETE</v>
      </c>
    </row>
    <row r="1785" spans="2:23" ht="31.5" customHeight="1" x14ac:dyDescent="0.45">
      <c r="B1785" s="388"/>
      <c r="Q1785" s="389"/>
      <c r="R1785" s="416" t="str">
        <f t="shared" si="144"/>
        <v>DELETE</v>
      </c>
    </row>
    <row r="1786" spans="2:23" ht="31.5" customHeight="1" x14ac:dyDescent="0.45">
      <c r="B1786" s="388"/>
      <c r="Q1786" s="389"/>
      <c r="R1786" s="416" t="str">
        <f t="shared" si="144"/>
        <v>DELETE</v>
      </c>
    </row>
    <row r="1787" spans="2:23" ht="31.5" customHeight="1" x14ac:dyDescent="0.45">
      <c r="B1787" s="396"/>
      <c r="C1787" s="383"/>
      <c r="D1787" s="383"/>
      <c r="E1787" s="383"/>
      <c r="F1787" s="383"/>
      <c r="G1787" s="383"/>
      <c r="H1787" s="383"/>
      <c r="I1787" s="383"/>
      <c r="J1787" s="383"/>
      <c r="K1787" s="383"/>
      <c r="L1787" s="383"/>
      <c r="M1787" s="474"/>
      <c r="N1787" s="475"/>
      <c r="O1787" s="474"/>
      <c r="P1787" s="475"/>
      <c r="Q1787" s="398"/>
      <c r="R1787" s="416" t="str">
        <f t="shared" si="144"/>
        <v>DELETE</v>
      </c>
    </row>
    <row r="1788" spans="2:23" ht="31.5" customHeight="1" x14ac:dyDescent="0.45">
      <c r="M1788" s="477"/>
      <c r="N1788" s="478"/>
      <c r="O1788" s="477"/>
      <c r="P1788" s="478"/>
      <c r="R1788" s="416" t="str">
        <f t="shared" si="144"/>
        <v>DELETE</v>
      </c>
    </row>
    <row r="1789" spans="2:23" ht="31.5" customHeight="1" x14ac:dyDescent="0.45">
      <c r="M1789" s="479"/>
      <c r="N1789" s="469"/>
      <c r="O1789" s="479"/>
      <c r="R1789" s="416" t="str">
        <f>IF(SUM(S1801:S1803)+SUM(S1821:S1828)+SUM(S1927:S1934)+O1942=0,"DELETE"," ")</f>
        <v>DELETE</v>
      </c>
      <c r="T1789" s="425"/>
      <c r="U1789" s="420"/>
      <c r="V1789" s="420"/>
      <c r="W1789" s="425"/>
    </row>
    <row r="1790" spans="2:23" ht="31.5" customHeight="1" x14ac:dyDescent="0.45">
      <c r="D1790" s="369" t="s">
        <v>498</v>
      </c>
      <c r="M1790" s="479"/>
      <c r="N1790" s="469"/>
      <c r="O1790" s="479"/>
      <c r="R1790" s="416" t="str">
        <f t="shared" ref="R1790:R1800" si="145">R$1789</f>
        <v>DELETE</v>
      </c>
      <c r="T1790" s="425"/>
      <c r="U1790" s="419"/>
    </row>
    <row r="1791" spans="2:23" ht="31.5" customHeight="1" x14ac:dyDescent="0.45">
      <c r="M1791" s="479"/>
      <c r="N1791" s="469"/>
      <c r="O1791" s="479"/>
      <c r="R1791" s="416" t="str">
        <f t="shared" si="145"/>
        <v>DELETE</v>
      </c>
      <c r="T1791" s="425"/>
    </row>
    <row r="1792" spans="2:23" ht="31.5" customHeight="1" x14ac:dyDescent="0.45">
      <c r="D1792" s="369" t="str">
        <f>Criteria!E9</f>
        <v>ABC TRUST</v>
      </c>
      <c r="M1792" s="479"/>
      <c r="N1792" s="469"/>
      <c r="O1792" s="434" t="s">
        <v>105</v>
      </c>
      <c r="Q1792" s="370">
        <v>1</v>
      </c>
      <c r="R1792" s="416" t="str">
        <f t="shared" si="145"/>
        <v>DELETE</v>
      </c>
      <c r="T1792" s="425"/>
    </row>
    <row r="1793" spans="2:22" ht="31.5" customHeight="1" x14ac:dyDescent="0.45">
      <c r="D1793" s="369" t="str">
        <f>CONCATENATE("T/A ",Criteria!E14)</f>
        <v>T/A SEAFRONT RESTAURANT</v>
      </c>
      <c r="M1793" s="479"/>
      <c r="N1793" s="469"/>
      <c r="O1793" s="479"/>
      <c r="R1793" s="416" t="str">
        <f t="shared" si="145"/>
        <v>DELETE</v>
      </c>
      <c r="T1793" s="425"/>
    </row>
    <row r="1794" spans="2:22" ht="31.5" customHeight="1" x14ac:dyDescent="0.45">
      <c r="M1794" s="479"/>
      <c r="N1794" s="469"/>
      <c r="O1794" s="479"/>
      <c r="R1794" s="416" t="str">
        <f t="shared" si="145"/>
        <v>DELETE</v>
      </c>
      <c r="T1794" s="425"/>
    </row>
    <row r="1795" spans="2:22" ht="31.5" customHeight="1" x14ac:dyDescent="0.45">
      <c r="D1795" s="369" t="s">
        <v>100</v>
      </c>
      <c r="M1795" s="479"/>
      <c r="N1795" s="469"/>
      <c r="O1795" s="479"/>
      <c r="R1795" s="416" t="str">
        <f t="shared" si="145"/>
        <v>DELETE</v>
      </c>
      <c r="T1795" s="425"/>
    </row>
    <row r="1796" spans="2:22" ht="31.5" customHeight="1" x14ac:dyDescent="0.45">
      <c r="D1796" s="369" t="str">
        <f>Criteria!E20</f>
        <v>29 FEBRUARY 2024</v>
      </c>
      <c r="M1796" s="479"/>
      <c r="N1796" s="469"/>
      <c r="O1796" s="479"/>
      <c r="R1796" s="416" t="str">
        <f t="shared" si="145"/>
        <v>DELETE</v>
      </c>
      <c r="T1796" s="425"/>
    </row>
    <row r="1797" spans="2:22" ht="31.5" customHeight="1" x14ac:dyDescent="0.45">
      <c r="M1797" s="479"/>
      <c r="N1797" s="469"/>
      <c r="O1797" s="479"/>
      <c r="R1797" s="416" t="str">
        <f t="shared" si="145"/>
        <v>DELETE</v>
      </c>
      <c r="T1797" s="425"/>
    </row>
    <row r="1798" spans="2:22" ht="31.5" customHeight="1" x14ac:dyDescent="0.45">
      <c r="B1798" s="385"/>
      <c r="C1798" s="386"/>
      <c r="D1798" s="386"/>
      <c r="E1798" s="386"/>
      <c r="F1798" s="386"/>
      <c r="G1798" s="386"/>
      <c r="H1798" s="386"/>
      <c r="I1798" s="386"/>
      <c r="J1798" s="386"/>
      <c r="K1798" s="386"/>
      <c r="L1798" s="386"/>
      <c r="M1798" s="484"/>
      <c r="N1798" s="485"/>
      <c r="O1798" s="484"/>
      <c r="P1798" s="481"/>
      <c r="Q1798" s="387"/>
      <c r="R1798" s="416" t="str">
        <f t="shared" si="145"/>
        <v>DELETE</v>
      </c>
      <c r="T1798" s="425"/>
    </row>
    <row r="1799" spans="2:22" ht="31.5" customHeight="1" x14ac:dyDescent="0.45">
      <c r="B1799" s="388"/>
      <c r="J1799" s="370"/>
      <c r="K1799" s="370" t="s">
        <v>113</v>
      </c>
      <c r="L1799" s="372"/>
      <c r="M1799" s="37"/>
      <c r="N1799" s="370"/>
      <c r="O1799" s="430">
        <f>Criteria!E22</f>
        <v>2024</v>
      </c>
      <c r="P1799" s="380"/>
      <c r="Q1799" s="389"/>
      <c r="R1799" s="416" t="str">
        <f t="shared" si="145"/>
        <v>DELETE</v>
      </c>
      <c r="T1799" s="425"/>
    </row>
    <row r="1800" spans="2:22" ht="31.5" customHeight="1" x14ac:dyDescent="0.45">
      <c r="B1800" s="388"/>
      <c r="J1800" s="370"/>
      <c r="K1800" s="370"/>
      <c r="L1800" s="372"/>
      <c r="M1800" s="37"/>
      <c r="N1800" s="370"/>
      <c r="O1800" s="434"/>
      <c r="P1800" s="380"/>
      <c r="Q1800" s="389"/>
      <c r="R1800" s="416" t="str">
        <f t="shared" si="145"/>
        <v>DELETE</v>
      </c>
      <c r="T1800" s="425"/>
    </row>
    <row r="1801" spans="2:22" ht="31.5" customHeight="1" x14ac:dyDescent="0.45">
      <c r="B1801" s="388"/>
      <c r="C1801" s="369" t="s">
        <v>1044</v>
      </c>
      <c r="J1801" s="370"/>
      <c r="K1801" s="370"/>
      <c r="L1801" s="372"/>
      <c r="M1801" s="37"/>
      <c r="N1801" s="370"/>
      <c r="O1801" s="434">
        <f>-SUM(TrialBalanceA!I6:I7)</f>
        <v>0</v>
      </c>
      <c r="P1801" s="380"/>
      <c r="Q1801" s="389"/>
      <c r="R1801" s="416" t="str">
        <f>IF(R1789="DELETE","DELETE",IF(O1801=0,IF(O1803=0," ","DELETE")," "))</f>
        <v>DELETE</v>
      </c>
      <c r="S1801" s="421">
        <f>O1801</f>
        <v>0</v>
      </c>
      <c r="T1801" s="425"/>
      <c r="U1801" s="421"/>
      <c r="V1801" s="421"/>
    </row>
    <row r="1802" spans="2:22" ht="31.5" customHeight="1" x14ac:dyDescent="0.45">
      <c r="B1802" s="388"/>
      <c r="C1802" s="369"/>
      <c r="J1802" s="370"/>
      <c r="K1802" s="370"/>
      <c r="L1802" s="372"/>
      <c r="M1802" s="37"/>
      <c r="N1802" s="370"/>
      <c r="O1802" s="434"/>
      <c r="P1802" s="380"/>
      <c r="Q1802" s="389"/>
      <c r="R1802" s="416" t="str">
        <f>R1801</f>
        <v>DELETE</v>
      </c>
      <c r="S1802" s="421"/>
      <c r="T1802" s="425"/>
      <c r="U1802" s="421"/>
      <c r="V1802" s="421"/>
    </row>
    <row r="1803" spans="2:22" ht="31.5" customHeight="1" x14ac:dyDescent="0.45">
      <c r="B1803" s="388"/>
      <c r="C1803" s="369" t="s">
        <v>497</v>
      </c>
      <c r="J1803" s="370"/>
      <c r="K1803" s="370"/>
      <c r="L1803" s="372"/>
      <c r="M1803" s="37"/>
      <c r="N1803" s="370"/>
      <c r="O1803" s="434">
        <f>-TrialBalanceA!I8</f>
        <v>0</v>
      </c>
      <c r="P1803" s="380"/>
      <c r="Q1803" s="389"/>
      <c r="R1803" s="416" t="str">
        <f>IF(R$1789="DELETE","DELETE",IF(O1803=0,"DELETE"," "))</f>
        <v>DELETE</v>
      </c>
      <c r="S1803" s="421">
        <f>O1803</f>
        <v>0</v>
      </c>
      <c r="T1803" s="425"/>
      <c r="U1803" s="421"/>
      <c r="V1803" s="421"/>
    </row>
    <row r="1804" spans="2:22" ht="31.5" customHeight="1" x14ac:dyDescent="0.45">
      <c r="B1804" s="388"/>
      <c r="C1804" s="369"/>
      <c r="J1804" s="370"/>
      <c r="K1804" s="370"/>
      <c r="L1804" s="372"/>
      <c r="M1804" s="37"/>
      <c r="N1804" s="370"/>
      <c r="O1804" s="434"/>
      <c r="P1804" s="380"/>
      <c r="Q1804" s="389"/>
      <c r="R1804" s="416" t="str">
        <f>R1803</f>
        <v>DELETE</v>
      </c>
      <c r="T1804" s="425"/>
    </row>
    <row r="1805" spans="2:22" ht="31.5" customHeight="1" x14ac:dyDescent="0.45">
      <c r="B1805" s="388"/>
      <c r="C1805" s="369" t="s">
        <v>275</v>
      </c>
      <c r="J1805" s="370"/>
      <c r="K1805" s="370"/>
      <c r="L1805" s="372"/>
      <c r="M1805" s="37"/>
      <c r="N1805" s="370"/>
      <c r="O1805" s="434">
        <f>SUM(O1808:O1815)</f>
        <v>0</v>
      </c>
      <c r="P1805" s="380"/>
      <c r="Q1805" s="389"/>
      <c r="R1805" s="416" t="str">
        <f>IF(R$1789="DELETE","DELETE",IF(O1805=0,"DELETE"," "))</f>
        <v>DELETE</v>
      </c>
      <c r="S1805" s="421">
        <f>-O1805</f>
        <v>0</v>
      </c>
      <c r="T1805" s="425"/>
      <c r="U1805" s="421"/>
      <c r="V1805" s="421"/>
    </row>
    <row r="1806" spans="2:22" ht="9" customHeight="1" x14ac:dyDescent="0.45">
      <c r="B1806" s="388"/>
      <c r="C1806" s="369"/>
      <c r="J1806" s="370"/>
      <c r="K1806" s="370"/>
      <c r="L1806" s="372"/>
      <c r="M1806" s="37"/>
      <c r="N1806" s="370"/>
      <c r="O1806" s="434"/>
      <c r="P1806" s="380"/>
      <c r="Q1806" s="389"/>
      <c r="R1806" s="416" t="str">
        <f>R1805</f>
        <v>DELETE</v>
      </c>
      <c r="T1806" s="425"/>
    </row>
    <row r="1807" spans="2:22" ht="9" customHeight="1" x14ac:dyDescent="0.45">
      <c r="B1807" s="388"/>
      <c r="C1807" s="369"/>
      <c r="J1807" s="370"/>
      <c r="K1807" s="370"/>
      <c r="L1807" s="372"/>
      <c r="M1807" s="37"/>
      <c r="N1807" s="370"/>
      <c r="O1807" s="455"/>
      <c r="P1807" s="380"/>
      <c r="Q1807" s="389"/>
      <c r="R1807" s="416" t="str">
        <f>R1806</f>
        <v>DELETE</v>
      </c>
      <c r="T1807" s="425"/>
    </row>
    <row r="1808" spans="2:22" ht="31.5" customHeight="1" x14ac:dyDescent="0.45">
      <c r="B1808" s="388"/>
      <c r="C1808" s="369"/>
      <c r="D1808" s="368" t="s">
        <v>499</v>
      </c>
      <c r="J1808" s="370"/>
      <c r="K1808" s="370"/>
      <c r="L1808" s="372"/>
      <c r="M1808" s="37"/>
      <c r="N1808" s="370"/>
      <c r="O1808" s="456">
        <f>SUM(TrialBalanceA!I10:I13)</f>
        <v>0</v>
      </c>
      <c r="P1808" s="380"/>
      <c r="Q1808" s="389"/>
      <c r="R1808" s="416" t="str">
        <f t="shared" ref="R1808:R1815" si="146">IF(R$1789="DELETE","DELETE",IF(O1808=0,"DELETE"," "))</f>
        <v>DELETE</v>
      </c>
      <c r="T1808" s="425"/>
    </row>
    <row r="1809" spans="2:22" ht="31.5" customHeight="1" x14ac:dyDescent="0.45">
      <c r="B1809" s="388"/>
      <c r="C1809" s="369"/>
      <c r="D1809" s="368" t="s">
        <v>276</v>
      </c>
      <c r="J1809" s="370"/>
      <c r="K1809" s="370"/>
      <c r="L1809" s="372"/>
      <c r="M1809" s="37"/>
      <c r="N1809" s="370"/>
      <c r="O1809" s="456">
        <f>TrialBalanceA!I14</f>
        <v>0</v>
      </c>
      <c r="P1809" s="380"/>
      <c r="Q1809" s="389"/>
      <c r="R1809" s="416" t="str">
        <f t="shared" si="146"/>
        <v>DELETE</v>
      </c>
      <c r="T1809" s="425"/>
    </row>
    <row r="1810" spans="2:22" ht="31.5" customHeight="1" x14ac:dyDescent="0.45">
      <c r="B1810" s="388"/>
      <c r="C1810" s="369"/>
      <c r="D1810" s="368">
        <f>TrialBalanceA!C15</f>
        <v>0</v>
      </c>
      <c r="J1810" s="370"/>
      <c r="K1810" s="370"/>
      <c r="L1810" s="372"/>
      <c r="M1810" s="37"/>
      <c r="N1810" s="370"/>
      <c r="O1810" s="456">
        <f>TrialBalanceA!I15</f>
        <v>0</v>
      </c>
      <c r="P1810" s="380"/>
      <c r="Q1810" s="389"/>
      <c r="R1810" s="416" t="str">
        <f t="shared" si="146"/>
        <v>DELETE</v>
      </c>
      <c r="T1810" s="425"/>
    </row>
    <row r="1811" spans="2:22" ht="31.5" customHeight="1" x14ac:dyDescent="0.45">
      <c r="B1811" s="388"/>
      <c r="C1811" s="369"/>
      <c r="D1811" s="368">
        <f>TrialBalanceA!C16</f>
        <v>0</v>
      </c>
      <c r="J1811" s="370"/>
      <c r="K1811" s="370"/>
      <c r="L1811" s="372"/>
      <c r="M1811" s="37"/>
      <c r="N1811" s="370"/>
      <c r="O1811" s="456">
        <f>TrialBalanceA!I16</f>
        <v>0</v>
      </c>
      <c r="P1811" s="380"/>
      <c r="Q1811" s="389"/>
      <c r="R1811" s="416" t="str">
        <f t="shared" si="146"/>
        <v>DELETE</v>
      </c>
      <c r="T1811" s="425"/>
    </row>
    <row r="1812" spans="2:22" ht="31.5" customHeight="1" x14ac:dyDescent="0.45">
      <c r="B1812" s="388"/>
      <c r="C1812" s="369"/>
      <c r="D1812" s="368">
        <f>TrialBalanceA!C17</f>
        <v>0</v>
      </c>
      <c r="J1812" s="370"/>
      <c r="K1812" s="370"/>
      <c r="L1812" s="372"/>
      <c r="M1812" s="37"/>
      <c r="N1812" s="370"/>
      <c r="O1812" s="456">
        <f>TrialBalanceA!I17</f>
        <v>0</v>
      </c>
      <c r="P1812" s="380"/>
      <c r="Q1812" s="389"/>
      <c r="R1812" s="416" t="str">
        <f t="shared" si="146"/>
        <v>DELETE</v>
      </c>
      <c r="T1812" s="425"/>
    </row>
    <row r="1813" spans="2:22" ht="31.5" customHeight="1" x14ac:dyDescent="0.45">
      <c r="B1813" s="388"/>
      <c r="C1813" s="369"/>
      <c r="D1813" s="368">
        <f>TrialBalanceA!C18</f>
        <v>0</v>
      </c>
      <c r="J1813" s="370"/>
      <c r="K1813" s="370"/>
      <c r="L1813" s="372"/>
      <c r="M1813" s="37"/>
      <c r="N1813" s="370"/>
      <c r="O1813" s="456">
        <f>TrialBalanceA!I18</f>
        <v>0</v>
      </c>
      <c r="P1813" s="380"/>
      <c r="Q1813" s="389"/>
      <c r="R1813" s="416" t="str">
        <f t="shared" si="146"/>
        <v>DELETE</v>
      </c>
      <c r="T1813" s="425"/>
    </row>
    <row r="1814" spans="2:22" ht="31.5" customHeight="1" x14ac:dyDescent="0.45">
      <c r="B1814" s="388"/>
      <c r="C1814" s="369"/>
      <c r="D1814" s="368">
        <f>TrialBalanceA!C19</f>
        <v>0</v>
      </c>
      <c r="J1814" s="370"/>
      <c r="K1814" s="370"/>
      <c r="L1814" s="372"/>
      <c r="M1814" s="37"/>
      <c r="N1814" s="370"/>
      <c r="O1814" s="456">
        <f>TrialBalanceA!I19</f>
        <v>0</v>
      </c>
      <c r="P1814" s="380"/>
      <c r="Q1814" s="389"/>
      <c r="R1814" s="416" t="str">
        <f t="shared" si="146"/>
        <v>DELETE</v>
      </c>
      <c r="T1814" s="425"/>
    </row>
    <row r="1815" spans="2:22" ht="31.5" customHeight="1" x14ac:dyDescent="0.45">
      <c r="B1815" s="388"/>
      <c r="C1815" s="369"/>
      <c r="D1815" s="368" t="s">
        <v>500</v>
      </c>
      <c r="J1815" s="370"/>
      <c r="K1815" s="370"/>
      <c r="L1815" s="372"/>
      <c r="M1815" s="37"/>
      <c r="N1815" s="370"/>
      <c r="O1815" s="456">
        <f>SUM(TrialBalanceA!I20:I23)</f>
        <v>0</v>
      </c>
      <c r="P1815" s="380"/>
      <c r="Q1815" s="389"/>
      <c r="R1815" s="416" t="str">
        <f t="shared" si="146"/>
        <v>DELETE</v>
      </c>
      <c r="T1815" s="425"/>
    </row>
    <row r="1816" spans="2:22" ht="9" customHeight="1" x14ac:dyDescent="0.45">
      <c r="B1816" s="388"/>
      <c r="C1816" s="369"/>
      <c r="J1816" s="370"/>
      <c r="K1816" s="370"/>
      <c r="L1816" s="372"/>
      <c r="M1816" s="37"/>
      <c r="N1816" s="370"/>
      <c r="O1816" s="457"/>
      <c r="P1816" s="380"/>
      <c r="Q1816" s="389"/>
      <c r="R1816" s="416" t="str">
        <f>R1805</f>
        <v>DELETE</v>
      </c>
      <c r="T1816" s="425"/>
    </row>
    <row r="1817" spans="2:22" ht="9" customHeight="1" x14ac:dyDescent="0.45">
      <c r="B1817" s="388"/>
      <c r="C1817" s="369"/>
      <c r="J1817" s="370"/>
      <c r="K1817" s="370"/>
      <c r="L1817" s="372"/>
      <c r="M1817" s="37"/>
      <c r="N1817" s="370"/>
      <c r="O1817" s="438"/>
      <c r="P1817" s="380"/>
      <c r="Q1817" s="389"/>
      <c r="R1817" s="416" t="str">
        <f>R1805</f>
        <v>DELETE</v>
      </c>
      <c r="T1817" s="425"/>
    </row>
    <row r="1818" spans="2:22" ht="9" customHeight="1" x14ac:dyDescent="0.45">
      <c r="B1818" s="388"/>
      <c r="C1818" s="369"/>
      <c r="J1818" s="370"/>
      <c r="K1818" s="370"/>
      <c r="L1818" s="372"/>
      <c r="M1818" s="37"/>
      <c r="N1818" s="370"/>
      <c r="O1818" s="434"/>
      <c r="P1818" s="380"/>
      <c r="Q1818" s="389"/>
      <c r="R1818" s="416" t="str">
        <f>R1817</f>
        <v>DELETE</v>
      </c>
      <c r="T1818" s="425"/>
    </row>
    <row r="1819" spans="2:22" ht="31.5" customHeight="1" x14ac:dyDescent="0.45">
      <c r="B1819" s="388"/>
      <c r="C1819" s="411" t="str">
        <f>IF(O1819&lt;0,"GROSS LOSS","GROSS PROFIT")</f>
        <v>GROSS PROFIT</v>
      </c>
      <c r="J1819" s="370"/>
      <c r="K1819" s="370"/>
      <c r="L1819" s="372"/>
      <c r="M1819" s="37"/>
      <c r="N1819" s="370"/>
      <c r="O1819" s="434">
        <f>SUM(S1801:S1816)</f>
        <v>0</v>
      </c>
      <c r="P1819" s="380"/>
      <c r="Q1819" s="389"/>
      <c r="R1819" s="416" t="str">
        <f>R1818</f>
        <v>DELETE</v>
      </c>
      <c r="T1819" s="425"/>
    </row>
    <row r="1820" spans="2:22" ht="31.5" customHeight="1" x14ac:dyDescent="0.45">
      <c r="B1820" s="388"/>
      <c r="C1820" s="369"/>
      <c r="J1820" s="370"/>
      <c r="K1820" s="370"/>
      <c r="L1820" s="372"/>
      <c r="M1820" s="37"/>
      <c r="N1820" s="370"/>
      <c r="O1820" s="434"/>
      <c r="P1820" s="380"/>
      <c r="Q1820" s="389"/>
      <c r="R1820" s="416" t="str">
        <f>R1819</f>
        <v>DELETE</v>
      </c>
      <c r="T1820" s="425"/>
    </row>
    <row r="1821" spans="2:22" ht="31.5" customHeight="1" x14ac:dyDescent="0.45">
      <c r="B1821" s="388"/>
      <c r="C1821" s="369" t="s">
        <v>319</v>
      </c>
      <c r="J1821" s="370"/>
      <c r="K1821" s="370"/>
      <c r="L1821" s="372"/>
      <c r="M1821" s="37"/>
      <c r="N1821" s="370"/>
      <c r="O1821" s="434">
        <f>SUM(O1823:O1830)</f>
        <v>0</v>
      </c>
      <c r="P1821" s="380"/>
      <c r="Q1821" s="389"/>
      <c r="R1821" s="416" t="str">
        <f t="shared" ref="R1821" si="147">IF(R$1789="DELETE","DELETE",IF(O1821=0,"DELETE"," "))</f>
        <v>DELETE</v>
      </c>
      <c r="S1821" s="421">
        <f>O1821</f>
        <v>0</v>
      </c>
      <c r="T1821" s="425"/>
      <c r="U1821" s="421"/>
      <c r="V1821" s="421"/>
    </row>
    <row r="1822" spans="2:22" ht="9" customHeight="1" x14ac:dyDescent="0.45">
      <c r="B1822" s="388"/>
      <c r="C1822" s="369"/>
      <c r="J1822" s="370"/>
      <c r="K1822" s="370"/>
      <c r="L1822" s="372"/>
      <c r="M1822" s="37"/>
      <c r="N1822" s="370"/>
      <c r="O1822" s="434"/>
      <c r="P1822" s="380"/>
      <c r="Q1822" s="389"/>
      <c r="R1822" s="416" t="str">
        <f>R1821</f>
        <v>DELETE</v>
      </c>
      <c r="T1822" s="425"/>
    </row>
    <row r="1823" spans="2:22" ht="9" customHeight="1" x14ac:dyDescent="0.45">
      <c r="B1823" s="388"/>
      <c r="C1823" s="369"/>
      <c r="J1823" s="370"/>
      <c r="K1823" s="370"/>
      <c r="L1823" s="372"/>
      <c r="M1823" s="37"/>
      <c r="N1823" s="370"/>
      <c r="O1823" s="455"/>
      <c r="P1823" s="380"/>
      <c r="Q1823" s="389"/>
      <c r="R1823" s="416" t="str">
        <f>R1821</f>
        <v>DELETE</v>
      </c>
      <c r="T1823" s="425"/>
    </row>
    <row r="1824" spans="2:22" ht="31.5" customHeight="1" x14ac:dyDescent="0.45">
      <c r="B1824" s="388"/>
      <c r="C1824" s="369"/>
      <c r="D1824" s="368" t="str">
        <f>TrialBalanceA!C25</f>
        <v>Insurance claims - Seafront Restaurant</v>
      </c>
      <c r="J1824" s="370"/>
      <c r="K1824" s="370"/>
      <c r="L1824" s="372"/>
      <c r="M1824" s="37"/>
      <c r="N1824" s="370"/>
      <c r="O1824" s="456">
        <f>-TrialBalanceA!I25</f>
        <v>0</v>
      </c>
      <c r="P1824" s="380"/>
      <c r="Q1824" s="389"/>
      <c r="R1824" s="416" t="str">
        <f t="shared" ref="R1824:R1828" si="148">IF(R$1789="DELETE","DELETE",IF(O1824=0,"DELETE"," "))</f>
        <v>DELETE</v>
      </c>
      <c r="T1824" s="425"/>
    </row>
    <row r="1825" spans="2:22" ht="31.5" customHeight="1" x14ac:dyDescent="0.45">
      <c r="B1825" s="388"/>
      <c r="C1825" s="369"/>
      <c r="D1825" s="368" t="str">
        <f>TrialBalanceA!C26</f>
        <v>Government grants received</v>
      </c>
      <c r="J1825" s="370"/>
      <c r="K1825" s="370"/>
      <c r="L1825" s="372"/>
      <c r="M1825" s="37"/>
      <c r="N1825" s="370"/>
      <c r="O1825" s="456">
        <f>-TrialBalanceA!I26</f>
        <v>0</v>
      </c>
      <c r="P1825" s="380"/>
      <c r="Q1825" s="389"/>
      <c r="R1825" s="416" t="str">
        <f t="shared" si="148"/>
        <v>DELETE</v>
      </c>
      <c r="T1825" s="425"/>
    </row>
    <row r="1826" spans="2:22" ht="31.5" customHeight="1" x14ac:dyDescent="0.45">
      <c r="B1826" s="388"/>
      <c r="C1826" s="369"/>
      <c r="D1826" s="368">
        <f>TrialBalanceA!C27</f>
        <v>0</v>
      </c>
      <c r="J1826" s="370"/>
      <c r="K1826" s="370"/>
      <c r="L1826" s="372"/>
      <c r="M1826" s="37"/>
      <c r="N1826" s="370"/>
      <c r="O1826" s="456">
        <f>-TrialBalanceA!I27</f>
        <v>0</v>
      </c>
      <c r="P1826" s="380"/>
      <c r="Q1826" s="389"/>
      <c r="R1826" s="416" t="str">
        <f t="shared" si="148"/>
        <v>DELETE</v>
      </c>
      <c r="T1826" s="425"/>
    </row>
    <row r="1827" spans="2:22" ht="31.5" customHeight="1" x14ac:dyDescent="0.45">
      <c r="B1827" s="388"/>
      <c r="C1827" s="369"/>
      <c r="D1827" s="368">
        <f>TrialBalanceA!C28</f>
        <v>0</v>
      </c>
      <c r="J1827" s="370"/>
      <c r="K1827" s="370"/>
      <c r="L1827" s="372"/>
      <c r="M1827" s="37"/>
      <c r="N1827" s="370"/>
      <c r="O1827" s="456">
        <f>-TrialBalanceA!I28</f>
        <v>0</v>
      </c>
      <c r="P1827" s="380"/>
      <c r="Q1827" s="389"/>
      <c r="R1827" s="416" t="str">
        <f t="shared" si="148"/>
        <v>DELETE</v>
      </c>
      <c r="T1827" s="425"/>
    </row>
    <row r="1828" spans="2:22" ht="31.5" customHeight="1" x14ac:dyDescent="0.45">
      <c r="B1828" s="388"/>
      <c r="C1828" s="369"/>
      <c r="D1828" s="368">
        <f>TrialBalanceA!C29</f>
        <v>0</v>
      </c>
      <c r="J1828" s="370"/>
      <c r="K1828" s="370"/>
      <c r="L1828" s="372"/>
      <c r="M1828" s="37"/>
      <c r="N1828" s="370"/>
      <c r="O1828" s="456">
        <f>-TrialBalanceA!I29</f>
        <v>0</v>
      </c>
      <c r="P1828" s="380"/>
      <c r="Q1828" s="389"/>
      <c r="R1828" s="416" t="str">
        <f t="shared" si="148"/>
        <v>DELETE</v>
      </c>
      <c r="T1828" s="425"/>
    </row>
    <row r="1829" spans="2:22" ht="31.5" customHeight="1" x14ac:dyDescent="0.45">
      <c r="B1829" s="388"/>
      <c r="C1829" s="369"/>
      <c r="D1829" s="368" t="str">
        <f>TrialBalanceA!C30</f>
        <v>Recoupment of depreciation</v>
      </c>
      <c r="J1829" s="370"/>
      <c r="K1829" s="370"/>
      <c r="L1829" s="372"/>
      <c r="M1829" s="37"/>
      <c r="N1829" s="370"/>
      <c r="O1829" s="456">
        <f>-TrialBalanceA!I30</f>
        <v>0</v>
      </c>
      <c r="P1829" s="380"/>
      <c r="Q1829" s="389"/>
      <c r="R1829" s="416" t="str">
        <f t="shared" ref="R1829" si="149">IF(R$1789="DELETE","DELETE",IF(O1829=0,"DELETE"," "))</f>
        <v>DELETE</v>
      </c>
      <c r="T1829" s="425"/>
    </row>
    <row r="1830" spans="2:22" ht="9" customHeight="1" x14ac:dyDescent="0.45">
      <c r="B1830" s="388"/>
      <c r="C1830" s="369"/>
      <c r="J1830" s="370"/>
      <c r="K1830" s="370"/>
      <c r="L1830" s="372"/>
      <c r="M1830" s="37"/>
      <c r="N1830" s="370"/>
      <c r="O1830" s="457"/>
      <c r="P1830" s="380"/>
      <c r="Q1830" s="389"/>
      <c r="R1830" s="416" t="str">
        <f>R1821</f>
        <v>DELETE</v>
      </c>
      <c r="T1830" s="425"/>
    </row>
    <row r="1831" spans="2:22" ht="9" customHeight="1" x14ac:dyDescent="0.45">
      <c r="B1831" s="388"/>
      <c r="C1831" s="369"/>
      <c r="J1831" s="370"/>
      <c r="K1831" s="370"/>
      <c r="L1831" s="372"/>
      <c r="M1831" s="37"/>
      <c r="N1831" s="370"/>
      <c r="O1831" s="447"/>
      <c r="P1831" s="380"/>
      <c r="Q1831" s="389"/>
      <c r="R1831" s="416" t="str">
        <f>R1830</f>
        <v>DELETE</v>
      </c>
      <c r="T1831" s="425"/>
    </row>
    <row r="1832" spans="2:22" ht="9" customHeight="1" x14ac:dyDescent="0.45">
      <c r="B1832" s="388"/>
      <c r="C1832" s="369"/>
      <c r="J1832" s="370"/>
      <c r="K1832" s="370"/>
      <c r="L1832" s="372"/>
      <c r="M1832" s="37"/>
      <c r="N1832" s="370"/>
      <c r="O1832" s="434"/>
      <c r="P1832" s="380"/>
      <c r="Q1832" s="389"/>
      <c r="R1832" s="416" t="str">
        <f>R1831</f>
        <v>DELETE</v>
      </c>
      <c r="T1832" s="425"/>
    </row>
    <row r="1833" spans="2:22" ht="31.5" customHeight="1" x14ac:dyDescent="0.45">
      <c r="B1833" s="388"/>
      <c r="C1833" s="369"/>
      <c r="J1833" s="370"/>
      <c r="K1833" s="370"/>
      <c r="L1833" s="372"/>
      <c r="M1833" s="37"/>
      <c r="N1833" s="370"/>
      <c r="O1833" s="434">
        <f>SUM(S1801:S1821)</f>
        <v>0</v>
      </c>
      <c r="P1833" s="380"/>
      <c r="Q1833" s="389"/>
      <c r="R1833" s="416" t="str">
        <f>R1821</f>
        <v>DELETE</v>
      </c>
      <c r="T1833" s="425"/>
    </row>
    <row r="1834" spans="2:22" ht="31.5" customHeight="1" x14ac:dyDescent="0.45">
      <c r="B1834" s="388"/>
      <c r="C1834" s="369"/>
      <c r="J1834" s="370"/>
      <c r="K1834" s="370"/>
      <c r="L1834" s="372"/>
      <c r="M1834" s="37"/>
      <c r="N1834" s="370"/>
      <c r="O1834" s="434"/>
      <c r="P1834" s="380"/>
      <c r="Q1834" s="389"/>
      <c r="R1834" s="416" t="str">
        <f>R1833</f>
        <v>DELETE</v>
      </c>
      <c r="T1834" s="425"/>
    </row>
    <row r="1835" spans="2:22" ht="31.5" customHeight="1" x14ac:dyDescent="0.45">
      <c r="B1835" s="388"/>
      <c r="C1835" s="369" t="s">
        <v>1051</v>
      </c>
      <c r="J1835" s="370"/>
      <c r="K1835" s="370"/>
      <c r="L1835" s="372"/>
      <c r="M1835" s="37"/>
      <c r="N1835" s="370"/>
      <c r="O1835" s="434">
        <f>SUM(O1837:O1865)</f>
        <v>0</v>
      </c>
      <c r="P1835" s="380"/>
      <c r="Q1835" s="389"/>
      <c r="R1835" s="416" t="str">
        <f t="shared" ref="R1835" si="150">IF(R$1789="DELETE","DELETE",IF(O1835=0,"DELETE"," "))</f>
        <v>DELETE</v>
      </c>
      <c r="S1835" s="421">
        <f>-O1835</f>
        <v>0</v>
      </c>
      <c r="T1835" s="425"/>
      <c r="U1835" s="421"/>
      <c r="V1835" s="421"/>
    </row>
    <row r="1836" spans="2:22" ht="9" customHeight="1" x14ac:dyDescent="0.45">
      <c r="B1836" s="388"/>
      <c r="C1836" s="369"/>
      <c r="J1836" s="370"/>
      <c r="K1836" s="370"/>
      <c r="L1836" s="372"/>
      <c r="M1836" s="37"/>
      <c r="N1836" s="370"/>
      <c r="O1836" s="434"/>
      <c r="P1836" s="380"/>
      <c r="Q1836" s="389"/>
      <c r="R1836" s="416" t="str">
        <f>R1835</f>
        <v>DELETE</v>
      </c>
      <c r="T1836" s="425"/>
    </row>
    <row r="1837" spans="2:22" ht="9" customHeight="1" x14ac:dyDescent="0.45">
      <c r="B1837" s="388"/>
      <c r="C1837" s="369"/>
      <c r="J1837" s="370"/>
      <c r="K1837" s="370"/>
      <c r="L1837" s="372"/>
      <c r="M1837" s="37"/>
      <c r="N1837" s="370"/>
      <c r="O1837" s="455"/>
      <c r="P1837" s="380"/>
      <c r="Q1837" s="389"/>
      <c r="R1837" s="416" t="str">
        <f>R1836</f>
        <v>DELETE</v>
      </c>
      <c r="T1837" s="425"/>
    </row>
    <row r="1838" spans="2:22" ht="31.5" customHeight="1" x14ac:dyDescent="0.45">
      <c r="B1838" s="388"/>
      <c r="C1838" s="369"/>
      <c r="D1838" s="368" t="s">
        <v>277</v>
      </c>
      <c r="J1838" s="370"/>
      <c r="K1838" s="370"/>
      <c r="L1838" s="372"/>
      <c r="M1838" s="37"/>
      <c r="N1838" s="370"/>
      <c r="O1838" s="456">
        <f>TrialBalanceA!I37</f>
        <v>0</v>
      </c>
      <c r="P1838" s="380"/>
      <c r="Q1838" s="389"/>
      <c r="R1838" s="416" t="str">
        <f t="shared" ref="R1838:R1864" si="151">IF(R$1789="DELETE","DELETE",IF(O1838=0,"DELETE"," "))</f>
        <v>DELETE</v>
      </c>
      <c r="T1838" s="425"/>
    </row>
    <row r="1839" spans="2:22" ht="31.5" customHeight="1" x14ac:dyDescent="0.45">
      <c r="B1839" s="388"/>
      <c r="C1839" s="369"/>
      <c r="D1839" s="368" t="s">
        <v>703</v>
      </c>
      <c r="J1839" s="370"/>
      <c r="K1839" s="370"/>
      <c r="L1839" s="372"/>
      <c r="M1839" s="37"/>
      <c r="N1839" s="370"/>
      <c r="O1839" s="456">
        <f>TrialBalanceA!I38</f>
        <v>0</v>
      </c>
      <c r="P1839" s="380"/>
      <c r="Q1839" s="389"/>
      <c r="R1839" s="416" t="str">
        <f t="shared" si="151"/>
        <v>DELETE</v>
      </c>
      <c r="T1839" s="425"/>
    </row>
    <row r="1840" spans="2:22" ht="31.5" customHeight="1" x14ac:dyDescent="0.45">
      <c r="B1840" s="388"/>
      <c r="C1840" s="369"/>
      <c r="D1840" s="368" t="s">
        <v>278</v>
      </c>
      <c r="J1840" s="370"/>
      <c r="K1840" s="370"/>
      <c r="L1840" s="372"/>
      <c r="M1840" s="37"/>
      <c r="N1840" s="370"/>
      <c r="O1840" s="456">
        <f>TrialBalanceA!I39</f>
        <v>0</v>
      </c>
      <c r="P1840" s="380"/>
      <c r="Q1840" s="389"/>
      <c r="R1840" s="416" t="str">
        <f t="shared" si="151"/>
        <v>DELETE</v>
      </c>
      <c r="T1840" s="425"/>
    </row>
    <row r="1841" spans="2:22" ht="31.5" customHeight="1" x14ac:dyDescent="0.45">
      <c r="B1841" s="388"/>
      <c r="C1841" s="369"/>
      <c r="D1841" s="368" t="s">
        <v>279</v>
      </c>
      <c r="J1841" s="370"/>
      <c r="K1841" s="370">
        <f>C$745</f>
        <v>6.2999999999999989</v>
      </c>
      <c r="L1841" s="372"/>
      <c r="M1841" s="37"/>
      <c r="N1841" s="370"/>
      <c r="O1841" s="456">
        <f>SUM(TrialBalanceA!I41:I43)</f>
        <v>0</v>
      </c>
      <c r="P1841" s="380"/>
      <c r="Q1841" s="389"/>
      <c r="R1841" s="416" t="str">
        <f t="shared" si="151"/>
        <v>DELETE</v>
      </c>
      <c r="T1841" s="425"/>
    </row>
    <row r="1842" spans="2:22" ht="31.5" customHeight="1" x14ac:dyDescent="0.45">
      <c r="B1842" s="388"/>
      <c r="C1842" s="369"/>
      <c r="D1842" s="368" t="s">
        <v>501</v>
      </c>
      <c r="J1842" s="370"/>
      <c r="K1842" s="370"/>
      <c r="L1842" s="372"/>
      <c r="M1842" s="37"/>
      <c r="N1842" s="370"/>
      <c r="O1842" s="456">
        <f>TrialBalanceA!I44</f>
        <v>0</v>
      </c>
      <c r="P1842" s="380"/>
      <c r="Q1842" s="389"/>
      <c r="R1842" s="416" t="str">
        <f t="shared" si="151"/>
        <v>DELETE</v>
      </c>
      <c r="S1842" s="422"/>
      <c r="T1842" s="425"/>
      <c r="U1842" s="422"/>
      <c r="V1842" s="422"/>
    </row>
    <row r="1843" spans="2:22" ht="31.5" customHeight="1" x14ac:dyDescent="0.45">
      <c r="B1843" s="388"/>
      <c r="C1843" s="369"/>
      <c r="D1843" s="368" t="s">
        <v>733</v>
      </c>
      <c r="J1843" s="370"/>
      <c r="K1843" s="370"/>
      <c r="L1843" s="372"/>
      <c r="M1843" s="37"/>
      <c r="N1843" s="370"/>
      <c r="O1843" s="456">
        <f>TrialBalanceA!I45</f>
        <v>0</v>
      </c>
      <c r="P1843" s="380"/>
      <c r="Q1843" s="389"/>
      <c r="R1843" s="416" t="str">
        <f t="shared" si="151"/>
        <v>DELETE</v>
      </c>
      <c r="T1843" s="425"/>
    </row>
    <row r="1844" spans="2:22" ht="31.5" customHeight="1" x14ac:dyDescent="0.45">
      <c r="B1844" s="388"/>
      <c r="C1844" s="369"/>
      <c r="D1844" s="368" t="s">
        <v>68</v>
      </c>
      <c r="J1844" s="370"/>
      <c r="K1844" s="370"/>
      <c r="L1844" s="372"/>
      <c r="M1844" s="37"/>
      <c r="N1844" s="370"/>
      <c r="O1844" s="456">
        <f>TrialBalanceA!I46</f>
        <v>0</v>
      </c>
      <c r="P1844" s="380"/>
      <c r="Q1844" s="389"/>
      <c r="R1844" s="416" t="str">
        <f t="shared" si="151"/>
        <v>DELETE</v>
      </c>
      <c r="T1844" s="425"/>
    </row>
    <row r="1845" spans="2:22" ht="31.5" customHeight="1" x14ac:dyDescent="0.45">
      <c r="B1845" s="388"/>
      <c r="C1845" s="369"/>
      <c r="D1845" s="368" t="s">
        <v>280</v>
      </c>
      <c r="J1845" s="370"/>
      <c r="K1845" s="370"/>
      <c r="L1845" s="372"/>
      <c r="M1845" s="37"/>
      <c r="N1845" s="370"/>
      <c r="O1845" s="456">
        <f>TrialBalanceA!I47</f>
        <v>0</v>
      </c>
      <c r="P1845" s="380"/>
      <c r="Q1845" s="389"/>
      <c r="R1845" s="416" t="str">
        <f t="shared" si="151"/>
        <v>DELETE</v>
      </c>
      <c r="T1845" s="425"/>
    </row>
    <row r="1846" spans="2:22" ht="31.5" customHeight="1" x14ac:dyDescent="0.45">
      <c r="B1846" s="388"/>
      <c r="C1846" s="369"/>
      <c r="D1846" s="368" t="s">
        <v>518</v>
      </c>
      <c r="J1846" s="370"/>
      <c r="K1846" s="370"/>
      <c r="L1846" s="372"/>
      <c r="M1846" s="37"/>
      <c r="N1846" s="370"/>
      <c r="O1846" s="456">
        <f>SUM(TrialBalanceA!I48:I49)</f>
        <v>0</v>
      </c>
      <c r="P1846" s="380"/>
      <c r="Q1846" s="389"/>
      <c r="R1846" s="416" t="str">
        <f t="shared" si="151"/>
        <v>DELETE</v>
      </c>
      <c r="T1846" s="425"/>
    </row>
    <row r="1847" spans="2:22" ht="31.5" customHeight="1" x14ac:dyDescent="0.45">
      <c r="B1847" s="388"/>
      <c r="C1847" s="369"/>
      <c r="D1847" s="368" t="s">
        <v>516</v>
      </c>
      <c r="J1847" s="370"/>
      <c r="K1847" s="370"/>
      <c r="L1847" s="372"/>
      <c r="M1847" s="37"/>
      <c r="N1847" s="370"/>
      <c r="O1847" s="456">
        <f>TrialBalanceA!I50</f>
        <v>0</v>
      </c>
      <c r="P1847" s="380"/>
      <c r="Q1847" s="389"/>
      <c r="R1847" s="416" t="str">
        <f t="shared" si="151"/>
        <v>DELETE</v>
      </c>
      <c r="T1847" s="425"/>
    </row>
    <row r="1848" spans="2:22" ht="31.5" customHeight="1" x14ac:dyDescent="0.45">
      <c r="B1848" s="388"/>
      <c r="C1848" s="369"/>
      <c r="D1848" s="368" t="s">
        <v>502</v>
      </c>
      <c r="J1848" s="370"/>
      <c r="K1848" s="370"/>
      <c r="L1848" s="372"/>
      <c r="M1848" s="37"/>
      <c r="N1848" s="370"/>
      <c r="O1848" s="456">
        <f>SUM(TrialBalanceA!I52:I56)</f>
        <v>0</v>
      </c>
      <c r="P1848" s="380"/>
      <c r="Q1848" s="389"/>
      <c r="R1848" s="416" t="str">
        <f t="shared" si="151"/>
        <v>DELETE</v>
      </c>
      <c r="T1848" s="425"/>
    </row>
    <row r="1849" spans="2:22" ht="31.5" customHeight="1" x14ac:dyDescent="0.45">
      <c r="B1849" s="388"/>
      <c r="C1849" s="369"/>
      <c r="D1849" s="368" t="s">
        <v>483</v>
      </c>
      <c r="J1849" s="370"/>
      <c r="K1849" s="370">
        <f>'FS2'!C$713</f>
        <v>6.1999999999999993</v>
      </c>
      <c r="L1849" s="372"/>
      <c r="M1849" s="37"/>
      <c r="N1849" s="370"/>
      <c r="O1849" s="456">
        <f>SUM(TrialBalanceA!I58:I60)</f>
        <v>0</v>
      </c>
      <c r="P1849" s="380"/>
      <c r="Q1849" s="389"/>
      <c r="R1849" s="416" t="str">
        <f t="shared" si="151"/>
        <v>DELETE</v>
      </c>
      <c r="T1849" s="425"/>
    </row>
    <row r="1850" spans="2:22" ht="31.5" customHeight="1" x14ac:dyDescent="0.45">
      <c r="B1850" s="388"/>
      <c r="C1850" s="369"/>
      <c r="D1850" s="368" t="s">
        <v>76</v>
      </c>
      <c r="J1850" s="370"/>
      <c r="K1850" s="370"/>
      <c r="L1850" s="372"/>
      <c r="M1850" s="37"/>
      <c r="N1850" s="370"/>
      <c r="O1850" s="456">
        <f>TrialBalanceA!I61</f>
        <v>0</v>
      </c>
      <c r="P1850" s="380"/>
      <c r="Q1850" s="389"/>
      <c r="R1850" s="416" t="str">
        <f t="shared" si="151"/>
        <v>DELETE</v>
      </c>
      <c r="T1850" s="425"/>
    </row>
    <row r="1851" spans="2:22" ht="31.5" customHeight="1" x14ac:dyDescent="0.45">
      <c r="B1851" s="388"/>
      <c r="C1851" s="369"/>
      <c r="D1851" s="368" t="s">
        <v>254</v>
      </c>
      <c r="J1851" s="370"/>
      <c r="K1851" s="370"/>
      <c r="L1851" s="372"/>
      <c r="M1851" s="37"/>
      <c r="N1851" s="370"/>
      <c r="O1851" s="456">
        <f>SUM(TrialBalanceA!I62:I64)</f>
        <v>0</v>
      </c>
      <c r="P1851" s="380"/>
      <c r="Q1851" s="389"/>
      <c r="R1851" s="416" t="str">
        <f t="shared" si="151"/>
        <v>DELETE</v>
      </c>
      <c r="T1851" s="425"/>
    </row>
    <row r="1852" spans="2:22" ht="31.5" customHeight="1" x14ac:dyDescent="0.45">
      <c r="B1852" s="388"/>
      <c r="C1852" s="369"/>
      <c r="D1852" s="368" t="s">
        <v>734</v>
      </c>
      <c r="J1852" s="370"/>
      <c r="K1852" s="370"/>
      <c r="L1852" s="372"/>
      <c r="M1852" s="37"/>
      <c r="N1852" s="370"/>
      <c r="O1852" s="456">
        <f>SUM(TrialBalanceA!I65:I66)</f>
        <v>0</v>
      </c>
      <c r="P1852" s="380"/>
      <c r="Q1852" s="389"/>
      <c r="R1852" s="416" t="str">
        <f t="shared" si="151"/>
        <v>DELETE</v>
      </c>
      <c r="T1852" s="425"/>
    </row>
    <row r="1853" spans="2:22" ht="31.5" customHeight="1" x14ac:dyDescent="0.45">
      <c r="B1853" s="388"/>
      <c r="C1853" s="369"/>
      <c r="D1853" s="368" t="s">
        <v>255</v>
      </c>
      <c r="J1853" s="370"/>
      <c r="K1853" s="370"/>
      <c r="L1853" s="372"/>
      <c r="M1853" s="37"/>
      <c r="N1853" s="370"/>
      <c r="O1853" s="456">
        <f>TrialBalanceA!I67</f>
        <v>0</v>
      </c>
      <c r="P1853" s="380"/>
      <c r="Q1853" s="389"/>
      <c r="R1853" s="416" t="str">
        <f t="shared" si="151"/>
        <v>DELETE</v>
      </c>
      <c r="T1853" s="425"/>
    </row>
    <row r="1854" spans="2:22" ht="31.5" customHeight="1" x14ac:dyDescent="0.45">
      <c r="B1854" s="388"/>
      <c r="C1854" s="369"/>
      <c r="D1854" s="368" t="s">
        <v>392</v>
      </c>
      <c r="J1854" s="370"/>
      <c r="K1854" s="370"/>
      <c r="L1854" s="372"/>
      <c r="M1854" s="37"/>
      <c r="N1854" s="370"/>
      <c r="O1854" s="456">
        <f>TrialBalanceA!I68</f>
        <v>0</v>
      </c>
      <c r="P1854" s="380"/>
      <c r="Q1854" s="389"/>
      <c r="R1854" s="416" t="str">
        <f t="shared" si="151"/>
        <v>DELETE</v>
      </c>
      <c r="T1854" s="425"/>
    </row>
    <row r="1855" spans="2:22" ht="31.5" customHeight="1" x14ac:dyDescent="0.45">
      <c r="B1855" s="388"/>
      <c r="C1855" s="369"/>
      <c r="D1855" s="368">
        <f>TrialBalanceA!C69</f>
        <v>0</v>
      </c>
      <c r="J1855" s="370"/>
      <c r="K1855" s="370"/>
      <c r="L1855" s="372"/>
      <c r="M1855" s="37"/>
      <c r="N1855" s="370"/>
      <c r="O1855" s="456">
        <f>TrialBalanceA!I69</f>
        <v>0</v>
      </c>
      <c r="P1855" s="380"/>
      <c r="Q1855" s="389"/>
      <c r="R1855" s="416" t="str">
        <f t="shared" si="151"/>
        <v>DELETE</v>
      </c>
      <c r="T1855" s="425"/>
    </row>
    <row r="1856" spans="2:22" ht="31.5" customHeight="1" x14ac:dyDescent="0.45">
      <c r="B1856" s="388"/>
      <c r="C1856" s="369"/>
      <c r="D1856" s="368">
        <f>TrialBalanceA!C70</f>
        <v>0</v>
      </c>
      <c r="J1856" s="370"/>
      <c r="K1856" s="370"/>
      <c r="L1856" s="372"/>
      <c r="M1856" s="37"/>
      <c r="N1856" s="370"/>
      <c r="O1856" s="456">
        <f>TrialBalanceA!I70</f>
        <v>0</v>
      </c>
      <c r="P1856" s="380"/>
      <c r="Q1856" s="389"/>
      <c r="R1856" s="416" t="str">
        <f t="shared" si="151"/>
        <v>DELETE</v>
      </c>
      <c r="T1856" s="425"/>
    </row>
    <row r="1857" spans="2:20" ht="31.5" customHeight="1" x14ac:dyDescent="0.45">
      <c r="B1857" s="388"/>
      <c r="C1857" s="369"/>
      <c r="D1857" s="368">
        <f>TrialBalanceA!C71</f>
        <v>0</v>
      </c>
      <c r="J1857" s="370"/>
      <c r="K1857" s="370"/>
      <c r="L1857" s="372"/>
      <c r="M1857" s="37"/>
      <c r="N1857" s="370"/>
      <c r="O1857" s="456">
        <f>TrialBalanceA!I71</f>
        <v>0</v>
      </c>
      <c r="P1857" s="380"/>
      <c r="Q1857" s="389"/>
      <c r="R1857" s="416" t="str">
        <f t="shared" si="151"/>
        <v>DELETE</v>
      </c>
      <c r="T1857" s="425"/>
    </row>
    <row r="1858" spans="2:20" ht="31.5" customHeight="1" x14ac:dyDescent="0.45">
      <c r="B1858" s="388"/>
      <c r="C1858" s="369"/>
      <c r="D1858" s="368">
        <f>TrialBalanceA!C72</f>
        <v>0</v>
      </c>
      <c r="J1858" s="370"/>
      <c r="K1858" s="370"/>
      <c r="L1858" s="372"/>
      <c r="M1858" s="37"/>
      <c r="N1858" s="370"/>
      <c r="O1858" s="456">
        <f>TrialBalanceA!I72</f>
        <v>0</v>
      </c>
      <c r="P1858" s="380"/>
      <c r="Q1858" s="389"/>
      <c r="R1858" s="416" t="str">
        <f t="shared" si="151"/>
        <v>DELETE</v>
      </c>
      <c r="T1858" s="425"/>
    </row>
    <row r="1859" spans="2:20" ht="31.5" customHeight="1" x14ac:dyDescent="0.45">
      <c r="B1859" s="388"/>
      <c r="C1859" s="369"/>
      <c r="D1859" s="368">
        <f>TrialBalanceA!C73</f>
        <v>0</v>
      </c>
      <c r="J1859" s="370"/>
      <c r="K1859" s="370"/>
      <c r="L1859" s="372"/>
      <c r="M1859" s="37"/>
      <c r="N1859" s="370"/>
      <c r="O1859" s="456">
        <f>TrialBalanceA!I73</f>
        <v>0</v>
      </c>
      <c r="P1859" s="380"/>
      <c r="Q1859" s="389"/>
      <c r="R1859" s="416" t="str">
        <f t="shared" si="151"/>
        <v>DELETE</v>
      </c>
      <c r="T1859" s="425"/>
    </row>
    <row r="1860" spans="2:20" ht="31.5" customHeight="1" x14ac:dyDescent="0.45">
      <c r="B1860" s="388"/>
      <c r="C1860" s="369"/>
      <c r="D1860" s="368">
        <f>TrialBalanceA!C74</f>
        <v>0</v>
      </c>
      <c r="J1860" s="370"/>
      <c r="K1860" s="370"/>
      <c r="L1860" s="372"/>
      <c r="M1860" s="37"/>
      <c r="N1860" s="370"/>
      <c r="O1860" s="456">
        <f>TrialBalanceA!I74</f>
        <v>0</v>
      </c>
      <c r="P1860" s="380"/>
      <c r="Q1860" s="389"/>
      <c r="R1860" s="416" t="str">
        <f t="shared" si="151"/>
        <v>DELETE</v>
      </c>
      <c r="T1860" s="425"/>
    </row>
    <row r="1861" spans="2:20" ht="31.5" customHeight="1" x14ac:dyDescent="0.45">
      <c r="B1861" s="388"/>
      <c r="C1861" s="369"/>
      <c r="D1861" s="368">
        <f>TrialBalanceA!C75</f>
        <v>0</v>
      </c>
      <c r="J1861" s="370"/>
      <c r="K1861" s="370"/>
      <c r="L1861" s="372"/>
      <c r="M1861" s="37"/>
      <c r="N1861" s="370"/>
      <c r="O1861" s="456">
        <f>TrialBalanceA!I75</f>
        <v>0</v>
      </c>
      <c r="P1861" s="380"/>
      <c r="Q1861" s="389"/>
      <c r="R1861" s="416" t="str">
        <f t="shared" si="151"/>
        <v>DELETE</v>
      </c>
      <c r="T1861" s="425"/>
    </row>
    <row r="1862" spans="2:20" ht="31.5" customHeight="1" x14ac:dyDescent="0.45">
      <c r="B1862" s="388"/>
      <c r="C1862" s="369"/>
      <c r="D1862" s="368">
        <f>TrialBalanceA!C76</f>
        <v>0</v>
      </c>
      <c r="J1862" s="370"/>
      <c r="K1862" s="370"/>
      <c r="L1862" s="372"/>
      <c r="M1862" s="37"/>
      <c r="N1862" s="370"/>
      <c r="O1862" s="456">
        <f>TrialBalanceA!I76</f>
        <v>0</v>
      </c>
      <c r="P1862" s="380"/>
      <c r="Q1862" s="389"/>
      <c r="R1862" s="416" t="str">
        <f t="shared" si="151"/>
        <v>DELETE</v>
      </c>
      <c r="T1862" s="425"/>
    </row>
    <row r="1863" spans="2:20" ht="31.5" customHeight="1" x14ac:dyDescent="0.45">
      <c r="B1863" s="388"/>
      <c r="C1863" s="369"/>
      <c r="D1863" s="368">
        <f>TrialBalanceA!C77</f>
        <v>0</v>
      </c>
      <c r="J1863" s="370"/>
      <c r="K1863" s="370"/>
      <c r="L1863" s="372"/>
      <c r="M1863" s="37"/>
      <c r="N1863" s="370"/>
      <c r="O1863" s="456">
        <f>TrialBalanceA!I77</f>
        <v>0</v>
      </c>
      <c r="P1863" s="380"/>
      <c r="Q1863" s="389"/>
      <c r="R1863" s="416" t="str">
        <f t="shared" si="151"/>
        <v>DELETE</v>
      </c>
      <c r="T1863" s="425"/>
    </row>
    <row r="1864" spans="2:20" ht="31.5" customHeight="1" x14ac:dyDescent="0.45">
      <c r="B1864" s="388"/>
      <c r="C1864" s="369"/>
      <c r="D1864" s="368">
        <f>TrialBalanceA!C78</f>
        <v>0</v>
      </c>
      <c r="J1864" s="370"/>
      <c r="K1864" s="370"/>
      <c r="L1864" s="372"/>
      <c r="M1864" s="37"/>
      <c r="N1864" s="370"/>
      <c r="O1864" s="456">
        <f>TrialBalanceA!I78</f>
        <v>0</v>
      </c>
      <c r="P1864" s="380"/>
      <c r="Q1864" s="389"/>
      <c r="R1864" s="416" t="str">
        <f t="shared" si="151"/>
        <v>DELETE</v>
      </c>
      <c r="T1864" s="425"/>
    </row>
    <row r="1865" spans="2:20" ht="9" customHeight="1" x14ac:dyDescent="0.45">
      <c r="B1865" s="388"/>
      <c r="C1865" s="369"/>
      <c r="J1865" s="370"/>
      <c r="K1865" s="370"/>
      <c r="L1865" s="372"/>
      <c r="M1865" s="37"/>
      <c r="N1865" s="370"/>
      <c r="O1865" s="457"/>
      <c r="P1865" s="380"/>
      <c r="Q1865" s="389"/>
      <c r="R1865" s="416" t="str">
        <f>R1835</f>
        <v>DELETE</v>
      </c>
      <c r="T1865" s="425"/>
    </row>
    <row r="1866" spans="2:20" ht="9" customHeight="1" x14ac:dyDescent="0.45">
      <c r="B1866" s="388"/>
      <c r="C1866" s="369"/>
      <c r="J1866" s="370"/>
      <c r="K1866" s="370"/>
      <c r="L1866" s="372"/>
      <c r="M1866" s="37"/>
      <c r="N1866" s="370"/>
      <c r="O1866" s="438"/>
      <c r="P1866" s="380"/>
      <c r="Q1866" s="389"/>
      <c r="R1866" s="416" t="str">
        <f t="shared" ref="R1866:R1886" si="152">R$1789</f>
        <v>DELETE</v>
      </c>
      <c r="T1866" s="425"/>
    </row>
    <row r="1867" spans="2:20" ht="9" customHeight="1" x14ac:dyDescent="0.45">
      <c r="B1867" s="388"/>
      <c r="C1867" s="369"/>
      <c r="J1867" s="370"/>
      <c r="K1867" s="370"/>
      <c r="L1867" s="372"/>
      <c r="M1867" s="37"/>
      <c r="N1867" s="370"/>
      <c r="O1867" s="434"/>
      <c r="P1867" s="380"/>
      <c r="Q1867" s="389"/>
      <c r="R1867" s="416" t="str">
        <f t="shared" si="152"/>
        <v>DELETE</v>
      </c>
      <c r="T1867" s="425"/>
    </row>
    <row r="1868" spans="2:20" ht="31.5" customHeight="1" x14ac:dyDescent="0.45">
      <c r="B1868" s="388"/>
      <c r="C1868" s="411" t="str">
        <f>IF(O1868&lt;0,"OPERATING LOSS","OPERATING PROFIT")</f>
        <v>OPERATING PROFIT</v>
      </c>
      <c r="J1868" s="370"/>
      <c r="K1868" s="370"/>
      <c r="L1868" s="372"/>
      <c r="M1868" s="37"/>
      <c r="N1868" s="370"/>
      <c r="O1868" s="434">
        <f>SUM(S1801:S1866)</f>
        <v>0</v>
      </c>
      <c r="P1868" s="380"/>
      <c r="Q1868" s="389"/>
      <c r="R1868" s="416" t="str">
        <f t="shared" si="152"/>
        <v>DELETE</v>
      </c>
      <c r="T1868" s="425"/>
    </row>
    <row r="1869" spans="2:20" ht="31.5" customHeight="1" x14ac:dyDescent="0.45">
      <c r="B1869" s="388"/>
      <c r="C1869" s="369"/>
      <c r="D1869" s="368" t="s">
        <v>257</v>
      </c>
      <c r="J1869" s="370"/>
      <c r="K1869" s="370"/>
      <c r="L1869" s="372"/>
      <c r="M1869" s="37"/>
      <c r="N1869" s="370"/>
      <c r="O1869" s="434"/>
      <c r="P1869" s="380"/>
      <c r="Q1869" s="389"/>
      <c r="R1869" s="416" t="str">
        <f t="shared" si="152"/>
        <v>DELETE</v>
      </c>
      <c r="T1869" s="425"/>
    </row>
    <row r="1870" spans="2:20" ht="31.5" customHeight="1" x14ac:dyDescent="0.45">
      <c r="B1870" s="388"/>
      <c r="C1870" s="369"/>
      <c r="J1870" s="370"/>
      <c r="K1870" s="370"/>
      <c r="L1870" s="372"/>
      <c r="M1870" s="37"/>
      <c r="N1870" s="370"/>
      <c r="O1870" s="434"/>
      <c r="P1870" s="380"/>
      <c r="Q1870" s="389"/>
      <c r="R1870" s="416" t="str">
        <f t="shared" si="152"/>
        <v>DELETE</v>
      </c>
      <c r="T1870" s="425"/>
    </row>
    <row r="1871" spans="2:20" ht="31.5" customHeight="1" x14ac:dyDescent="0.45">
      <c r="B1871" s="388"/>
      <c r="C1871" s="369"/>
      <c r="J1871" s="370"/>
      <c r="K1871" s="370"/>
      <c r="L1871" s="372"/>
      <c r="M1871" s="37"/>
      <c r="N1871" s="370"/>
      <c r="O1871" s="434"/>
      <c r="P1871" s="380"/>
      <c r="Q1871" s="389"/>
      <c r="R1871" s="416" t="str">
        <f t="shared" si="152"/>
        <v>DELETE</v>
      </c>
      <c r="T1871" s="425"/>
    </row>
    <row r="1872" spans="2:20" ht="31.5" customHeight="1" x14ac:dyDescent="0.45">
      <c r="B1872" s="396"/>
      <c r="C1872" s="407"/>
      <c r="D1872" s="383"/>
      <c r="E1872" s="383"/>
      <c r="F1872" s="383"/>
      <c r="G1872" s="383"/>
      <c r="H1872" s="383"/>
      <c r="I1872" s="383"/>
      <c r="J1872" s="403"/>
      <c r="K1872" s="403"/>
      <c r="L1872" s="403"/>
      <c r="M1872" s="438"/>
      <c r="N1872" s="392"/>
      <c r="O1872" s="438"/>
      <c r="P1872" s="404"/>
      <c r="Q1872" s="398"/>
      <c r="R1872" s="416" t="str">
        <f t="shared" si="152"/>
        <v>DELETE</v>
      </c>
      <c r="T1872" s="425"/>
    </row>
    <row r="1873" spans="2:22" ht="31.5" customHeight="1" x14ac:dyDescent="0.45">
      <c r="C1873" s="369"/>
      <c r="J1873" s="370"/>
      <c r="K1873" s="370"/>
      <c r="L1873" s="370"/>
      <c r="M1873" s="434"/>
      <c r="N1873" s="390"/>
      <c r="O1873" s="434"/>
      <c r="P1873" s="380"/>
      <c r="R1873" s="416" t="str">
        <f t="shared" si="152"/>
        <v>DELETE</v>
      </c>
      <c r="T1873" s="425"/>
    </row>
    <row r="1874" spans="2:22" ht="31.5" customHeight="1" x14ac:dyDescent="0.45">
      <c r="C1874" s="369"/>
      <c r="J1874" s="370"/>
      <c r="K1874" s="370"/>
      <c r="L1874" s="370"/>
      <c r="M1874" s="434"/>
      <c r="N1874" s="390"/>
      <c r="O1874" s="434"/>
      <c r="P1874" s="380"/>
      <c r="R1874" s="416" t="str">
        <f t="shared" si="152"/>
        <v>DELETE</v>
      </c>
      <c r="T1874" s="425"/>
    </row>
    <row r="1875" spans="2:22" ht="31.5" customHeight="1" x14ac:dyDescent="0.45">
      <c r="C1875" s="369"/>
      <c r="D1875" s="369" t="str">
        <f>Criteria!E9</f>
        <v>ABC TRUST</v>
      </c>
      <c r="J1875" s="370"/>
      <c r="K1875" s="370"/>
      <c r="L1875" s="370"/>
      <c r="M1875" s="434"/>
      <c r="N1875" s="390"/>
      <c r="O1875" s="434" t="s">
        <v>105</v>
      </c>
      <c r="P1875" s="380"/>
      <c r="Q1875" s="370">
        <f>MAX($Q$1792:Q1874)+1</f>
        <v>2</v>
      </c>
      <c r="R1875" s="416" t="str">
        <f t="shared" si="152"/>
        <v>DELETE</v>
      </c>
      <c r="T1875" s="425"/>
    </row>
    <row r="1876" spans="2:22" ht="31.5" customHeight="1" x14ac:dyDescent="0.45">
      <c r="C1876" s="369"/>
      <c r="D1876" s="369" t="str">
        <f>CONCATENATE("T/A ",Criteria!E14)</f>
        <v>T/A SEAFRONT RESTAURANT</v>
      </c>
      <c r="J1876" s="370"/>
      <c r="K1876" s="370"/>
      <c r="L1876" s="370"/>
      <c r="M1876" s="434"/>
      <c r="N1876" s="390"/>
      <c r="O1876" s="434"/>
      <c r="P1876" s="380"/>
      <c r="R1876" s="416" t="str">
        <f t="shared" si="152"/>
        <v>DELETE</v>
      </c>
      <c r="T1876" s="425"/>
    </row>
    <row r="1877" spans="2:22" ht="31.5" customHeight="1" x14ac:dyDescent="0.45">
      <c r="C1877" s="369"/>
      <c r="J1877" s="370"/>
      <c r="K1877" s="370"/>
      <c r="L1877" s="370"/>
      <c r="M1877" s="434"/>
      <c r="N1877" s="390"/>
      <c r="O1877" s="434"/>
      <c r="P1877" s="380"/>
      <c r="R1877" s="416" t="str">
        <f t="shared" si="152"/>
        <v>DELETE</v>
      </c>
      <c r="T1877" s="425"/>
    </row>
    <row r="1878" spans="2:22" ht="31.5" customHeight="1" x14ac:dyDescent="0.45">
      <c r="C1878" s="369"/>
      <c r="D1878" s="369" t="s">
        <v>100</v>
      </c>
      <c r="J1878" s="370"/>
      <c r="K1878" s="370"/>
      <c r="L1878" s="370"/>
      <c r="M1878" s="434"/>
      <c r="N1878" s="390"/>
      <c r="O1878" s="434"/>
      <c r="P1878" s="380"/>
      <c r="R1878" s="416" t="str">
        <f t="shared" si="152"/>
        <v>DELETE</v>
      </c>
      <c r="T1878" s="425"/>
    </row>
    <row r="1879" spans="2:22" ht="31.5" customHeight="1" x14ac:dyDescent="0.45">
      <c r="C1879" s="369"/>
      <c r="D1879" s="369" t="str">
        <f>D1796</f>
        <v>29 FEBRUARY 2024</v>
      </c>
      <c r="H1879" s="368" t="s">
        <v>111</v>
      </c>
      <c r="J1879" s="370"/>
      <c r="K1879" s="370"/>
      <c r="L1879" s="370"/>
      <c r="M1879" s="434"/>
      <c r="N1879" s="390"/>
      <c r="O1879" s="434"/>
      <c r="P1879" s="380"/>
      <c r="R1879" s="416" t="str">
        <f t="shared" si="152"/>
        <v>DELETE</v>
      </c>
      <c r="T1879" s="425"/>
    </row>
    <row r="1880" spans="2:22" ht="31.5" customHeight="1" x14ac:dyDescent="0.45">
      <c r="C1880" s="369"/>
      <c r="J1880" s="370"/>
      <c r="K1880" s="403"/>
      <c r="L1880" s="403"/>
      <c r="M1880" s="438"/>
      <c r="N1880" s="392"/>
      <c r="O1880" s="438"/>
      <c r="P1880" s="380"/>
      <c r="R1880" s="416" t="str">
        <f t="shared" si="152"/>
        <v>DELETE</v>
      </c>
      <c r="T1880" s="425"/>
    </row>
    <row r="1881" spans="2:22" ht="31.5" customHeight="1" x14ac:dyDescent="0.45">
      <c r="B1881" s="385"/>
      <c r="C1881" s="410"/>
      <c r="D1881" s="386"/>
      <c r="E1881" s="386"/>
      <c r="F1881" s="386"/>
      <c r="G1881" s="386"/>
      <c r="H1881" s="386"/>
      <c r="I1881" s="386"/>
      <c r="J1881" s="413"/>
      <c r="M1881" s="479"/>
      <c r="N1881" s="469"/>
      <c r="O1881" s="479"/>
      <c r="P1881" s="406"/>
      <c r="Q1881" s="387"/>
      <c r="R1881" s="416" t="str">
        <f t="shared" si="152"/>
        <v>DELETE</v>
      </c>
      <c r="T1881" s="425"/>
    </row>
    <row r="1882" spans="2:22" ht="31.5" customHeight="1" x14ac:dyDescent="0.45">
      <c r="B1882" s="388"/>
      <c r="C1882" s="369"/>
      <c r="J1882" s="370"/>
      <c r="K1882" s="370"/>
      <c r="L1882" s="370"/>
      <c r="M1882" s="37"/>
      <c r="N1882" s="379"/>
      <c r="O1882" s="430">
        <f>Criteria!E22</f>
        <v>2024</v>
      </c>
      <c r="P1882" s="380"/>
      <c r="Q1882" s="389"/>
      <c r="R1882" s="416" t="str">
        <f t="shared" si="152"/>
        <v>DELETE</v>
      </c>
      <c r="T1882" s="425"/>
    </row>
    <row r="1883" spans="2:22" ht="31.5" customHeight="1" x14ac:dyDescent="0.45">
      <c r="B1883" s="388"/>
      <c r="C1883" s="369"/>
      <c r="J1883" s="370"/>
      <c r="K1883" s="370"/>
      <c r="L1883" s="370"/>
      <c r="M1883" s="434"/>
      <c r="N1883" s="390"/>
      <c r="O1883" s="434"/>
      <c r="P1883" s="380"/>
      <c r="Q1883" s="389"/>
      <c r="R1883" s="416" t="str">
        <f t="shared" si="152"/>
        <v>DELETE</v>
      </c>
      <c r="T1883" s="425"/>
    </row>
    <row r="1884" spans="2:22" ht="31.5" customHeight="1" x14ac:dyDescent="0.45">
      <c r="B1884" s="388"/>
      <c r="C1884" s="411" t="str">
        <f>IF(O1884&lt;0,"OPERATING LOSS","OPERATING PROFIT")</f>
        <v>OPERATING PROFIT</v>
      </c>
      <c r="J1884" s="370"/>
      <c r="K1884" s="370"/>
      <c r="L1884" s="372"/>
      <c r="M1884" s="37"/>
      <c r="N1884" s="370"/>
      <c r="O1884" s="434">
        <f>SUM(S1801:S1865)</f>
        <v>0</v>
      </c>
      <c r="P1884" s="380"/>
      <c r="Q1884" s="389"/>
      <c r="R1884" s="416" t="str">
        <f t="shared" si="152"/>
        <v>DELETE</v>
      </c>
      <c r="T1884" s="425"/>
      <c r="U1884" s="417" t="b">
        <f>O1884=O1868</f>
        <v>1</v>
      </c>
    </row>
    <row r="1885" spans="2:22" ht="31.5" customHeight="1" x14ac:dyDescent="0.45">
      <c r="B1885" s="388"/>
      <c r="C1885" s="369"/>
      <c r="D1885" s="368" t="s">
        <v>258</v>
      </c>
      <c r="J1885" s="370"/>
      <c r="K1885" s="370"/>
      <c r="L1885" s="372"/>
      <c r="M1885" s="37"/>
      <c r="N1885" s="370"/>
      <c r="O1885" s="434"/>
      <c r="P1885" s="380"/>
      <c r="Q1885" s="389"/>
      <c r="R1885" s="416" t="str">
        <f t="shared" si="152"/>
        <v>DELETE</v>
      </c>
      <c r="T1885" s="425"/>
    </row>
    <row r="1886" spans="2:22" ht="31.5" customHeight="1" x14ac:dyDescent="0.45">
      <c r="B1886" s="388"/>
      <c r="C1886" s="369"/>
      <c r="J1886" s="370"/>
      <c r="K1886" s="370"/>
      <c r="L1886" s="372"/>
      <c r="M1886" s="37"/>
      <c r="N1886" s="370"/>
      <c r="O1886" s="434"/>
      <c r="P1886" s="380"/>
      <c r="Q1886" s="389"/>
      <c r="R1886" s="416" t="str">
        <f t="shared" si="152"/>
        <v>DELETE</v>
      </c>
      <c r="T1886" s="425"/>
    </row>
    <row r="1887" spans="2:22" ht="31.5" customHeight="1" x14ac:dyDescent="0.45">
      <c r="B1887" s="388"/>
      <c r="C1887" s="369" t="s">
        <v>1045</v>
      </c>
      <c r="J1887" s="370"/>
      <c r="K1887" s="370"/>
      <c r="L1887" s="372"/>
      <c r="M1887" s="37"/>
      <c r="N1887" s="370"/>
      <c r="O1887" s="434">
        <f>SUM(O1890:O1922)</f>
        <v>0</v>
      </c>
      <c r="P1887" s="380"/>
      <c r="Q1887" s="389"/>
      <c r="R1887" s="416" t="str">
        <f t="shared" ref="R1887" si="153">IF(R$1789="DELETE","DELETE",IF(O1887=0,"DELETE"," "))</f>
        <v>DELETE</v>
      </c>
      <c r="S1887" s="421">
        <f>-O1887</f>
        <v>0</v>
      </c>
      <c r="T1887" s="425"/>
      <c r="U1887" s="421"/>
      <c r="V1887" s="421"/>
    </row>
    <row r="1888" spans="2:22" ht="9" customHeight="1" x14ac:dyDescent="0.45">
      <c r="B1888" s="388"/>
      <c r="C1888" s="369"/>
      <c r="J1888" s="370"/>
      <c r="K1888" s="370"/>
      <c r="L1888" s="372"/>
      <c r="M1888" s="37"/>
      <c r="N1888" s="370"/>
      <c r="O1888" s="434"/>
      <c r="P1888" s="380"/>
      <c r="Q1888" s="389"/>
      <c r="R1888" s="416" t="str">
        <f>R1887</f>
        <v>DELETE</v>
      </c>
      <c r="T1888" s="425"/>
    </row>
    <row r="1889" spans="2:20" ht="9" customHeight="1" x14ac:dyDescent="0.45">
      <c r="B1889" s="388"/>
      <c r="C1889" s="369"/>
      <c r="J1889" s="370"/>
      <c r="K1889" s="370"/>
      <c r="L1889" s="372"/>
      <c r="M1889" s="37"/>
      <c r="N1889" s="370"/>
      <c r="O1889" s="455"/>
      <c r="P1889" s="380"/>
      <c r="Q1889" s="389"/>
      <c r="R1889" s="416" t="str">
        <f>R1888</f>
        <v>DELETE</v>
      </c>
      <c r="T1889" s="425"/>
    </row>
    <row r="1890" spans="2:20" ht="31.5" customHeight="1" x14ac:dyDescent="0.45">
      <c r="B1890" s="388"/>
      <c r="C1890" s="369"/>
      <c r="D1890" s="368" t="s">
        <v>218</v>
      </c>
      <c r="J1890" s="370"/>
      <c r="K1890" s="370"/>
      <c r="L1890" s="372"/>
      <c r="M1890" s="37"/>
      <c r="N1890" s="370"/>
      <c r="O1890" s="456">
        <f>SUM(TrialBalanceA!I85:I88)</f>
        <v>0</v>
      </c>
      <c r="P1890" s="380"/>
      <c r="Q1890" s="389"/>
      <c r="R1890" s="416" t="str">
        <f t="shared" ref="R1890:R1920" si="154">IF(R$1789="DELETE","DELETE",IF(O1890=0,"DELETE"," "))</f>
        <v>DELETE</v>
      </c>
      <c r="T1890" s="425"/>
    </row>
    <row r="1891" spans="2:20" ht="31.5" customHeight="1" x14ac:dyDescent="0.45">
      <c r="B1891" s="388"/>
      <c r="C1891" s="369"/>
      <c r="D1891" s="368" t="s">
        <v>222</v>
      </c>
      <c r="J1891" s="370"/>
      <c r="K1891" s="370"/>
      <c r="L1891" s="372"/>
      <c r="M1891" s="37"/>
      <c r="N1891" s="370"/>
      <c r="O1891" s="456">
        <f>TrialBalanceA!I90</f>
        <v>0</v>
      </c>
      <c r="P1891" s="380"/>
      <c r="Q1891" s="389"/>
      <c r="R1891" s="416" t="str">
        <f>IF(R$1789="DELETE","DELETE",IF(O1891=0,"DELETE"," "))</f>
        <v>DELETE</v>
      </c>
      <c r="T1891" s="425"/>
    </row>
    <row r="1892" spans="2:20" ht="31.5" customHeight="1" x14ac:dyDescent="0.45">
      <c r="B1892" s="388"/>
      <c r="C1892" s="369"/>
      <c r="D1892" s="368" t="s">
        <v>220</v>
      </c>
      <c r="J1892" s="370"/>
      <c r="K1892" s="370"/>
      <c r="L1892" s="372"/>
      <c r="M1892" s="37"/>
      <c r="N1892" s="370"/>
      <c r="O1892" s="456">
        <f>TrialBalanceA!I89</f>
        <v>0</v>
      </c>
      <c r="P1892" s="380"/>
      <c r="Q1892" s="389"/>
      <c r="R1892" s="416" t="str">
        <f>IF(R$1789="DELETE","DELETE",IF(O1892=0,"DELETE"," "))</f>
        <v>DELETE</v>
      </c>
      <c r="T1892" s="425"/>
    </row>
    <row r="1893" spans="2:20" ht="31.5" customHeight="1" x14ac:dyDescent="0.45">
      <c r="B1893" s="388"/>
      <c r="C1893" s="369"/>
      <c r="D1893" s="368" t="s">
        <v>259</v>
      </c>
      <c r="J1893" s="370"/>
      <c r="K1893" s="370"/>
      <c r="L1893" s="372"/>
      <c r="M1893" s="37"/>
      <c r="N1893" s="370"/>
      <c r="O1893" s="456">
        <f>TrialBalanceA!I91</f>
        <v>0</v>
      </c>
      <c r="P1893" s="380"/>
      <c r="Q1893" s="389"/>
      <c r="R1893" s="416" t="str">
        <f t="shared" si="154"/>
        <v>DELETE</v>
      </c>
      <c r="T1893" s="425"/>
    </row>
    <row r="1894" spans="2:20" ht="31.5" customHeight="1" x14ac:dyDescent="0.45">
      <c r="B1894" s="388"/>
      <c r="C1894" s="369"/>
      <c r="D1894" s="368" t="s">
        <v>225</v>
      </c>
      <c r="J1894" s="370"/>
      <c r="K1894" s="370"/>
      <c r="L1894" s="372"/>
      <c r="M1894" s="37"/>
      <c r="N1894" s="370"/>
      <c r="O1894" s="456">
        <f>TrialBalanceA!I92</f>
        <v>0</v>
      </c>
      <c r="P1894" s="380"/>
      <c r="Q1894" s="389"/>
      <c r="R1894" s="416" t="str">
        <f t="shared" si="154"/>
        <v>DELETE</v>
      </c>
      <c r="T1894" s="425"/>
    </row>
    <row r="1895" spans="2:20" ht="31.5" customHeight="1" x14ac:dyDescent="0.45">
      <c r="B1895" s="388"/>
      <c r="C1895" s="369"/>
      <c r="D1895" s="368" t="s">
        <v>735</v>
      </c>
      <c r="J1895" s="370"/>
      <c r="K1895" s="370"/>
      <c r="L1895" s="372"/>
      <c r="M1895" s="37"/>
      <c r="N1895" s="370"/>
      <c r="O1895" s="456">
        <f>TrialBalanceA!I93</f>
        <v>0</v>
      </c>
      <c r="P1895" s="380"/>
      <c r="Q1895" s="389"/>
      <c r="R1895" s="416" t="str">
        <f t="shared" si="154"/>
        <v>DELETE</v>
      </c>
      <c r="T1895" s="425"/>
    </row>
    <row r="1896" spans="2:20" ht="31.5" customHeight="1" x14ac:dyDescent="0.45">
      <c r="B1896" s="388"/>
      <c r="C1896" s="369"/>
      <c r="D1896" s="368" t="s">
        <v>279</v>
      </c>
      <c r="J1896" s="370"/>
      <c r="K1896" s="370">
        <f>C$745</f>
        <v>6.2999999999999989</v>
      </c>
      <c r="L1896" s="372"/>
      <c r="M1896" s="37"/>
      <c r="N1896" s="370"/>
      <c r="O1896" s="456">
        <f>SUM(TrialBalanceA!I95:I96)</f>
        <v>0</v>
      </c>
      <c r="P1896" s="380"/>
      <c r="Q1896" s="389"/>
      <c r="R1896" s="416" t="str">
        <f t="shared" si="154"/>
        <v>DELETE</v>
      </c>
      <c r="T1896" s="425"/>
    </row>
    <row r="1897" spans="2:20" ht="31.5" customHeight="1" x14ac:dyDescent="0.45">
      <c r="B1897" s="388"/>
      <c r="C1897" s="369"/>
      <c r="D1897" s="368" t="s">
        <v>260</v>
      </c>
      <c r="J1897" s="370"/>
      <c r="K1897" s="370"/>
      <c r="L1897" s="372"/>
      <c r="M1897" s="37"/>
      <c r="N1897" s="370"/>
      <c r="O1897" s="456">
        <f>TrialBalanceA!I103</f>
        <v>0</v>
      </c>
      <c r="P1897" s="380"/>
      <c r="Q1897" s="389"/>
      <c r="R1897" s="416" t="str">
        <f t="shared" si="154"/>
        <v>DELETE</v>
      </c>
      <c r="T1897" s="425"/>
    </row>
    <row r="1898" spans="2:20" ht="31.5" customHeight="1" x14ac:dyDescent="0.45">
      <c r="B1898" s="388"/>
      <c r="C1898" s="369"/>
      <c r="D1898" s="368" t="s">
        <v>375</v>
      </c>
      <c r="J1898" s="370"/>
      <c r="K1898" s="370"/>
      <c r="L1898" s="372"/>
      <c r="M1898" s="37"/>
      <c r="N1898" s="370"/>
      <c r="O1898" s="456">
        <f>TrialBalanceA!I104</f>
        <v>0</v>
      </c>
      <c r="P1898" s="380"/>
      <c r="Q1898" s="389"/>
      <c r="R1898" s="416" t="str">
        <f t="shared" si="154"/>
        <v>DELETE</v>
      </c>
      <c r="T1898" s="425"/>
    </row>
    <row r="1899" spans="2:20" ht="31.5" customHeight="1" x14ac:dyDescent="0.45">
      <c r="B1899" s="388"/>
      <c r="C1899" s="369"/>
      <c r="D1899" s="368" t="s">
        <v>326</v>
      </c>
      <c r="J1899" s="370"/>
      <c r="K1899" s="370"/>
      <c r="L1899" s="372"/>
      <c r="M1899" s="37"/>
      <c r="N1899" s="370"/>
      <c r="O1899" s="456">
        <f>TrialBalanceA!I105</f>
        <v>0</v>
      </c>
      <c r="P1899" s="380"/>
      <c r="Q1899" s="389"/>
      <c r="R1899" s="416" t="str">
        <f t="shared" si="154"/>
        <v>DELETE</v>
      </c>
      <c r="T1899" s="425"/>
    </row>
    <row r="1900" spans="2:20" ht="31.5" customHeight="1" x14ac:dyDescent="0.45">
      <c r="B1900" s="388"/>
      <c r="C1900" s="369"/>
      <c r="D1900" s="368" t="s">
        <v>377</v>
      </c>
      <c r="J1900" s="370"/>
      <c r="K1900" s="370"/>
      <c r="L1900" s="372"/>
      <c r="M1900" s="37"/>
      <c r="N1900" s="370"/>
      <c r="O1900" s="456">
        <f>TrialBalanceA!I106</f>
        <v>0</v>
      </c>
      <c r="P1900" s="380"/>
      <c r="Q1900" s="389"/>
      <c r="R1900" s="416" t="str">
        <f t="shared" si="154"/>
        <v>DELETE</v>
      </c>
      <c r="T1900" s="425"/>
    </row>
    <row r="1901" spans="2:20" ht="31.5" customHeight="1" x14ac:dyDescent="0.45">
      <c r="B1901" s="388"/>
      <c r="C1901" s="369"/>
      <c r="D1901" s="368" t="s">
        <v>1081</v>
      </c>
      <c r="J1901" s="370"/>
      <c r="K1901" s="370"/>
      <c r="L1901" s="372"/>
      <c r="M1901" s="37"/>
      <c r="N1901" s="370"/>
      <c r="O1901" s="456">
        <f>IF(TrialBalanceA!I141&gt;0,TrialBalanceA!I141,0)</f>
        <v>0</v>
      </c>
      <c r="P1901" s="380"/>
      <c r="Q1901" s="389"/>
      <c r="R1901" s="416" t="str">
        <f>IF(R$1789="DELETE","DELETE",IF(O1901=0,"DELETE"," "))</f>
        <v>DELETE</v>
      </c>
      <c r="T1901" s="425"/>
    </row>
    <row r="1902" spans="2:20" ht="31.5" customHeight="1" x14ac:dyDescent="0.45">
      <c r="B1902" s="388"/>
      <c r="C1902" s="369"/>
      <c r="D1902" s="368" t="s">
        <v>496</v>
      </c>
      <c r="J1902" s="370"/>
      <c r="K1902" s="370"/>
      <c r="L1902" s="372"/>
      <c r="M1902" s="37"/>
      <c r="N1902" s="370"/>
      <c r="O1902" s="456">
        <f>TrialBalanceA!I107+TrialBalanceA!I108</f>
        <v>0</v>
      </c>
      <c r="P1902" s="380"/>
      <c r="Q1902" s="389"/>
      <c r="R1902" s="416" t="str">
        <f t="shared" si="154"/>
        <v>DELETE</v>
      </c>
      <c r="T1902" s="425"/>
    </row>
    <row r="1903" spans="2:20" ht="31.5" customHeight="1" x14ac:dyDescent="0.45">
      <c r="B1903" s="388"/>
      <c r="C1903" s="369"/>
      <c r="D1903" s="368" t="s">
        <v>519</v>
      </c>
      <c r="J1903" s="370"/>
      <c r="K1903" s="370"/>
      <c r="L1903" s="372"/>
      <c r="M1903" s="37"/>
      <c r="N1903" s="370"/>
      <c r="O1903" s="456">
        <f>IF(TrialBalanceA!I81&gt;0,TrialBalanceA!I81,0)</f>
        <v>0</v>
      </c>
      <c r="P1903" s="380"/>
      <c r="Q1903" s="389"/>
      <c r="R1903" s="416" t="str">
        <f>IF(R$1789="DELETE","DELETE",IF(O1903=0,"DELETE"," "))</f>
        <v>DELETE</v>
      </c>
      <c r="T1903" s="425"/>
    </row>
    <row r="1904" spans="2:20" ht="31.5" customHeight="1" x14ac:dyDescent="0.45">
      <c r="B1904" s="388"/>
      <c r="C1904" s="369"/>
      <c r="D1904" s="368" t="s">
        <v>736</v>
      </c>
      <c r="J1904" s="370"/>
      <c r="K1904" s="370"/>
      <c r="L1904" s="372"/>
      <c r="M1904" s="37"/>
      <c r="N1904" s="370"/>
      <c r="O1904" s="456">
        <f>TrialBalanceA!I109</f>
        <v>0</v>
      </c>
      <c r="P1904" s="380"/>
      <c r="Q1904" s="389"/>
      <c r="R1904" s="416" t="str">
        <f>IF(R$1789="DELETE","DELETE",IF(O1904=0,"DELETE"," "))</f>
        <v>DELETE</v>
      </c>
      <c r="T1904" s="425"/>
    </row>
    <row r="1905" spans="2:20" ht="31.5" customHeight="1" x14ac:dyDescent="0.45">
      <c r="B1905" s="388"/>
      <c r="C1905" s="369"/>
      <c r="D1905" s="368" t="s">
        <v>261</v>
      </c>
      <c r="J1905" s="370"/>
      <c r="K1905" s="370"/>
      <c r="L1905" s="372"/>
      <c r="M1905" s="37"/>
      <c r="N1905" s="370"/>
      <c r="O1905" s="456">
        <f>TrialBalanceA!I110</f>
        <v>0</v>
      </c>
      <c r="P1905" s="380"/>
      <c r="Q1905" s="389"/>
      <c r="R1905" s="416" t="str">
        <f>IF(R$1789="DELETE","DELETE",IF(O1905=0,"DELETE"," "))</f>
        <v>DELETE</v>
      </c>
      <c r="T1905" s="425"/>
    </row>
    <row r="1906" spans="2:20" ht="31.5" customHeight="1" x14ac:dyDescent="0.45">
      <c r="B1906" s="388"/>
      <c r="C1906" s="369"/>
      <c r="D1906" s="368" t="s">
        <v>254</v>
      </c>
      <c r="J1906" s="370"/>
      <c r="K1906" s="370"/>
      <c r="L1906" s="372"/>
      <c r="M1906" s="37"/>
      <c r="N1906" s="370"/>
      <c r="O1906" s="456">
        <f>SUM(TrialBalanceA!I111:I112)</f>
        <v>0</v>
      </c>
      <c r="P1906" s="380"/>
      <c r="Q1906" s="389"/>
      <c r="R1906" s="416" t="str">
        <f t="shared" si="154"/>
        <v>DELETE</v>
      </c>
      <c r="T1906" s="425"/>
    </row>
    <row r="1907" spans="2:20" ht="31.5" customHeight="1" x14ac:dyDescent="0.45">
      <c r="B1907" s="388"/>
      <c r="C1907" s="369"/>
      <c r="D1907" s="368" t="s">
        <v>262</v>
      </c>
      <c r="J1907" s="370"/>
      <c r="K1907" s="370"/>
      <c r="L1907" s="372"/>
      <c r="M1907" s="37"/>
      <c r="N1907" s="370"/>
      <c r="O1907" s="456">
        <f>TrialBalanceA!I113</f>
        <v>0</v>
      </c>
      <c r="P1907" s="380"/>
      <c r="Q1907" s="389"/>
      <c r="R1907" s="416" t="str">
        <f t="shared" si="154"/>
        <v>DELETE</v>
      </c>
      <c r="T1907" s="425"/>
    </row>
    <row r="1908" spans="2:20" ht="31.5" customHeight="1" x14ac:dyDescent="0.45">
      <c r="B1908" s="388"/>
      <c r="C1908" s="369"/>
      <c r="D1908" s="368" t="s">
        <v>737</v>
      </c>
      <c r="J1908" s="370"/>
      <c r="K1908" s="370"/>
      <c r="L1908" s="372"/>
      <c r="M1908" s="37"/>
      <c r="N1908" s="370"/>
      <c r="O1908" s="456">
        <f>TrialBalanceA!I114</f>
        <v>0</v>
      </c>
      <c r="P1908" s="380"/>
      <c r="Q1908" s="389"/>
      <c r="R1908" s="416" t="str">
        <f t="shared" si="154"/>
        <v>DELETE</v>
      </c>
      <c r="T1908" s="425"/>
    </row>
    <row r="1909" spans="2:20" ht="31.5" customHeight="1" x14ac:dyDescent="0.45">
      <c r="B1909" s="388"/>
      <c r="C1909" s="369"/>
      <c r="D1909" s="368" t="s">
        <v>88</v>
      </c>
      <c r="J1909" s="370"/>
      <c r="K1909" s="370"/>
      <c r="L1909" s="372"/>
      <c r="M1909" s="37"/>
      <c r="N1909" s="370"/>
      <c r="O1909" s="456">
        <f>TrialBalanceA!I115</f>
        <v>0</v>
      </c>
      <c r="P1909" s="380"/>
      <c r="Q1909" s="389"/>
      <c r="R1909" s="416" t="str">
        <f t="shared" si="154"/>
        <v>DELETE</v>
      </c>
      <c r="T1909" s="425"/>
    </row>
    <row r="1910" spans="2:20" ht="31.5" customHeight="1" x14ac:dyDescent="0.45">
      <c r="B1910" s="388"/>
      <c r="C1910" s="369"/>
      <c r="D1910" s="368" t="str">
        <f>IF(MAX(Criteria!I38:I42)&gt;1,"Trustees' remuneration","Trustee's remuneration")</f>
        <v>Trustees' remuneration</v>
      </c>
      <c r="J1910" s="370"/>
      <c r="K1910" s="370">
        <f>C$686</f>
        <v>6.1</v>
      </c>
      <c r="L1910" s="372"/>
      <c r="M1910" s="37"/>
      <c r="N1910" s="370"/>
      <c r="O1910" s="456">
        <f>SUM(TrialBalanceA!I98:I102)</f>
        <v>0</v>
      </c>
      <c r="P1910" s="380"/>
      <c r="Q1910" s="389"/>
      <c r="R1910" s="416" t="str">
        <f t="shared" si="154"/>
        <v>DELETE</v>
      </c>
      <c r="T1910" s="425"/>
    </row>
    <row r="1911" spans="2:20" ht="31.5" customHeight="1" x14ac:dyDescent="0.45">
      <c r="B1911" s="388"/>
      <c r="C1911" s="369"/>
      <c r="D1911" s="368">
        <f>TrialBalanceA!C116</f>
        <v>0</v>
      </c>
      <c r="J1911" s="370"/>
      <c r="K1911" s="370"/>
      <c r="L1911" s="372"/>
      <c r="M1911" s="37"/>
      <c r="N1911" s="370"/>
      <c r="O1911" s="456">
        <f>TrialBalanceA!I116</f>
        <v>0</v>
      </c>
      <c r="P1911" s="380"/>
      <c r="Q1911" s="389"/>
      <c r="R1911" s="416" t="str">
        <f t="shared" si="154"/>
        <v>DELETE</v>
      </c>
      <c r="T1911" s="425"/>
    </row>
    <row r="1912" spans="2:20" ht="31.5" customHeight="1" x14ac:dyDescent="0.45">
      <c r="B1912" s="388"/>
      <c r="C1912" s="369"/>
      <c r="D1912" s="368">
        <f>TrialBalanceA!C117</f>
        <v>0</v>
      </c>
      <c r="J1912" s="370"/>
      <c r="K1912" s="370"/>
      <c r="L1912" s="372"/>
      <c r="M1912" s="37"/>
      <c r="N1912" s="370"/>
      <c r="O1912" s="456">
        <f>TrialBalanceA!I117</f>
        <v>0</v>
      </c>
      <c r="P1912" s="380"/>
      <c r="Q1912" s="389"/>
      <c r="R1912" s="416" t="str">
        <f t="shared" si="154"/>
        <v>DELETE</v>
      </c>
      <c r="T1912" s="425"/>
    </row>
    <row r="1913" spans="2:20" ht="31.5" customHeight="1" x14ac:dyDescent="0.45">
      <c r="B1913" s="388"/>
      <c r="C1913" s="369"/>
      <c r="D1913" s="368">
        <f>TrialBalanceA!C118</f>
        <v>0</v>
      </c>
      <c r="J1913" s="370"/>
      <c r="K1913" s="370"/>
      <c r="L1913" s="372"/>
      <c r="M1913" s="37"/>
      <c r="N1913" s="370"/>
      <c r="O1913" s="456">
        <f>TrialBalanceA!I118</f>
        <v>0</v>
      </c>
      <c r="P1913" s="380"/>
      <c r="Q1913" s="389"/>
      <c r="R1913" s="416" t="str">
        <f t="shared" si="154"/>
        <v>DELETE</v>
      </c>
      <c r="T1913" s="425"/>
    </row>
    <row r="1914" spans="2:20" ht="31.5" customHeight="1" x14ac:dyDescent="0.45">
      <c r="B1914" s="388"/>
      <c r="C1914" s="369"/>
      <c r="D1914" s="368">
        <f>TrialBalanceA!C119</f>
        <v>0</v>
      </c>
      <c r="J1914" s="370"/>
      <c r="K1914" s="370"/>
      <c r="L1914" s="372"/>
      <c r="M1914" s="37"/>
      <c r="N1914" s="370"/>
      <c r="O1914" s="456">
        <f>TrialBalanceA!I119</f>
        <v>0</v>
      </c>
      <c r="P1914" s="380"/>
      <c r="Q1914" s="389"/>
      <c r="R1914" s="416" t="str">
        <f t="shared" si="154"/>
        <v>DELETE</v>
      </c>
      <c r="T1914" s="425"/>
    </row>
    <row r="1915" spans="2:20" ht="31.5" customHeight="1" x14ac:dyDescent="0.45">
      <c r="B1915" s="388"/>
      <c r="C1915" s="369"/>
      <c r="D1915" s="368">
        <f>TrialBalanceA!C120</f>
        <v>0</v>
      </c>
      <c r="J1915" s="370"/>
      <c r="K1915" s="370"/>
      <c r="L1915" s="372"/>
      <c r="M1915" s="37"/>
      <c r="N1915" s="370"/>
      <c r="O1915" s="456">
        <f>TrialBalanceA!I120</f>
        <v>0</v>
      </c>
      <c r="P1915" s="380"/>
      <c r="Q1915" s="389"/>
      <c r="R1915" s="416" t="str">
        <f t="shared" si="154"/>
        <v>DELETE</v>
      </c>
      <c r="T1915" s="425"/>
    </row>
    <row r="1916" spans="2:20" ht="31.5" customHeight="1" x14ac:dyDescent="0.45">
      <c r="B1916" s="388"/>
      <c r="C1916" s="369"/>
      <c r="D1916" s="368">
        <f>TrialBalanceA!C121</f>
        <v>0</v>
      </c>
      <c r="J1916" s="370"/>
      <c r="K1916" s="370"/>
      <c r="L1916" s="372"/>
      <c r="M1916" s="37"/>
      <c r="N1916" s="370"/>
      <c r="O1916" s="456">
        <f>TrialBalanceA!I121</f>
        <v>0</v>
      </c>
      <c r="P1916" s="380"/>
      <c r="Q1916" s="389"/>
      <c r="R1916" s="416" t="str">
        <f t="shared" si="154"/>
        <v>DELETE</v>
      </c>
      <c r="T1916" s="425"/>
    </row>
    <row r="1917" spans="2:20" ht="31.5" customHeight="1" x14ac:dyDescent="0.45">
      <c r="B1917" s="388"/>
      <c r="C1917" s="369"/>
      <c r="D1917" s="368">
        <f>TrialBalanceA!C122</f>
        <v>0</v>
      </c>
      <c r="J1917" s="370"/>
      <c r="K1917" s="370"/>
      <c r="L1917" s="372"/>
      <c r="M1917" s="37"/>
      <c r="N1917" s="370"/>
      <c r="O1917" s="456">
        <f>TrialBalanceA!I122</f>
        <v>0</v>
      </c>
      <c r="P1917" s="380"/>
      <c r="Q1917" s="389"/>
      <c r="R1917" s="416" t="str">
        <f t="shared" si="154"/>
        <v>DELETE</v>
      </c>
      <c r="T1917" s="425"/>
    </row>
    <row r="1918" spans="2:20" ht="31.5" customHeight="1" x14ac:dyDescent="0.45">
      <c r="B1918" s="388"/>
      <c r="C1918" s="369"/>
      <c r="D1918" s="368">
        <f>TrialBalanceA!C123</f>
        <v>0</v>
      </c>
      <c r="J1918" s="370"/>
      <c r="K1918" s="370"/>
      <c r="L1918" s="372"/>
      <c r="M1918" s="37"/>
      <c r="N1918" s="370"/>
      <c r="O1918" s="456">
        <f>TrialBalanceA!I123</f>
        <v>0</v>
      </c>
      <c r="P1918" s="380"/>
      <c r="Q1918" s="389"/>
      <c r="R1918" s="416" t="str">
        <f t="shared" si="154"/>
        <v>DELETE</v>
      </c>
      <c r="T1918" s="425"/>
    </row>
    <row r="1919" spans="2:20" ht="31.5" customHeight="1" x14ac:dyDescent="0.45">
      <c r="B1919" s="388"/>
      <c r="C1919" s="369"/>
      <c r="D1919" s="368">
        <f>TrialBalanceA!C124</f>
        <v>0</v>
      </c>
      <c r="J1919" s="370"/>
      <c r="K1919" s="370"/>
      <c r="L1919" s="372"/>
      <c r="M1919" s="37"/>
      <c r="N1919" s="370"/>
      <c r="O1919" s="456">
        <f>TrialBalanceA!I124</f>
        <v>0</v>
      </c>
      <c r="P1919" s="380"/>
      <c r="Q1919" s="389"/>
      <c r="R1919" s="416" t="str">
        <f t="shared" si="154"/>
        <v>DELETE</v>
      </c>
      <c r="T1919" s="425"/>
    </row>
    <row r="1920" spans="2:20" ht="31.5" customHeight="1" x14ac:dyDescent="0.45">
      <c r="B1920" s="388"/>
      <c r="C1920" s="369"/>
      <c r="D1920" s="368" t="str">
        <f>TrialBalanceA!C125</f>
        <v>Amortisation of prepaid lease agreement</v>
      </c>
      <c r="J1920" s="370"/>
      <c r="K1920" s="370"/>
      <c r="L1920" s="372"/>
      <c r="M1920" s="37"/>
      <c r="N1920" s="370"/>
      <c r="O1920" s="456">
        <f>TrialBalanceA!I125</f>
        <v>0</v>
      </c>
      <c r="P1920" s="380"/>
      <c r="Q1920" s="389"/>
      <c r="R1920" s="416" t="str">
        <f t="shared" si="154"/>
        <v>DELETE</v>
      </c>
      <c r="T1920" s="425"/>
    </row>
    <row r="1921" spans="2:22" ht="31.5" customHeight="1" x14ac:dyDescent="0.45">
      <c r="B1921" s="388"/>
      <c r="C1921" s="369"/>
      <c r="D1921" s="368" t="str">
        <f>TrialBalanceA!C126</f>
        <v>Amortisation of goodwill</v>
      </c>
      <c r="J1921" s="370"/>
      <c r="K1921" s="370"/>
      <c r="L1921" s="372"/>
      <c r="M1921" s="37"/>
      <c r="N1921" s="370"/>
      <c r="O1921" s="456">
        <f>TrialBalanceA!I126</f>
        <v>0</v>
      </c>
      <c r="P1921" s="380"/>
      <c r="Q1921" s="389"/>
      <c r="R1921" s="416" t="str">
        <f t="shared" ref="R1921" si="155">IF(R$1789="DELETE","DELETE",IF(O1921=0,"DELETE"," "))</f>
        <v>DELETE</v>
      </c>
      <c r="T1921" s="425"/>
    </row>
    <row r="1922" spans="2:22" ht="9" customHeight="1" x14ac:dyDescent="0.45">
      <c r="B1922" s="388"/>
      <c r="C1922" s="369"/>
      <c r="J1922" s="370"/>
      <c r="K1922" s="370"/>
      <c r="L1922" s="372"/>
      <c r="M1922" s="37"/>
      <c r="N1922" s="370"/>
      <c r="O1922" s="457"/>
      <c r="P1922" s="380"/>
      <c r="Q1922" s="389"/>
      <c r="R1922" s="416" t="str">
        <f>R1887</f>
        <v>DELETE</v>
      </c>
      <c r="T1922" s="425"/>
    </row>
    <row r="1923" spans="2:22" ht="9" customHeight="1" x14ac:dyDescent="0.45">
      <c r="B1923" s="388"/>
      <c r="C1923" s="369"/>
      <c r="J1923" s="370"/>
      <c r="K1923" s="370"/>
      <c r="L1923" s="372"/>
      <c r="M1923" s="37"/>
      <c r="N1923" s="370"/>
      <c r="O1923" s="438"/>
      <c r="P1923" s="380"/>
      <c r="Q1923" s="389"/>
      <c r="R1923" s="416" t="str">
        <f>R$1789</f>
        <v>DELETE</v>
      </c>
      <c r="T1923" s="425"/>
    </row>
    <row r="1924" spans="2:22" ht="9" customHeight="1" x14ac:dyDescent="0.45">
      <c r="B1924" s="388"/>
      <c r="C1924" s="369"/>
      <c r="J1924" s="370"/>
      <c r="K1924" s="370"/>
      <c r="L1924" s="372"/>
      <c r="M1924" s="37"/>
      <c r="N1924" s="370"/>
      <c r="O1924" s="434"/>
      <c r="P1924" s="380"/>
      <c r="Q1924" s="389"/>
      <c r="R1924" s="416" t="str">
        <f>R$1789</f>
        <v>DELETE</v>
      </c>
      <c r="T1924" s="425"/>
    </row>
    <row r="1925" spans="2:22" ht="31.5" customHeight="1" x14ac:dyDescent="0.45">
      <c r="B1925" s="388"/>
      <c r="C1925" s="411" t="str">
        <f>IF(O1925&lt;0,"OPERATING LOSS FOR THE YEAR","OPERATING PROFIT FOR THE YEAR")</f>
        <v>OPERATING PROFIT FOR THE YEAR</v>
      </c>
      <c r="J1925" s="370"/>
      <c r="K1925" s="370">
        <f>'FS2'!B683</f>
        <v>6</v>
      </c>
      <c r="L1925" s="372"/>
      <c r="M1925" s="37"/>
      <c r="N1925" s="370"/>
      <c r="O1925" s="434">
        <f>SUM(S1801:S1922)</f>
        <v>0</v>
      </c>
      <c r="P1925" s="380"/>
      <c r="Q1925" s="389"/>
      <c r="R1925" s="416" t="str">
        <f>R$1789</f>
        <v>DELETE</v>
      </c>
      <c r="T1925" s="425"/>
    </row>
    <row r="1926" spans="2:22" ht="31.5" customHeight="1" x14ac:dyDescent="0.45">
      <c r="B1926" s="388"/>
      <c r="C1926" s="369"/>
      <c r="J1926" s="370"/>
      <c r="K1926" s="370"/>
      <c r="L1926" s="372"/>
      <c r="M1926" s="37"/>
      <c r="N1926" s="370"/>
      <c r="O1926" s="434"/>
      <c r="P1926" s="380"/>
      <c r="Q1926" s="389"/>
      <c r="R1926" s="416" t="str">
        <f>R$1789</f>
        <v>DELETE</v>
      </c>
      <c r="T1926" s="425"/>
    </row>
    <row r="1927" spans="2:22" ht="31.5" customHeight="1" x14ac:dyDescent="0.45">
      <c r="B1927" s="388"/>
      <c r="C1927" s="369" t="s">
        <v>122</v>
      </c>
      <c r="J1927" s="370"/>
      <c r="K1927" s="370"/>
      <c r="L1927" s="372"/>
      <c r="M1927" s="37"/>
      <c r="N1927" s="370"/>
      <c r="O1927" s="434">
        <f>SUM(O1930:O1934)</f>
        <v>0</v>
      </c>
      <c r="P1927" s="380"/>
      <c r="Q1927" s="389"/>
      <c r="R1927" s="416" t="str">
        <f t="shared" ref="R1927" si="156">IF(R$1789="DELETE","DELETE",IF(O1927=0,"DELETE"," "))</f>
        <v>DELETE</v>
      </c>
      <c r="S1927" s="421">
        <f>O1927</f>
        <v>0</v>
      </c>
      <c r="T1927" s="425"/>
      <c r="U1927" s="421"/>
      <c r="V1927" s="421"/>
    </row>
    <row r="1928" spans="2:22" ht="9" customHeight="1" x14ac:dyDescent="0.45">
      <c r="B1928" s="388"/>
      <c r="C1928" s="369"/>
      <c r="J1928" s="370"/>
      <c r="K1928" s="370"/>
      <c r="L1928" s="372"/>
      <c r="M1928" s="37"/>
      <c r="N1928" s="370"/>
      <c r="O1928" s="434"/>
      <c r="P1928" s="380"/>
      <c r="Q1928" s="389"/>
      <c r="R1928" s="416" t="str">
        <f>R1927</f>
        <v>DELETE</v>
      </c>
      <c r="T1928" s="425"/>
    </row>
    <row r="1929" spans="2:22" ht="9" customHeight="1" x14ac:dyDescent="0.45">
      <c r="B1929" s="388"/>
      <c r="C1929" s="369"/>
      <c r="J1929" s="370"/>
      <c r="K1929" s="370"/>
      <c r="L1929" s="372"/>
      <c r="M1929" s="37"/>
      <c r="N1929" s="370"/>
      <c r="O1929" s="455"/>
      <c r="P1929" s="380"/>
      <c r="Q1929" s="389"/>
      <c r="R1929" s="416" t="str">
        <f>R1928</f>
        <v>DELETE</v>
      </c>
      <c r="T1929" s="425"/>
    </row>
    <row r="1930" spans="2:22" ht="31.5" customHeight="1" x14ac:dyDescent="0.45">
      <c r="B1930" s="388"/>
      <c r="C1930" s="369"/>
      <c r="D1930" s="368" t="s">
        <v>208</v>
      </c>
      <c r="J1930" s="370"/>
      <c r="K1930" s="370"/>
      <c r="L1930" s="372"/>
      <c r="M1930" s="37"/>
      <c r="N1930" s="370"/>
      <c r="O1930" s="456">
        <f>-TrialBalanceA!I82</f>
        <v>0</v>
      </c>
      <c r="P1930" s="380"/>
      <c r="Q1930" s="389"/>
      <c r="R1930" s="416" t="str">
        <f>IF(R$1789="DELETE","DELETE",IF(O1930=0,"DELETE"," "))</f>
        <v>DELETE</v>
      </c>
      <c r="T1930" s="425"/>
    </row>
    <row r="1931" spans="2:22" ht="31.5" customHeight="1" x14ac:dyDescent="0.45">
      <c r="B1931" s="388"/>
      <c r="C1931" s="369"/>
      <c r="D1931" s="368" t="s">
        <v>210</v>
      </c>
      <c r="J1931" s="370"/>
      <c r="K1931" s="370"/>
      <c r="L1931" s="372"/>
      <c r="M1931" s="37"/>
      <c r="N1931" s="370"/>
      <c r="O1931" s="458">
        <f>-SUM(TrialBalanceA!I83)</f>
        <v>0</v>
      </c>
      <c r="P1931" s="380"/>
      <c r="Q1931" s="389"/>
      <c r="R1931" s="416" t="str">
        <f>IF(R$1789="DELETE","DELETE",IF(O1931=0,"DELETE"," "))</f>
        <v>DELETE</v>
      </c>
      <c r="T1931" s="425"/>
    </row>
    <row r="1932" spans="2:22" ht="31.5" customHeight="1" x14ac:dyDescent="0.45">
      <c r="B1932" s="388"/>
      <c r="C1932" s="369"/>
      <c r="D1932" s="368" t="s">
        <v>520</v>
      </c>
      <c r="J1932" s="370"/>
      <c r="K1932" s="370"/>
      <c r="L1932" s="372"/>
      <c r="M1932" s="37"/>
      <c r="N1932" s="370"/>
      <c r="O1932" s="456">
        <f>IF(TrialBalanceA!I81&lt;0,-TrialBalanceA!I81,0)</f>
        <v>0</v>
      </c>
      <c r="P1932" s="380"/>
      <c r="Q1932" s="389"/>
      <c r="R1932" s="416" t="str">
        <f>IF(R$1789="DELETE","DELETE",IF(O1932=0,"DELETE"," "))</f>
        <v>DELETE</v>
      </c>
      <c r="T1932" s="425"/>
    </row>
    <row r="1933" spans="2:22" ht="31.5" customHeight="1" x14ac:dyDescent="0.45">
      <c r="B1933" s="388"/>
      <c r="C1933" s="369"/>
      <c r="D1933" s="368" t="s">
        <v>365</v>
      </c>
      <c r="J1933" s="370"/>
      <c r="K1933" s="370"/>
      <c r="L1933" s="372"/>
      <c r="M1933" s="37"/>
      <c r="N1933" s="370"/>
      <c r="O1933" s="456">
        <f>-TrialBalanceA!I80</f>
        <v>0</v>
      </c>
      <c r="P1933" s="380"/>
      <c r="Q1933" s="389"/>
      <c r="R1933" s="416" t="str">
        <f>IF(R$1789="DELETE","DELETE",IF(O1933=0,"DELETE"," "))</f>
        <v>DELETE</v>
      </c>
      <c r="T1933" s="425"/>
    </row>
    <row r="1934" spans="2:22" ht="9" customHeight="1" x14ac:dyDescent="0.45">
      <c r="B1934" s="388"/>
      <c r="C1934" s="369"/>
      <c r="J1934" s="370"/>
      <c r="K1934" s="370"/>
      <c r="L1934" s="372"/>
      <c r="M1934" s="37"/>
      <c r="N1934" s="370"/>
      <c r="O1934" s="457"/>
      <c r="P1934" s="380"/>
      <c r="Q1934" s="389"/>
      <c r="R1934" s="416" t="str">
        <f>R1927</f>
        <v>DELETE</v>
      </c>
      <c r="T1934" s="425"/>
    </row>
    <row r="1935" spans="2:22" ht="9" customHeight="1" x14ac:dyDescent="0.45">
      <c r="B1935" s="388"/>
      <c r="C1935" s="369"/>
      <c r="J1935" s="370"/>
      <c r="K1935" s="370"/>
      <c r="L1935" s="372"/>
      <c r="M1935" s="37"/>
      <c r="N1935" s="370"/>
      <c r="O1935" s="438"/>
      <c r="P1935" s="380"/>
      <c r="Q1935" s="389"/>
      <c r="R1935" s="416" t="str">
        <f>R1934</f>
        <v>DELETE</v>
      </c>
      <c r="T1935" s="425"/>
    </row>
    <row r="1936" spans="2:22" ht="9" customHeight="1" x14ac:dyDescent="0.45">
      <c r="B1936" s="388"/>
      <c r="C1936" s="369"/>
      <c r="J1936" s="370"/>
      <c r="K1936" s="370"/>
      <c r="L1936" s="372"/>
      <c r="M1936" s="37"/>
      <c r="N1936" s="370"/>
      <c r="O1936" s="434"/>
      <c r="P1936" s="380"/>
      <c r="Q1936" s="389"/>
      <c r="R1936" s="416" t="str">
        <f>R1935</f>
        <v>DELETE</v>
      </c>
      <c r="T1936" s="425"/>
    </row>
    <row r="1937" spans="2:22" ht="31.5" customHeight="1" x14ac:dyDescent="0.45">
      <c r="B1937" s="388"/>
      <c r="C1937" s="369"/>
      <c r="J1937" s="370"/>
      <c r="K1937" s="370"/>
      <c r="L1937" s="372"/>
      <c r="M1937" s="37"/>
      <c r="N1937" s="370"/>
      <c r="O1937" s="434">
        <f>SUM(S1801:S1934)</f>
        <v>0</v>
      </c>
      <c r="P1937" s="380"/>
      <c r="Q1937" s="389"/>
      <c r="R1937" s="416" t="str">
        <f>R1936</f>
        <v>DELETE</v>
      </c>
      <c r="T1937" s="425"/>
    </row>
    <row r="1938" spans="2:22" ht="31.5" customHeight="1" x14ac:dyDescent="0.45">
      <c r="B1938" s="388"/>
      <c r="C1938" s="369"/>
      <c r="J1938" s="370"/>
      <c r="K1938" s="370"/>
      <c r="L1938" s="372"/>
      <c r="M1938" s="37"/>
      <c r="N1938" s="370"/>
      <c r="O1938" s="434"/>
      <c r="P1938" s="380"/>
      <c r="Q1938" s="389"/>
      <c r="R1938" s="416" t="str">
        <f>R1937</f>
        <v>DELETE</v>
      </c>
      <c r="T1938" s="425"/>
    </row>
    <row r="1939" spans="2:22" ht="31.5" customHeight="1" x14ac:dyDescent="0.45">
      <c r="B1939" s="388"/>
      <c r="C1939" s="369" t="s">
        <v>263</v>
      </c>
      <c r="J1939" s="370"/>
      <c r="K1939" s="370">
        <f>'FS2'!B600</f>
        <v>5</v>
      </c>
      <c r="L1939" s="372"/>
      <c r="M1939" s="37"/>
      <c r="N1939" s="370"/>
      <c r="O1939" s="434">
        <f>SUM(TrialBalanceA!I129:I139)</f>
        <v>0</v>
      </c>
      <c r="P1939" s="380"/>
      <c r="Q1939" s="389"/>
      <c r="R1939" s="416" t="str">
        <f t="shared" ref="R1939" si="157">IF(R$1789="DELETE","DELETE",IF(O1939=0,"DELETE"," "))</f>
        <v>DELETE</v>
      </c>
      <c r="S1939" s="421">
        <f>-O1939</f>
        <v>0</v>
      </c>
      <c r="T1939" s="425"/>
      <c r="U1939" s="421"/>
      <c r="V1939" s="421"/>
    </row>
    <row r="1940" spans="2:22" ht="9" customHeight="1" x14ac:dyDescent="0.45">
      <c r="B1940" s="388"/>
      <c r="C1940" s="369"/>
      <c r="J1940" s="370"/>
      <c r="K1940" s="370"/>
      <c r="L1940" s="372"/>
      <c r="M1940" s="37"/>
      <c r="N1940" s="370"/>
      <c r="O1940" s="438"/>
      <c r="P1940" s="380"/>
      <c r="Q1940" s="389"/>
      <c r="R1940" s="416" t="str">
        <f t="shared" ref="R1940:R1948" si="158">R$1789</f>
        <v>DELETE</v>
      </c>
      <c r="T1940" s="425"/>
    </row>
    <row r="1941" spans="2:22" ht="9" customHeight="1" x14ac:dyDescent="0.45">
      <c r="B1941" s="388"/>
      <c r="C1941" s="369"/>
      <c r="J1941" s="370"/>
      <c r="K1941" s="370"/>
      <c r="L1941" s="372"/>
      <c r="M1941" s="37"/>
      <c r="N1941" s="370"/>
      <c r="O1941" s="434"/>
      <c r="P1941" s="380"/>
      <c r="Q1941" s="389"/>
      <c r="R1941" s="416" t="str">
        <f t="shared" si="158"/>
        <v>DELETE</v>
      </c>
      <c r="T1941" s="425"/>
    </row>
    <row r="1942" spans="2:22" ht="31.5" customHeight="1" x14ac:dyDescent="0.45">
      <c r="B1942" s="388"/>
      <c r="C1942" s="411" t="str">
        <f>IF(O1942&lt;0,"NET LOSS BEFORE TAXATION","NET PROFIT BEFORE TAXATION")</f>
        <v>NET PROFIT BEFORE TAXATION</v>
      </c>
      <c r="J1942" s="370"/>
      <c r="K1942" s="370"/>
      <c r="L1942" s="372"/>
      <c r="M1942" s="37"/>
      <c r="N1942" s="370"/>
      <c r="O1942" s="434">
        <f>SUM(S1801:S1941)</f>
        <v>0</v>
      </c>
      <c r="P1942" s="380"/>
      <c r="Q1942" s="389"/>
      <c r="R1942" s="416" t="str">
        <f t="shared" si="158"/>
        <v>DELETE</v>
      </c>
      <c r="T1942" s="425"/>
    </row>
    <row r="1943" spans="2:22" ht="9" customHeight="1" thickBot="1" x14ac:dyDescent="0.5">
      <c r="B1943" s="388"/>
      <c r="C1943" s="369"/>
      <c r="J1943" s="370"/>
      <c r="K1943" s="370"/>
      <c r="L1943" s="372"/>
      <c r="M1943" s="37"/>
      <c r="N1943" s="370"/>
      <c r="O1943" s="439"/>
      <c r="P1943" s="380"/>
      <c r="Q1943" s="389"/>
      <c r="R1943" s="416" t="str">
        <f t="shared" si="158"/>
        <v>DELETE</v>
      </c>
      <c r="T1943" s="425"/>
    </row>
    <row r="1944" spans="2:22" ht="9" customHeight="1" thickTop="1" x14ac:dyDescent="0.45">
      <c r="B1944" s="388"/>
      <c r="C1944" s="369"/>
      <c r="J1944" s="370"/>
      <c r="K1944" s="370"/>
      <c r="L1944" s="372"/>
      <c r="M1944" s="37"/>
      <c r="N1944" s="370"/>
      <c r="O1944" s="441"/>
      <c r="P1944" s="380"/>
      <c r="Q1944" s="389"/>
      <c r="R1944" s="416" t="str">
        <f t="shared" si="158"/>
        <v>DELETE</v>
      </c>
      <c r="T1944" s="425"/>
    </row>
    <row r="1945" spans="2:22" ht="31.5" customHeight="1" x14ac:dyDescent="0.45">
      <c r="B1945" s="388"/>
      <c r="C1945" s="369"/>
      <c r="J1945" s="370"/>
      <c r="K1945" s="370"/>
      <c r="L1945" s="372"/>
      <c r="M1945" s="37"/>
      <c r="N1945" s="370"/>
      <c r="O1945" s="434"/>
      <c r="P1945" s="380"/>
      <c r="Q1945" s="389"/>
      <c r="R1945" s="416" t="str">
        <f t="shared" si="158"/>
        <v>DELETE</v>
      </c>
      <c r="T1945" s="425"/>
    </row>
    <row r="1946" spans="2:22" ht="31.5" customHeight="1" x14ac:dyDescent="0.45">
      <c r="B1946" s="388"/>
      <c r="C1946" s="369"/>
      <c r="J1946" s="370"/>
      <c r="K1946" s="370"/>
      <c r="L1946" s="370"/>
      <c r="M1946" s="434"/>
      <c r="N1946" s="390"/>
      <c r="O1946" s="434"/>
      <c r="P1946" s="380"/>
      <c r="Q1946" s="389"/>
      <c r="R1946" s="416" t="str">
        <f t="shared" si="158"/>
        <v>DELETE</v>
      </c>
      <c r="T1946" s="425"/>
    </row>
    <row r="1947" spans="2:22" ht="31.5" customHeight="1" x14ac:dyDescent="0.45">
      <c r="B1947" s="396"/>
      <c r="C1947" s="383"/>
      <c r="D1947" s="383"/>
      <c r="E1947" s="383"/>
      <c r="F1947" s="383"/>
      <c r="G1947" s="383"/>
      <c r="H1947" s="383"/>
      <c r="I1947" s="383"/>
      <c r="J1947" s="383"/>
      <c r="K1947" s="383"/>
      <c r="L1947" s="383"/>
      <c r="M1947" s="482"/>
      <c r="N1947" s="483"/>
      <c r="O1947" s="482"/>
      <c r="P1947" s="475"/>
      <c r="Q1947" s="398"/>
      <c r="R1947" s="416" t="str">
        <f t="shared" si="158"/>
        <v>DELETE</v>
      </c>
      <c r="T1947" s="425"/>
    </row>
    <row r="1948" spans="2:22" ht="31.5" customHeight="1" x14ac:dyDescent="0.45">
      <c r="M1948" s="479"/>
      <c r="N1948" s="469"/>
      <c r="O1948" s="479"/>
      <c r="R1948" s="416" t="str">
        <f t="shared" si="158"/>
        <v>DELETE</v>
      </c>
      <c r="T1948" s="425"/>
    </row>
    <row r="1949" spans="2:22" ht="31.5" customHeight="1" x14ac:dyDescent="0.45">
      <c r="M1949" s="479"/>
      <c r="N1949" s="469"/>
      <c r="O1949" s="479"/>
      <c r="R1949" s="416" t="str">
        <f>IF(SUM(S1961:S1963)+SUM(S1981:S1988)+SUM(S2087:S2094)+O2102=0,"DELETE"," ")</f>
        <v>DELETE</v>
      </c>
      <c r="T1949" s="425"/>
      <c r="U1949" s="420"/>
      <c r="V1949" s="420"/>
    </row>
    <row r="1950" spans="2:22" ht="31.5" customHeight="1" x14ac:dyDescent="0.45">
      <c r="D1950" s="369" t="s">
        <v>614</v>
      </c>
      <c r="M1950" s="479"/>
      <c r="N1950" s="469"/>
      <c r="O1950" s="479"/>
      <c r="R1950" s="416" t="str">
        <f>R$1949</f>
        <v>DELETE</v>
      </c>
      <c r="T1950" s="425"/>
      <c r="U1950" s="419"/>
    </row>
    <row r="1951" spans="2:22" ht="31.5" customHeight="1" x14ac:dyDescent="0.45">
      <c r="M1951" s="479"/>
      <c r="N1951" s="469"/>
      <c r="O1951" s="479"/>
      <c r="R1951" s="416" t="str">
        <f t="shared" ref="R1951:R1960" si="159">R$1949</f>
        <v>DELETE</v>
      </c>
      <c r="T1951" s="425"/>
    </row>
    <row r="1952" spans="2:22" ht="31.5" customHeight="1" x14ac:dyDescent="0.45">
      <c r="D1952" s="369" t="str">
        <f>Criteria!E9</f>
        <v>ABC TRUST</v>
      </c>
      <c r="M1952" s="479"/>
      <c r="N1952" s="469"/>
      <c r="O1952" s="434" t="s">
        <v>105</v>
      </c>
      <c r="Q1952" s="370">
        <v>1</v>
      </c>
      <c r="R1952" s="416" t="str">
        <f t="shared" si="159"/>
        <v>DELETE</v>
      </c>
      <c r="T1952" s="425"/>
    </row>
    <row r="1953" spans="2:22" ht="31.5" customHeight="1" x14ac:dyDescent="0.45">
      <c r="D1953" s="369" t="str">
        <f>CONCATENATE("T/A ",Criteria!E15)</f>
        <v>T/A SURF SHOP</v>
      </c>
      <c r="M1953" s="479"/>
      <c r="N1953" s="469"/>
      <c r="O1953" s="479"/>
      <c r="R1953" s="416" t="str">
        <f t="shared" si="159"/>
        <v>DELETE</v>
      </c>
      <c r="T1953" s="425"/>
    </row>
    <row r="1954" spans="2:22" ht="31.5" customHeight="1" x14ac:dyDescent="0.45">
      <c r="M1954" s="479"/>
      <c r="N1954" s="469"/>
      <c r="O1954" s="479"/>
      <c r="R1954" s="416" t="str">
        <f t="shared" si="159"/>
        <v>DELETE</v>
      </c>
      <c r="T1954" s="425"/>
    </row>
    <row r="1955" spans="2:22" ht="31.5" customHeight="1" x14ac:dyDescent="0.45">
      <c r="D1955" s="369" t="s">
        <v>100</v>
      </c>
      <c r="M1955" s="479"/>
      <c r="N1955" s="469"/>
      <c r="O1955" s="479"/>
      <c r="R1955" s="416" t="str">
        <f t="shared" si="159"/>
        <v>DELETE</v>
      </c>
      <c r="T1955" s="425"/>
    </row>
    <row r="1956" spans="2:22" ht="31.5" customHeight="1" x14ac:dyDescent="0.45">
      <c r="D1956" s="369" t="str">
        <f>Criteria!E20</f>
        <v>29 FEBRUARY 2024</v>
      </c>
      <c r="M1956" s="479"/>
      <c r="N1956" s="469"/>
      <c r="O1956" s="479"/>
      <c r="R1956" s="416" t="str">
        <f t="shared" si="159"/>
        <v>DELETE</v>
      </c>
      <c r="T1956" s="425"/>
    </row>
    <row r="1957" spans="2:22" ht="31.5" customHeight="1" x14ac:dyDescent="0.45">
      <c r="M1957" s="479"/>
      <c r="N1957" s="469"/>
      <c r="O1957" s="479"/>
      <c r="R1957" s="416" t="str">
        <f t="shared" si="159"/>
        <v>DELETE</v>
      </c>
      <c r="T1957" s="425"/>
    </row>
    <row r="1958" spans="2:22" ht="31.5" customHeight="1" x14ac:dyDescent="0.45">
      <c r="B1958" s="385"/>
      <c r="C1958" s="386"/>
      <c r="D1958" s="386"/>
      <c r="E1958" s="386"/>
      <c r="F1958" s="386"/>
      <c r="G1958" s="386"/>
      <c r="H1958" s="386"/>
      <c r="I1958" s="386"/>
      <c r="J1958" s="386"/>
      <c r="K1958" s="386"/>
      <c r="L1958" s="386"/>
      <c r="M1958" s="484"/>
      <c r="N1958" s="485"/>
      <c r="O1958" s="484"/>
      <c r="P1958" s="481"/>
      <c r="Q1958" s="387"/>
      <c r="R1958" s="416" t="str">
        <f t="shared" si="159"/>
        <v>DELETE</v>
      </c>
      <c r="T1958" s="425"/>
    </row>
    <row r="1959" spans="2:22" ht="31.5" customHeight="1" x14ac:dyDescent="0.45">
      <c r="B1959" s="388"/>
      <c r="J1959" s="370"/>
      <c r="K1959" s="370" t="s">
        <v>113</v>
      </c>
      <c r="L1959" s="372"/>
      <c r="M1959" s="37"/>
      <c r="N1959" s="370"/>
      <c r="O1959" s="430">
        <f>Criteria!E22</f>
        <v>2024</v>
      </c>
      <c r="P1959" s="380"/>
      <c r="Q1959" s="389"/>
      <c r="R1959" s="416" t="str">
        <f t="shared" si="159"/>
        <v>DELETE</v>
      </c>
      <c r="T1959" s="425"/>
    </row>
    <row r="1960" spans="2:22" ht="31.5" customHeight="1" x14ac:dyDescent="0.45">
      <c r="B1960" s="388"/>
      <c r="J1960" s="370"/>
      <c r="K1960" s="370"/>
      <c r="L1960" s="372"/>
      <c r="M1960" s="37"/>
      <c r="N1960" s="370"/>
      <c r="O1960" s="434"/>
      <c r="P1960" s="380"/>
      <c r="Q1960" s="389"/>
      <c r="R1960" s="416" t="str">
        <f t="shared" si="159"/>
        <v>DELETE</v>
      </c>
      <c r="T1960" s="425"/>
    </row>
    <row r="1961" spans="2:22" ht="31.5" customHeight="1" x14ac:dyDescent="0.45">
      <c r="B1961" s="388"/>
      <c r="C1961" s="369" t="s">
        <v>1044</v>
      </c>
      <c r="J1961" s="370"/>
      <c r="K1961" s="370"/>
      <c r="L1961" s="372"/>
      <c r="M1961" s="37"/>
      <c r="N1961" s="370"/>
      <c r="O1961" s="434">
        <f>-SUM(TrialBalanceB!I6:I7)</f>
        <v>0</v>
      </c>
      <c r="P1961" s="380"/>
      <c r="Q1961" s="389"/>
      <c r="R1961" s="416" t="str">
        <f>IF(R1949="DELETE","DELETE",IF(O1961=0,IF(O1963=0," ","DELETE")," "))</f>
        <v>DELETE</v>
      </c>
      <c r="S1961" s="421">
        <f>O1961</f>
        <v>0</v>
      </c>
      <c r="T1961" s="425"/>
      <c r="U1961" s="421"/>
      <c r="V1961" s="421"/>
    </row>
    <row r="1962" spans="2:22" ht="31.5" customHeight="1" x14ac:dyDescent="0.45">
      <c r="B1962" s="388"/>
      <c r="C1962" s="369"/>
      <c r="J1962" s="370"/>
      <c r="K1962" s="370"/>
      <c r="L1962" s="372"/>
      <c r="M1962" s="37"/>
      <c r="N1962" s="370"/>
      <c r="O1962" s="434"/>
      <c r="P1962" s="380"/>
      <c r="Q1962" s="389"/>
      <c r="R1962" s="416" t="str">
        <f>R1961</f>
        <v>DELETE</v>
      </c>
      <c r="S1962" s="421"/>
      <c r="T1962" s="425"/>
      <c r="U1962" s="421"/>
      <c r="V1962" s="421"/>
    </row>
    <row r="1963" spans="2:22" ht="31.5" customHeight="1" x14ac:dyDescent="0.45">
      <c r="B1963" s="388"/>
      <c r="C1963" s="369" t="s">
        <v>497</v>
      </c>
      <c r="J1963" s="370"/>
      <c r="K1963" s="370"/>
      <c r="L1963" s="372"/>
      <c r="M1963" s="37"/>
      <c r="N1963" s="370"/>
      <c r="O1963" s="434">
        <f>-TrialBalanceB!I8</f>
        <v>0</v>
      </c>
      <c r="P1963" s="380"/>
      <c r="Q1963" s="389"/>
      <c r="R1963" s="416" t="str">
        <f>IF(R1949="DELETE","DELETE",IF(O1963=0,"DELETE"," "))</f>
        <v>DELETE</v>
      </c>
      <c r="S1963" s="421">
        <f>O1963</f>
        <v>0</v>
      </c>
      <c r="T1963" s="425"/>
      <c r="U1963" s="421"/>
      <c r="V1963" s="421"/>
    </row>
    <row r="1964" spans="2:22" ht="31.5" customHeight="1" x14ac:dyDescent="0.45">
      <c r="B1964" s="388"/>
      <c r="C1964" s="369"/>
      <c r="J1964" s="370"/>
      <c r="K1964" s="370"/>
      <c r="L1964" s="372"/>
      <c r="M1964" s="37"/>
      <c r="N1964" s="370"/>
      <c r="O1964" s="434"/>
      <c r="P1964" s="380"/>
      <c r="Q1964" s="389"/>
      <c r="R1964" s="416" t="str">
        <f>R1963</f>
        <v>DELETE</v>
      </c>
      <c r="T1964" s="425"/>
    </row>
    <row r="1965" spans="2:22" ht="31.5" customHeight="1" x14ac:dyDescent="0.45">
      <c r="B1965" s="388"/>
      <c r="C1965" s="369" t="s">
        <v>275</v>
      </c>
      <c r="J1965" s="370"/>
      <c r="K1965" s="370"/>
      <c r="L1965" s="372"/>
      <c r="M1965" s="37"/>
      <c r="N1965" s="370"/>
      <c r="O1965" s="434">
        <f>SUM(O1968:O1975)</f>
        <v>0</v>
      </c>
      <c r="P1965" s="380"/>
      <c r="Q1965" s="389"/>
      <c r="R1965" s="416" t="str">
        <f>IF(R$1949="DELETE","DELETE",IF(O1965=0,"DELETE"," "))</f>
        <v>DELETE</v>
      </c>
      <c r="S1965" s="421">
        <f>-O1965</f>
        <v>0</v>
      </c>
      <c r="T1965" s="425"/>
      <c r="U1965" s="421"/>
      <c r="V1965" s="421"/>
    </row>
    <row r="1966" spans="2:22" ht="9" customHeight="1" x14ac:dyDescent="0.45">
      <c r="B1966" s="388"/>
      <c r="C1966" s="369"/>
      <c r="J1966" s="370"/>
      <c r="K1966" s="370"/>
      <c r="L1966" s="372"/>
      <c r="M1966" s="37"/>
      <c r="N1966" s="370"/>
      <c r="O1966" s="434"/>
      <c r="P1966" s="380"/>
      <c r="Q1966" s="389"/>
      <c r="R1966" s="416" t="str">
        <f>R1965</f>
        <v>DELETE</v>
      </c>
      <c r="T1966" s="425"/>
    </row>
    <row r="1967" spans="2:22" ht="9" customHeight="1" x14ac:dyDescent="0.45">
      <c r="B1967" s="388"/>
      <c r="C1967" s="369"/>
      <c r="J1967" s="370"/>
      <c r="K1967" s="370"/>
      <c r="L1967" s="372"/>
      <c r="M1967" s="37"/>
      <c r="N1967" s="370"/>
      <c r="O1967" s="455"/>
      <c r="P1967" s="380"/>
      <c r="Q1967" s="389"/>
      <c r="R1967" s="416" t="str">
        <f>R1966</f>
        <v>DELETE</v>
      </c>
      <c r="T1967" s="425"/>
    </row>
    <row r="1968" spans="2:22" ht="31.5" customHeight="1" x14ac:dyDescent="0.45">
      <c r="B1968" s="388"/>
      <c r="C1968" s="369"/>
      <c r="D1968" s="368" t="s">
        <v>499</v>
      </c>
      <c r="J1968" s="370"/>
      <c r="K1968" s="370"/>
      <c r="L1968" s="372"/>
      <c r="M1968" s="37"/>
      <c r="N1968" s="370"/>
      <c r="O1968" s="456">
        <f>SUM(TrialBalanceB!I10:I13)</f>
        <v>0</v>
      </c>
      <c r="P1968" s="380"/>
      <c r="Q1968" s="389"/>
      <c r="R1968" s="416" t="str">
        <f t="shared" ref="R1968:R1975" si="160">IF(R$1949="DELETE","DELETE",IF(O1968=0,"DELETE"," "))</f>
        <v>DELETE</v>
      </c>
      <c r="T1968" s="425"/>
    </row>
    <row r="1969" spans="2:20" ht="31.5" customHeight="1" x14ac:dyDescent="0.45">
      <c r="B1969" s="388"/>
      <c r="C1969" s="369"/>
      <c r="D1969" s="368" t="s">
        <v>276</v>
      </c>
      <c r="J1969" s="370"/>
      <c r="K1969" s="370"/>
      <c r="L1969" s="372"/>
      <c r="M1969" s="37"/>
      <c r="N1969" s="370"/>
      <c r="O1969" s="456">
        <f>TrialBalanceB!I14</f>
        <v>0</v>
      </c>
      <c r="P1969" s="380"/>
      <c r="Q1969" s="389"/>
      <c r="R1969" s="416" t="str">
        <f t="shared" si="160"/>
        <v>DELETE</v>
      </c>
      <c r="T1969" s="425"/>
    </row>
    <row r="1970" spans="2:20" ht="31.5" customHeight="1" x14ac:dyDescent="0.45">
      <c r="B1970" s="388"/>
      <c r="C1970" s="369"/>
      <c r="D1970" s="368">
        <f>TrialBalanceB!C15</f>
        <v>0</v>
      </c>
      <c r="J1970" s="370"/>
      <c r="K1970" s="370"/>
      <c r="L1970" s="372"/>
      <c r="M1970" s="37"/>
      <c r="N1970" s="370"/>
      <c r="O1970" s="456">
        <f>TrialBalanceB!I15</f>
        <v>0</v>
      </c>
      <c r="P1970" s="380"/>
      <c r="Q1970" s="389"/>
      <c r="R1970" s="416" t="str">
        <f t="shared" si="160"/>
        <v>DELETE</v>
      </c>
      <c r="T1970" s="425"/>
    </row>
    <row r="1971" spans="2:20" ht="31.5" customHeight="1" x14ac:dyDescent="0.45">
      <c r="B1971" s="388"/>
      <c r="C1971" s="369"/>
      <c r="D1971" s="368">
        <f>TrialBalanceB!C16</f>
        <v>0</v>
      </c>
      <c r="J1971" s="370"/>
      <c r="K1971" s="370"/>
      <c r="L1971" s="372"/>
      <c r="M1971" s="37"/>
      <c r="N1971" s="370"/>
      <c r="O1971" s="456">
        <f>TrialBalanceB!I16</f>
        <v>0</v>
      </c>
      <c r="P1971" s="380"/>
      <c r="Q1971" s="389"/>
      <c r="R1971" s="416" t="str">
        <f t="shared" si="160"/>
        <v>DELETE</v>
      </c>
      <c r="T1971" s="425"/>
    </row>
    <row r="1972" spans="2:20" ht="31.5" customHeight="1" x14ac:dyDescent="0.45">
      <c r="B1972" s="388"/>
      <c r="C1972" s="369"/>
      <c r="D1972" s="368">
        <f>TrialBalanceB!C17</f>
        <v>0</v>
      </c>
      <c r="J1972" s="370"/>
      <c r="K1972" s="370"/>
      <c r="L1972" s="372"/>
      <c r="M1972" s="37"/>
      <c r="N1972" s="370"/>
      <c r="O1972" s="456">
        <f>TrialBalanceB!I17</f>
        <v>0</v>
      </c>
      <c r="P1972" s="380"/>
      <c r="Q1972" s="389"/>
      <c r="R1972" s="416" t="str">
        <f t="shared" si="160"/>
        <v>DELETE</v>
      </c>
      <c r="T1972" s="425"/>
    </row>
    <row r="1973" spans="2:20" ht="31.5" customHeight="1" x14ac:dyDescent="0.45">
      <c r="B1973" s="388"/>
      <c r="C1973" s="369"/>
      <c r="D1973" s="368">
        <f>TrialBalanceB!C18</f>
        <v>0</v>
      </c>
      <c r="J1973" s="370"/>
      <c r="K1973" s="370"/>
      <c r="L1973" s="372"/>
      <c r="M1973" s="37"/>
      <c r="N1973" s="370"/>
      <c r="O1973" s="456">
        <f>TrialBalanceB!I18</f>
        <v>0</v>
      </c>
      <c r="P1973" s="380"/>
      <c r="Q1973" s="389"/>
      <c r="R1973" s="416" t="str">
        <f t="shared" si="160"/>
        <v>DELETE</v>
      </c>
      <c r="T1973" s="425"/>
    </row>
    <row r="1974" spans="2:20" ht="31.5" customHeight="1" x14ac:dyDescent="0.45">
      <c r="B1974" s="388"/>
      <c r="C1974" s="369"/>
      <c r="D1974" s="368">
        <f>TrialBalanceB!C19</f>
        <v>0</v>
      </c>
      <c r="J1974" s="370"/>
      <c r="K1974" s="370"/>
      <c r="L1974" s="372"/>
      <c r="M1974" s="37"/>
      <c r="N1974" s="370"/>
      <c r="O1974" s="456">
        <f>TrialBalanceB!I19</f>
        <v>0</v>
      </c>
      <c r="P1974" s="380"/>
      <c r="Q1974" s="389"/>
      <c r="R1974" s="416" t="str">
        <f t="shared" si="160"/>
        <v>DELETE</v>
      </c>
      <c r="T1974" s="425"/>
    </row>
    <row r="1975" spans="2:20" ht="31.5" customHeight="1" x14ac:dyDescent="0.45">
      <c r="B1975" s="388"/>
      <c r="C1975" s="369"/>
      <c r="D1975" s="368" t="s">
        <v>500</v>
      </c>
      <c r="J1975" s="370"/>
      <c r="K1975" s="370"/>
      <c r="L1975" s="372"/>
      <c r="M1975" s="37"/>
      <c r="N1975" s="370"/>
      <c r="O1975" s="456">
        <f>SUM(TrialBalanceB!I20:I23)</f>
        <v>0</v>
      </c>
      <c r="P1975" s="380"/>
      <c r="Q1975" s="389"/>
      <c r="R1975" s="416" t="str">
        <f t="shared" si="160"/>
        <v>DELETE</v>
      </c>
      <c r="T1975" s="425"/>
    </row>
    <row r="1976" spans="2:20" ht="9" customHeight="1" x14ac:dyDescent="0.45">
      <c r="B1976" s="388"/>
      <c r="C1976" s="369"/>
      <c r="J1976" s="370"/>
      <c r="K1976" s="370"/>
      <c r="L1976" s="372"/>
      <c r="M1976" s="37"/>
      <c r="N1976" s="370"/>
      <c r="O1976" s="457"/>
      <c r="P1976" s="380"/>
      <c r="Q1976" s="389"/>
      <c r="R1976" s="416" t="str">
        <f>R1965</f>
        <v>DELETE</v>
      </c>
      <c r="T1976" s="425"/>
    </row>
    <row r="1977" spans="2:20" ht="9" customHeight="1" x14ac:dyDescent="0.45">
      <c r="B1977" s="388"/>
      <c r="C1977" s="369"/>
      <c r="J1977" s="370"/>
      <c r="K1977" s="370"/>
      <c r="L1977" s="372"/>
      <c r="M1977" s="37"/>
      <c r="N1977" s="370"/>
      <c r="O1977" s="438"/>
      <c r="P1977" s="380"/>
      <c r="Q1977" s="389"/>
      <c r="R1977" s="416" t="str">
        <f>R1965</f>
        <v>DELETE</v>
      </c>
      <c r="T1977" s="425"/>
    </row>
    <row r="1978" spans="2:20" ht="9" customHeight="1" x14ac:dyDescent="0.45">
      <c r="B1978" s="388"/>
      <c r="C1978" s="369"/>
      <c r="J1978" s="370"/>
      <c r="K1978" s="370"/>
      <c r="L1978" s="372"/>
      <c r="M1978" s="37"/>
      <c r="N1978" s="370"/>
      <c r="O1978" s="434"/>
      <c r="P1978" s="380"/>
      <c r="Q1978" s="389"/>
      <c r="R1978" s="416" t="str">
        <f>R1977</f>
        <v>DELETE</v>
      </c>
      <c r="T1978" s="425"/>
    </row>
    <row r="1979" spans="2:20" ht="31.5" customHeight="1" x14ac:dyDescent="0.45">
      <c r="B1979" s="388"/>
      <c r="C1979" s="411" t="str">
        <f>IF(O1979&lt;0,"GROSS LOSS","GROSS PROFIT")</f>
        <v>GROSS PROFIT</v>
      </c>
      <c r="J1979" s="370"/>
      <c r="K1979" s="370"/>
      <c r="L1979" s="372"/>
      <c r="M1979" s="37"/>
      <c r="N1979" s="370"/>
      <c r="O1979" s="434">
        <f>SUM(S1961:S1976)</f>
        <v>0</v>
      </c>
      <c r="P1979" s="380"/>
      <c r="Q1979" s="389"/>
      <c r="R1979" s="416" t="str">
        <f>R1978</f>
        <v>DELETE</v>
      </c>
      <c r="T1979" s="425"/>
    </row>
    <row r="1980" spans="2:20" ht="31.5" customHeight="1" x14ac:dyDescent="0.45">
      <c r="B1980" s="388"/>
      <c r="C1980" s="369"/>
      <c r="J1980" s="370"/>
      <c r="K1980" s="370"/>
      <c r="L1980" s="372"/>
      <c r="M1980" s="37"/>
      <c r="N1980" s="370"/>
      <c r="O1980" s="434"/>
      <c r="P1980" s="380"/>
      <c r="Q1980" s="389"/>
      <c r="R1980" s="416" t="str">
        <f>R1979</f>
        <v>DELETE</v>
      </c>
      <c r="T1980" s="425"/>
    </row>
    <row r="1981" spans="2:20" ht="31.5" customHeight="1" x14ac:dyDescent="0.45">
      <c r="B1981" s="388"/>
      <c r="C1981" s="369" t="s">
        <v>319</v>
      </c>
      <c r="J1981" s="370"/>
      <c r="K1981" s="370"/>
      <c r="L1981" s="372"/>
      <c r="M1981" s="37"/>
      <c r="N1981" s="370"/>
      <c r="O1981" s="434">
        <f>SUM(O1983:O1990)</f>
        <v>0</v>
      </c>
      <c r="P1981" s="380"/>
      <c r="Q1981" s="389"/>
      <c r="R1981" s="416" t="str">
        <f t="shared" ref="R1981" si="161">IF(R$1949="DELETE","DELETE",IF(O1981=0,"DELETE"," "))</f>
        <v>DELETE</v>
      </c>
      <c r="S1981" s="421">
        <f>O1981</f>
        <v>0</v>
      </c>
      <c r="T1981" s="425"/>
    </row>
    <row r="1982" spans="2:20" ht="9" customHeight="1" x14ac:dyDescent="0.45">
      <c r="B1982" s="388"/>
      <c r="C1982" s="369"/>
      <c r="J1982" s="370"/>
      <c r="K1982" s="370"/>
      <c r="L1982" s="372"/>
      <c r="M1982" s="37"/>
      <c r="N1982" s="370"/>
      <c r="O1982" s="434"/>
      <c r="P1982" s="380"/>
      <c r="Q1982" s="389"/>
      <c r="R1982" s="416" t="str">
        <f>R1981</f>
        <v>DELETE</v>
      </c>
      <c r="T1982" s="425"/>
    </row>
    <row r="1983" spans="2:20" ht="9" customHeight="1" x14ac:dyDescent="0.45">
      <c r="B1983" s="388"/>
      <c r="C1983" s="369"/>
      <c r="J1983" s="370"/>
      <c r="K1983" s="370"/>
      <c r="L1983" s="372"/>
      <c r="M1983" s="37"/>
      <c r="N1983" s="370"/>
      <c r="O1983" s="455"/>
      <c r="P1983" s="380"/>
      <c r="Q1983" s="389"/>
      <c r="R1983" s="416" t="str">
        <f>R1981</f>
        <v>DELETE</v>
      </c>
      <c r="T1983" s="425"/>
    </row>
    <row r="1984" spans="2:20" ht="31.5" customHeight="1" x14ac:dyDescent="0.45">
      <c r="B1984" s="388"/>
      <c r="C1984" s="369"/>
      <c r="D1984" s="368" t="str">
        <f>TrialBalanceB!C25</f>
        <v>Insurance claims - Surf Shop</v>
      </c>
      <c r="J1984" s="370"/>
      <c r="K1984" s="370"/>
      <c r="L1984" s="372"/>
      <c r="M1984" s="37"/>
      <c r="N1984" s="370"/>
      <c r="O1984" s="456">
        <f>-TrialBalanceB!I25</f>
        <v>0</v>
      </c>
      <c r="P1984" s="380"/>
      <c r="Q1984" s="389"/>
      <c r="R1984" s="416" t="str">
        <f t="shared" ref="R1984:R1988" si="162">IF(R$1949="DELETE","DELETE",IF(O1984=0,"DELETE"," "))</f>
        <v>DELETE</v>
      </c>
      <c r="T1984" s="425"/>
    </row>
    <row r="1985" spans="2:22" ht="31.5" customHeight="1" x14ac:dyDescent="0.45">
      <c r="B1985" s="388"/>
      <c r="C1985" s="369"/>
      <c r="D1985" s="368" t="str">
        <f>TrialBalanceB!C26</f>
        <v>Government grants received</v>
      </c>
      <c r="J1985" s="370"/>
      <c r="K1985" s="370"/>
      <c r="L1985" s="372"/>
      <c r="M1985" s="37"/>
      <c r="N1985" s="370"/>
      <c r="O1985" s="456">
        <f>-TrialBalanceB!I26</f>
        <v>0</v>
      </c>
      <c r="P1985" s="380"/>
      <c r="Q1985" s="389"/>
      <c r="R1985" s="416" t="str">
        <f t="shared" si="162"/>
        <v>DELETE</v>
      </c>
      <c r="T1985" s="425"/>
    </row>
    <row r="1986" spans="2:22" ht="31.5" customHeight="1" x14ac:dyDescent="0.45">
      <c r="B1986" s="388"/>
      <c r="C1986" s="369"/>
      <c r="D1986" s="368">
        <f>TrialBalanceB!C27</f>
        <v>0</v>
      </c>
      <c r="J1986" s="370"/>
      <c r="K1986" s="370"/>
      <c r="L1986" s="372"/>
      <c r="M1986" s="37"/>
      <c r="N1986" s="370"/>
      <c r="O1986" s="456">
        <f>-TrialBalanceB!I27</f>
        <v>0</v>
      </c>
      <c r="P1986" s="380"/>
      <c r="Q1986" s="389"/>
      <c r="R1986" s="416" t="str">
        <f t="shared" si="162"/>
        <v>DELETE</v>
      </c>
      <c r="T1986" s="425"/>
    </row>
    <row r="1987" spans="2:22" ht="31.5" customHeight="1" x14ac:dyDescent="0.45">
      <c r="B1987" s="388"/>
      <c r="C1987" s="369"/>
      <c r="D1987" s="368">
        <f>TrialBalanceB!C28</f>
        <v>0</v>
      </c>
      <c r="J1987" s="370"/>
      <c r="K1987" s="370"/>
      <c r="L1987" s="372"/>
      <c r="M1987" s="37"/>
      <c r="N1987" s="370"/>
      <c r="O1987" s="456">
        <f>-TrialBalanceB!I28</f>
        <v>0</v>
      </c>
      <c r="P1987" s="380"/>
      <c r="Q1987" s="389"/>
      <c r="R1987" s="416" t="str">
        <f t="shared" si="162"/>
        <v>DELETE</v>
      </c>
      <c r="T1987" s="425"/>
    </row>
    <row r="1988" spans="2:22" ht="31.5" customHeight="1" x14ac:dyDescent="0.45">
      <c r="B1988" s="388"/>
      <c r="C1988" s="369"/>
      <c r="D1988" s="368">
        <f>TrialBalanceB!C29</f>
        <v>0</v>
      </c>
      <c r="J1988" s="370"/>
      <c r="K1988" s="370"/>
      <c r="L1988" s="372"/>
      <c r="M1988" s="37"/>
      <c r="N1988" s="370"/>
      <c r="O1988" s="456">
        <f>-TrialBalanceB!I29</f>
        <v>0</v>
      </c>
      <c r="P1988" s="380"/>
      <c r="Q1988" s="389"/>
      <c r="R1988" s="416" t="str">
        <f t="shared" si="162"/>
        <v>DELETE</v>
      </c>
      <c r="T1988" s="425"/>
    </row>
    <row r="1989" spans="2:22" ht="31.5" customHeight="1" x14ac:dyDescent="0.45">
      <c r="B1989" s="388"/>
      <c r="C1989" s="369"/>
      <c r="D1989" s="368" t="str">
        <f>TrialBalanceB!C30</f>
        <v>Recoupment of depreciation</v>
      </c>
      <c r="J1989" s="370"/>
      <c r="K1989" s="370"/>
      <c r="L1989" s="372"/>
      <c r="M1989" s="37"/>
      <c r="N1989" s="370"/>
      <c r="O1989" s="456">
        <f>-TrialBalanceB!I30</f>
        <v>0</v>
      </c>
      <c r="P1989" s="380"/>
      <c r="Q1989" s="389"/>
      <c r="R1989" s="416" t="str">
        <f t="shared" ref="R1989" si="163">IF(R$1949="DELETE","DELETE",IF(O1989=0,"DELETE"," "))</f>
        <v>DELETE</v>
      </c>
      <c r="T1989" s="425"/>
    </row>
    <row r="1990" spans="2:22" ht="9" customHeight="1" x14ac:dyDescent="0.45">
      <c r="B1990" s="388"/>
      <c r="C1990" s="369"/>
      <c r="J1990" s="370"/>
      <c r="K1990" s="370"/>
      <c r="L1990" s="372"/>
      <c r="M1990" s="37"/>
      <c r="N1990" s="370"/>
      <c r="O1990" s="457"/>
      <c r="P1990" s="380"/>
      <c r="Q1990" s="389"/>
      <c r="R1990" s="416" t="str">
        <f>R1981</f>
        <v>DELETE</v>
      </c>
      <c r="T1990" s="425"/>
    </row>
    <row r="1991" spans="2:22" ht="9" customHeight="1" x14ac:dyDescent="0.45">
      <c r="B1991" s="388"/>
      <c r="C1991" s="369"/>
      <c r="J1991" s="370"/>
      <c r="K1991" s="370"/>
      <c r="L1991" s="372"/>
      <c r="M1991" s="37"/>
      <c r="N1991" s="370"/>
      <c r="O1991" s="447"/>
      <c r="P1991" s="380"/>
      <c r="Q1991" s="389"/>
      <c r="R1991" s="416" t="str">
        <f>R1990</f>
        <v>DELETE</v>
      </c>
      <c r="T1991" s="425"/>
    </row>
    <row r="1992" spans="2:22" ht="9" customHeight="1" x14ac:dyDescent="0.45">
      <c r="B1992" s="388"/>
      <c r="C1992" s="369"/>
      <c r="J1992" s="370"/>
      <c r="K1992" s="370"/>
      <c r="L1992" s="372"/>
      <c r="M1992" s="37"/>
      <c r="N1992" s="370"/>
      <c r="O1992" s="434"/>
      <c r="P1992" s="380"/>
      <c r="Q1992" s="389"/>
      <c r="R1992" s="416" t="str">
        <f>R1991</f>
        <v>DELETE</v>
      </c>
      <c r="T1992" s="425"/>
    </row>
    <row r="1993" spans="2:22" ht="31.5" customHeight="1" x14ac:dyDescent="0.45">
      <c r="B1993" s="388"/>
      <c r="C1993" s="369"/>
      <c r="J1993" s="370"/>
      <c r="K1993" s="370"/>
      <c r="L1993" s="372"/>
      <c r="M1993" s="37"/>
      <c r="N1993" s="370"/>
      <c r="O1993" s="434">
        <f>SUM(S1961:S1981)</f>
        <v>0</v>
      </c>
      <c r="P1993" s="380"/>
      <c r="Q1993" s="389"/>
      <c r="R1993" s="416" t="str">
        <f>R1981</f>
        <v>DELETE</v>
      </c>
      <c r="T1993" s="425"/>
    </row>
    <row r="1994" spans="2:22" ht="31.5" customHeight="1" x14ac:dyDescent="0.45">
      <c r="B1994" s="388"/>
      <c r="C1994" s="369"/>
      <c r="J1994" s="370"/>
      <c r="K1994" s="370"/>
      <c r="L1994" s="372"/>
      <c r="M1994" s="37"/>
      <c r="N1994" s="370"/>
      <c r="O1994" s="434"/>
      <c r="P1994" s="380"/>
      <c r="Q1994" s="389"/>
      <c r="R1994" s="416" t="str">
        <f>R1993</f>
        <v>DELETE</v>
      </c>
      <c r="T1994" s="425"/>
    </row>
    <row r="1995" spans="2:22" ht="31.5" customHeight="1" x14ac:dyDescent="0.45">
      <c r="B1995" s="388"/>
      <c r="C1995" s="369" t="s">
        <v>1051</v>
      </c>
      <c r="J1995" s="370"/>
      <c r="K1995" s="370"/>
      <c r="L1995" s="372"/>
      <c r="M1995" s="37"/>
      <c r="N1995" s="370"/>
      <c r="O1995" s="434">
        <f>SUM(O1997:O2025)</f>
        <v>0</v>
      </c>
      <c r="P1995" s="380"/>
      <c r="Q1995" s="389"/>
      <c r="R1995" s="416" t="str">
        <f t="shared" ref="R1995" si="164">IF(R$1949="DELETE","DELETE",IF(O1995=0,"DELETE"," "))</f>
        <v>DELETE</v>
      </c>
      <c r="S1995" s="421">
        <f>-O1995</f>
        <v>0</v>
      </c>
      <c r="T1995" s="425"/>
      <c r="U1995" s="421"/>
      <c r="V1995" s="421"/>
    </row>
    <row r="1996" spans="2:22" ht="9" customHeight="1" x14ac:dyDescent="0.45">
      <c r="B1996" s="388"/>
      <c r="C1996" s="369"/>
      <c r="J1996" s="370"/>
      <c r="K1996" s="370"/>
      <c r="L1996" s="372"/>
      <c r="M1996" s="37"/>
      <c r="N1996" s="370"/>
      <c r="O1996" s="434"/>
      <c r="P1996" s="380"/>
      <c r="Q1996" s="389"/>
      <c r="R1996" s="416" t="str">
        <f>R1995</f>
        <v>DELETE</v>
      </c>
      <c r="T1996" s="425"/>
    </row>
    <row r="1997" spans="2:22" ht="9" customHeight="1" x14ac:dyDescent="0.45">
      <c r="B1997" s="388"/>
      <c r="C1997" s="369"/>
      <c r="J1997" s="370"/>
      <c r="K1997" s="370"/>
      <c r="L1997" s="372"/>
      <c r="M1997" s="37"/>
      <c r="N1997" s="370"/>
      <c r="O1997" s="455"/>
      <c r="P1997" s="380"/>
      <c r="Q1997" s="389"/>
      <c r="R1997" s="416" t="str">
        <f>R1996</f>
        <v>DELETE</v>
      </c>
      <c r="T1997" s="425"/>
    </row>
    <row r="1998" spans="2:22" ht="31.5" customHeight="1" x14ac:dyDescent="0.45">
      <c r="B1998" s="388"/>
      <c r="C1998" s="369"/>
      <c r="D1998" s="368" t="s">
        <v>277</v>
      </c>
      <c r="J1998" s="370"/>
      <c r="K1998" s="370"/>
      <c r="L1998" s="372"/>
      <c r="M1998" s="37"/>
      <c r="N1998" s="370"/>
      <c r="O1998" s="456">
        <f>TrialBalanceB!I37</f>
        <v>0</v>
      </c>
      <c r="P1998" s="380"/>
      <c r="Q1998" s="389"/>
      <c r="R1998" s="416" t="str">
        <f t="shared" ref="R1998:R2024" si="165">IF(R$1949="DELETE","DELETE",IF(O1998=0,"DELETE"," "))</f>
        <v>DELETE</v>
      </c>
      <c r="T1998" s="425"/>
    </row>
    <row r="1999" spans="2:22" ht="31.5" customHeight="1" x14ac:dyDescent="0.45">
      <c r="B1999" s="388"/>
      <c r="C1999" s="369"/>
      <c r="D1999" s="368" t="s">
        <v>703</v>
      </c>
      <c r="J1999" s="370"/>
      <c r="K1999" s="370"/>
      <c r="L1999" s="372"/>
      <c r="M1999" s="37"/>
      <c r="N1999" s="370"/>
      <c r="O1999" s="456">
        <f>TrialBalanceB!I38</f>
        <v>0</v>
      </c>
      <c r="P1999" s="380"/>
      <c r="Q1999" s="389"/>
      <c r="R1999" s="416" t="str">
        <f t="shared" si="165"/>
        <v>DELETE</v>
      </c>
      <c r="T1999" s="425"/>
    </row>
    <row r="2000" spans="2:22" ht="31.5" customHeight="1" x14ac:dyDescent="0.45">
      <c r="B2000" s="388"/>
      <c r="C2000" s="369"/>
      <c r="D2000" s="368" t="s">
        <v>278</v>
      </c>
      <c r="J2000" s="370"/>
      <c r="K2000" s="370"/>
      <c r="L2000" s="372"/>
      <c r="M2000" s="37"/>
      <c r="N2000" s="370"/>
      <c r="O2000" s="456">
        <f>TrialBalanceB!I39</f>
        <v>0</v>
      </c>
      <c r="P2000" s="380"/>
      <c r="Q2000" s="389"/>
      <c r="R2000" s="416" t="str">
        <f t="shared" si="165"/>
        <v>DELETE</v>
      </c>
      <c r="T2000" s="425"/>
    </row>
    <row r="2001" spans="2:22" ht="31.5" customHeight="1" x14ac:dyDescent="0.45">
      <c r="B2001" s="388"/>
      <c r="C2001" s="369"/>
      <c r="D2001" s="368" t="s">
        <v>279</v>
      </c>
      <c r="J2001" s="370"/>
      <c r="K2001" s="370">
        <f>C$745</f>
        <v>6.2999999999999989</v>
      </c>
      <c r="L2001" s="372"/>
      <c r="M2001" s="37"/>
      <c r="N2001" s="370"/>
      <c r="O2001" s="456">
        <f>SUM(TrialBalanceB!I41:I43)</f>
        <v>0</v>
      </c>
      <c r="P2001" s="380"/>
      <c r="Q2001" s="389"/>
      <c r="R2001" s="416" t="str">
        <f t="shared" si="165"/>
        <v>DELETE</v>
      </c>
      <c r="T2001" s="425"/>
    </row>
    <row r="2002" spans="2:22" ht="31.5" customHeight="1" x14ac:dyDescent="0.45">
      <c r="B2002" s="388"/>
      <c r="C2002" s="369"/>
      <c r="D2002" s="368" t="s">
        <v>501</v>
      </c>
      <c r="J2002" s="370"/>
      <c r="K2002" s="370"/>
      <c r="L2002" s="372"/>
      <c r="M2002" s="37"/>
      <c r="N2002" s="370"/>
      <c r="O2002" s="456">
        <f>TrialBalanceB!I44</f>
        <v>0</v>
      </c>
      <c r="P2002" s="380"/>
      <c r="Q2002" s="389"/>
      <c r="R2002" s="416" t="str">
        <f t="shared" si="165"/>
        <v>DELETE</v>
      </c>
      <c r="S2002" s="422"/>
      <c r="T2002" s="425"/>
      <c r="U2002" s="422"/>
      <c r="V2002" s="422"/>
    </row>
    <row r="2003" spans="2:22" ht="31.5" customHeight="1" x14ac:dyDescent="0.45">
      <c r="B2003" s="388"/>
      <c r="C2003" s="369"/>
      <c r="D2003" s="368" t="s">
        <v>733</v>
      </c>
      <c r="J2003" s="370"/>
      <c r="K2003" s="370"/>
      <c r="L2003" s="372"/>
      <c r="M2003" s="37"/>
      <c r="N2003" s="370"/>
      <c r="O2003" s="456">
        <f>TrialBalanceB!I45</f>
        <v>0</v>
      </c>
      <c r="P2003" s="380"/>
      <c r="Q2003" s="389"/>
      <c r="R2003" s="416" t="str">
        <f t="shared" si="165"/>
        <v>DELETE</v>
      </c>
      <c r="T2003" s="425"/>
    </row>
    <row r="2004" spans="2:22" ht="31.5" customHeight="1" x14ac:dyDescent="0.45">
      <c r="B2004" s="388"/>
      <c r="C2004" s="369"/>
      <c r="D2004" s="368" t="s">
        <v>68</v>
      </c>
      <c r="J2004" s="370"/>
      <c r="K2004" s="370"/>
      <c r="L2004" s="372"/>
      <c r="M2004" s="37"/>
      <c r="N2004" s="370"/>
      <c r="O2004" s="456">
        <f>TrialBalanceB!I46</f>
        <v>0</v>
      </c>
      <c r="P2004" s="380"/>
      <c r="Q2004" s="389"/>
      <c r="R2004" s="416" t="str">
        <f t="shared" si="165"/>
        <v>DELETE</v>
      </c>
      <c r="T2004" s="425"/>
    </row>
    <row r="2005" spans="2:22" ht="31.5" customHeight="1" x14ac:dyDescent="0.45">
      <c r="B2005" s="388"/>
      <c r="C2005" s="369"/>
      <c r="D2005" s="368" t="s">
        <v>280</v>
      </c>
      <c r="J2005" s="370"/>
      <c r="K2005" s="370"/>
      <c r="L2005" s="372"/>
      <c r="M2005" s="37"/>
      <c r="N2005" s="370"/>
      <c r="O2005" s="456">
        <f>TrialBalanceB!I47</f>
        <v>0</v>
      </c>
      <c r="P2005" s="380"/>
      <c r="Q2005" s="389"/>
      <c r="R2005" s="416" t="str">
        <f t="shared" si="165"/>
        <v>DELETE</v>
      </c>
      <c r="T2005" s="425"/>
    </row>
    <row r="2006" spans="2:22" ht="31.5" customHeight="1" x14ac:dyDescent="0.45">
      <c r="B2006" s="388"/>
      <c r="C2006" s="369"/>
      <c r="D2006" s="368" t="s">
        <v>518</v>
      </c>
      <c r="J2006" s="370"/>
      <c r="K2006" s="370"/>
      <c r="L2006" s="372"/>
      <c r="M2006" s="37"/>
      <c r="N2006" s="370"/>
      <c r="O2006" s="456">
        <f>SUM(TrialBalanceB!I48:I49)</f>
        <v>0</v>
      </c>
      <c r="P2006" s="380"/>
      <c r="Q2006" s="389"/>
      <c r="R2006" s="416" t="str">
        <f t="shared" si="165"/>
        <v>DELETE</v>
      </c>
      <c r="T2006" s="425"/>
    </row>
    <row r="2007" spans="2:22" ht="31.5" customHeight="1" x14ac:dyDescent="0.45">
      <c r="B2007" s="388"/>
      <c r="C2007" s="369"/>
      <c r="D2007" s="368" t="s">
        <v>516</v>
      </c>
      <c r="J2007" s="370"/>
      <c r="K2007" s="370"/>
      <c r="L2007" s="372"/>
      <c r="M2007" s="37"/>
      <c r="N2007" s="370"/>
      <c r="O2007" s="456">
        <f>TrialBalanceB!I50</f>
        <v>0</v>
      </c>
      <c r="P2007" s="380"/>
      <c r="Q2007" s="389"/>
      <c r="R2007" s="416" t="str">
        <f t="shared" si="165"/>
        <v>DELETE</v>
      </c>
      <c r="T2007" s="425"/>
    </row>
    <row r="2008" spans="2:22" ht="31.5" customHeight="1" x14ac:dyDescent="0.45">
      <c r="B2008" s="388"/>
      <c r="C2008" s="369"/>
      <c r="D2008" s="368" t="s">
        <v>502</v>
      </c>
      <c r="J2008" s="370"/>
      <c r="K2008" s="370"/>
      <c r="L2008" s="372"/>
      <c r="M2008" s="37"/>
      <c r="N2008" s="370"/>
      <c r="O2008" s="456">
        <f>SUM(TrialBalanceB!I52:I56)</f>
        <v>0</v>
      </c>
      <c r="P2008" s="380"/>
      <c r="Q2008" s="389"/>
      <c r="R2008" s="416" t="str">
        <f t="shared" si="165"/>
        <v>DELETE</v>
      </c>
      <c r="T2008" s="425"/>
    </row>
    <row r="2009" spans="2:22" ht="31.5" customHeight="1" x14ac:dyDescent="0.45">
      <c r="B2009" s="388"/>
      <c r="C2009" s="369"/>
      <c r="D2009" s="368" t="s">
        <v>483</v>
      </c>
      <c r="J2009" s="370"/>
      <c r="K2009" s="370">
        <f>'FS2'!C$713</f>
        <v>6.1999999999999993</v>
      </c>
      <c r="L2009" s="372"/>
      <c r="M2009" s="37"/>
      <c r="N2009" s="370"/>
      <c r="O2009" s="456">
        <f>SUM(TrialBalanceB!I58:I60)</f>
        <v>0</v>
      </c>
      <c r="P2009" s="380"/>
      <c r="Q2009" s="389"/>
      <c r="R2009" s="416" t="str">
        <f t="shared" si="165"/>
        <v>DELETE</v>
      </c>
      <c r="T2009" s="425"/>
    </row>
    <row r="2010" spans="2:22" ht="31.5" customHeight="1" x14ac:dyDescent="0.45">
      <c r="B2010" s="388"/>
      <c r="C2010" s="369"/>
      <c r="D2010" s="368" t="s">
        <v>76</v>
      </c>
      <c r="J2010" s="370"/>
      <c r="K2010" s="370"/>
      <c r="L2010" s="372"/>
      <c r="M2010" s="37"/>
      <c r="N2010" s="370"/>
      <c r="O2010" s="456">
        <f>TrialBalanceB!I61</f>
        <v>0</v>
      </c>
      <c r="P2010" s="380"/>
      <c r="Q2010" s="389"/>
      <c r="R2010" s="416" t="str">
        <f t="shared" si="165"/>
        <v>DELETE</v>
      </c>
      <c r="T2010" s="425"/>
    </row>
    <row r="2011" spans="2:22" ht="31.5" customHeight="1" x14ac:dyDescent="0.45">
      <c r="B2011" s="388"/>
      <c r="C2011" s="369"/>
      <c r="D2011" s="368" t="s">
        <v>254</v>
      </c>
      <c r="J2011" s="370"/>
      <c r="K2011" s="370"/>
      <c r="L2011" s="372"/>
      <c r="M2011" s="37"/>
      <c r="N2011" s="370"/>
      <c r="O2011" s="456">
        <f>SUM(TrialBalanceB!I62:I64)</f>
        <v>0</v>
      </c>
      <c r="P2011" s="380"/>
      <c r="Q2011" s="389"/>
      <c r="R2011" s="416" t="str">
        <f t="shared" si="165"/>
        <v>DELETE</v>
      </c>
      <c r="T2011" s="425"/>
    </row>
    <row r="2012" spans="2:22" ht="31.5" customHeight="1" x14ac:dyDescent="0.45">
      <c r="B2012" s="388"/>
      <c r="C2012" s="369"/>
      <c r="D2012" s="368" t="s">
        <v>734</v>
      </c>
      <c r="J2012" s="370"/>
      <c r="K2012" s="370"/>
      <c r="L2012" s="372"/>
      <c r="M2012" s="37"/>
      <c r="N2012" s="370"/>
      <c r="O2012" s="456">
        <f>SUM(TrialBalanceB!I65:I66)</f>
        <v>0</v>
      </c>
      <c r="P2012" s="380"/>
      <c r="Q2012" s="389"/>
      <c r="R2012" s="416" t="str">
        <f t="shared" si="165"/>
        <v>DELETE</v>
      </c>
      <c r="T2012" s="425"/>
    </row>
    <row r="2013" spans="2:22" ht="31.5" customHeight="1" x14ac:dyDescent="0.45">
      <c r="B2013" s="388"/>
      <c r="C2013" s="369"/>
      <c r="D2013" s="368" t="s">
        <v>255</v>
      </c>
      <c r="J2013" s="370"/>
      <c r="K2013" s="370"/>
      <c r="L2013" s="372"/>
      <c r="M2013" s="37"/>
      <c r="N2013" s="370"/>
      <c r="O2013" s="456">
        <f>TrialBalanceB!I67</f>
        <v>0</v>
      </c>
      <c r="P2013" s="380"/>
      <c r="Q2013" s="389"/>
      <c r="R2013" s="416" t="str">
        <f t="shared" si="165"/>
        <v>DELETE</v>
      </c>
      <c r="T2013" s="425"/>
    </row>
    <row r="2014" spans="2:22" ht="31.5" customHeight="1" x14ac:dyDescent="0.45">
      <c r="B2014" s="388"/>
      <c r="C2014" s="369"/>
      <c r="D2014" s="368" t="s">
        <v>392</v>
      </c>
      <c r="J2014" s="370"/>
      <c r="K2014" s="370"/>
      <c r="L2014" s="372"/>
      <c r="M2014" s="37"/>
      <c r="N2014" s="370"/>
      <c r="O2014" s="456">
        <f>TrialBalanceB!I68</f>
        <v>0</v>
      </c>
      <c r="P2014" s="380"/>
      <c r="Q2014" s="389"/>
      <c r="R2014" s="416" t="str">
        <f t="shared" si="165"/>
        <v>DELETE</v>
      </c>
      <c r="T2014" s="425"/>
    </row>
    <row r="2015" spans="2:22" ht="31.5" customHeight="1" x14ac:dyDescent="0.45">
      <c r="B2015" s="388"/>
      <c r="C2015" s="369"/>
      <c r="D2015" s="368">
        <f>TrialBalanceB!C69</f>
        <v>0</v>
      </c>
      <c r="J2015" s="370"/>
      <c r="K2015" s="370"/>
      <c r="L2015" s="372"/>
      <c r="M2015" s="37"/>
      <c r="N2015" s="370"/>
      <c r="O2015" s="456">
        <f>TrialBalanceB!I69</f>
        <v>0</v>
      </c>
      <c r="P2015" s="380"/>
      <c r="Q2015" s="389"/>
      <c r="R2015" s="416" t="str">
        <f t="shared" si="165"/>
        <v>DELETE</v>
      </c>
      <c r="T2015" s="425"/>
    </row>
    <row r="2016" spans="2:22" ht="31.5" customHeight="1" x14ac:dyDescent="0.45">
      <c r="B2016" s="388"/>
      <c r="C2016" s="369"/>
      <c r="D2016" s="368">
        <f>TrialBalanceB!C70</f>
        <v>0</v>
      </c>
      <c r="J2016" s="370"/>
      <c r="K2016" s="370"/>
      <c r="L2016" s="372"/>
      <c r="M2016" s="37"/>
      <c r="N2016" s="370"/>
      <c r="O2016" s="456">
        <f>TrialBalanceB!I70</f>
        <v>0</v>
      </c>
      <c r="P2016" s="380"/>
      <c r="Q2016" s="389"/>
      <c r="R2016" s="416" t="str">
        <f t="shared" si="165"/>
        <v>DELETE</v>
      </c>
      <c r="T2016" s="425"/>
    </row>
    <row r="2017" spans="2:20" ht="31.5" customHeight="1" x14ac:dyDescent="0.45">
      <c r="B2017" s="388"/>
      <c r="C2017" s="369"/>
      <c r="D2017" s="368">
        <f>TrialBalanceB!C71</f>
        <v>0</v>
      </c>
      <c r="J2017" s="370"/>
      <c r="K2017" s="370"/>
      <c r="L2017" s="372"/>
      <c r="M2017" s="37"/>
      <c r="N2017" s="370"/>
      <c r="O2017" s="456">
        <f>TrialBalanceB!I71</f>
        <v>0</v>
      </c>
      <c r="P2017" s="380"/>
      <c r="Q2017" s="389"/>
      <c r="R2017" s="416" t="str">
        <f t="shared" si="165"/>
        <v>DELETE</v>
      </c>
      <c r="T2017" s="425"/>
    </row>
    <row r="2018" spans="2:20" ht="31.5" customHeight="1" x14ac:dyDescent="0.45">
      <c r="B2018" s="388"/>
      <c r="C2018" s="369"/>
      <c r="D2018" s="368">
        <f>TrialBalanceB!C72</f>
        <v>0</v>
      </c>
      <c r="J2018" s="370"/>
      <c r="K2018" s="370"/>
      <c r="L2018" s="372"/>
      <c r="M2018" s="37"/>
      <c r="N2018" s="370"/>
      <c r="O2018" s="456">
        <f>TrialBalanceB!I72</f>
        <v>0</v>
      </c>
      <c r="P2018" s="380"/>
      <c r="Q2018" s="389"/>
      <c r="R2018" s="416" t="str">
        <f t="shared" si="165"/>
        <v>DELETE</v>
      </c>
      <c r="T2018" s="425"/>
    </row>
    <row r="2019" spans="2:20" ht="31.5" customHeight="1" x14ac:dyDescent="0.45">
      <c r="B2019" s="388"/>
      <c r="C2019" s="369"/>
      <c r="D2019" s="368">
        <f>TrialBalanceB!C73</f>
        <v>0</v>
      </c>
      <c r="J2019" s="370"/>
      <c r="K2019" s="370"/>
      <c r="L2019" s="372"/>
      <c r="M2019" s="37"/>
      <c r="N2019" s="370"/>
      <c r="O2019" s="456">
        <f>TrialBalanceB!I73</f>
        <v>0</v>
      </c>
      <c r="P2019" s="380"/>
      <c r="Q2019" s="389"/>
      <c r="R2019" s="416" t="str">
        <f t="shared" si="165"/>
        <v>DELETE</v>
      </c>
      <c r="T2019" s="425"/>
    </row>
    <row r="2020" spans="2:20" ht="31.5" customHeight="1" x14ac:dyDescent="0.45">
      <c r="B2020" s="388"/>
      <c r="C2020" s="369"/>
      <c r="D2020" s="368">
        <f>TrialBalanceB!C74</f>
        <v>0</v>
      </c>
      <c r="J2020" s="370"/>
      <c r="K2020" s="370"/>
      <c r="L2020" s="372"/>
      <c r="M2020" s="37"/>
      <c r="N2020" s="370"/>
      <c r="O2020" s="456">
        <f>TrialBalanceB!I74</f>
        <v>0</v>
      </c>
      <c r="P2020" s="380"/>
      <c r="Q2020" s="389"/>
      <c r="R2020" s="416" t="str">
        <f t="shared" si="165"/>
        <v>DELETE</v>
      </c>
      <c r="T2020" s="425"/>
    </row>
    <row r="2021" spans="2:20" ht="31.5" customHeight="1" x14ac:dyDescent="0.45">
      <c r="B2021" s="388"/>
      <c r="C2021" s="369"/>
      <c r="D2021" s="368">
        <f>TrialBalanceB!C75</f>
        <v>0</v>
      </c>
      <c r="J2021" s="370"/>
      <c r="K2021" s="370"/>
      <c r="L2021" s="372"/>
      <c r="M2021" s="37"/>
      <c r="N2021" s="370"/>
      <c r="O2021" s="456">
        <f>TrialBalanceB!I75</f>
        <v>0</v>
      </c>
      <c r="P2021" s="380"/>
      <c r="Q2021" s="389"/>
      <c r="R2021" s="416" t="str">
        <f t="shared" si="165"/>
        <v>DELETE</v>
      </c>
      <c r="T2021" s="425"/>
    </row>
    <row r="2022" spans="2:20" ht="31.5" customHeight="1" x14ac:dyDescent="0.45">
      <c r="B2022" s="388"/>
      <c r="C2022" s="369"/>
      <c r="D2022" s="368">
        <f>TrialBalanceB!C76</f>
        <v>0</v>
      </c>
      <c r="J2022" s="370"/>
      <c r="K2022" s="370"/>
      <c r="L2022" s="372"/>
      <c r="M2022" s="37"/>
      <c r="N2022" s="370"/>
      <c r="O2022" s="456">
        <f>TrialBalanceB!I76</f>
        <v>0</v>
      </c>
      <c r="P2022" s="380"/>
      <c r="Q2022" s="389"/>
      <c r="R2022" s="416" t="str">
        <f t="shared" si="165"/>
        <v>DELETE</v>
      </c>
      <c r="T2022" s="425"/>
    </row>
    <row r="2023" spans="2:20" ht="31.5" customHeight="1" x14ac:dyDescent="0.45">
      <c r="B2023" s="388"/>
      <c r="C2023" s="369"/>
      <c r="D2023" s="368">
        <f>TrialBalanceB!C77</f>
        <v>0</v>
      </c>
      <c r="J2023" s="370"/>
      <c r="K2023" s="370"/>
      <c r="L2023" s="372"/>
      <c r="M2023" s="37"/>
      <c r="N2023" s="370"/>
      <c r="O2023" s="456">
        <f>TrialBalanceB!I77</f>
        <v>0</v>
      </c>
      <c r="P2023" s="380"/>
      <c r="Q2023" s="389"/>
      <c r="R2023" s="416" t="str">
        <f t="shared" si="165"/>
        <v>DELETE</v>
      </c>
      <c r="T2023" s="425"/>
    </row>
    <row r="2024" spans="2:20" ht="31.5" customHeight="1" x14ac:dyDescent="0.45">
      <c r="B2024" s="388"/>
      <c r="C2024" s="369"/>
      <c r="D2024" s="368">
        <f>TrialBalanceB!C78</f>
        <v>0</v>
      </c>
      <c r="J2024" s="370"/>
      <c r="K2024" s="370"/>
      <c r="L2024" s="372"/>
      <c r="M2024" s="37"/>
      <c r="N2024" s="370"/>
      <c r="O2024" s="456">
        <f>TrialBalanceB!I78</f>
        <v>0</v>
      </c>
      <c r="P2024" s="380"/>
      <c r="Q2024" s="389"/>
      <c r="R2024" s="416" t="str">
        <f t="shared" si="165"/>
        <v>DELETE</v>
      </c>
      <c r="T2024" s="425"/>
    </row>
    <row r="2025" spans="2:20" ht="9" customHeight="1" x14ac:dyDescent="0.45">
      <c r="B2025" s="388"/>
      <c r="C2025" s="369"/>
      <c r="J2025" s="370"/>
      <c r="K2025" s="370"/>
      <c r="L2025" s="372"/>
      <c r="M2025" s="37"/>
      <c r="N2025" s="370"/>
      <c r="O2025" s="457"/>
      <c r="P2025" s="380"/>
      <c r="Q2025" s="389"/>
      <c r="R2025" s="416" t="str">
        <f>R1995</f>
        <v>DELETE</v>
      </c>
      <c r="T2025" s="425"/>
    </row>
    <row r="2026" spans="2:20" ht="9" customHeight="1" x14ac:dyDescent="0.45">
      <c r="B2026" s="388"/>
      <c r="C2026" s="369"/>
      <c r="J2026" s="370"/>
      <c r="K2026" s="370"/>
      <c r="L2026" s="372"/>
      <c r="M2026" s="37"/>
      <c r="N2026" s="370"/>
      <c r="O2026" s="438"/>
      <c r="P2026" s="380"/>
      <c r="Q2026" s="389"/>
      <c r="R2026" s="416" t="str">
        <f t="shared" ref="R2026:R2046" si="166">R$1949</f>
        <v>DELETE</v>
      </c>
      <c r="T2026" s="425"/>
    </row>
    <row r="2027" spans="2:20" ht="9" customHeight="1" x14ac:dyDescent="0.45">
      <c r="B2027" s="388"/>
      <c r="C2027" s="369"/>
      <c r="J2027" s="370"/>
      <c r="K2027" s="370"/>
      <c r="L2027" s="372"/>
      <c r="M2027" s="37"/>
      <c r="N2027" s="370"/>
      <c r="O2027" s="434"/>
      <c r="P2027" s="380"/>
      <c r="Q2027" s="389"/>
      <c r="R2027" s="416" t="str">
        <f t="shared" si="166"/>
        <v>DELETE</v>
      </c>
      <c r="T2027" s="425"/>
    </row>
    <row r="2028" spans="2:20" ht="31.5" customHeight="1" x14ac:dyDescent="0.45">
      <c r="B2028" s="388"/>
      <c r="C2028" s="411" t="str">
        <f>IF(O2028&lt;0,"OPERATING LOSS","OPERATING PROFIT")</f>
        <v>OPERATING PROFIT</v>
      </c>
      <c r="J2028" s="370"/>
      <c r="K2028" s="370"/>
      <c r="L2028" s="372"/>
      <c r="M2028" s="37"/>
      <c r="N2028" s="370"/>
      <c r="O2028" s="434">
        <f>SUM(S1961:S2026)</f>
        <v>0</v>
      </c>
      <c r="P2028" s="380"/>
      <c r="Q2028" s="389"/>
      <c r="R2028" s="416" t="str">
        <f t="shared" si="166"/>
        <v>DELETE</v>
      </c>
      <c r="T2028" s="425"/>
    </row>
    <row r="2029" spans="2:20" ht="31.5" customHeight="1" x14ac:dyDescent="0.45">
      <c r="B2029" s="388"/>
      <c r="C2029" s="369"/>
      <c r="D2029" s="368" t="s">
        <v>257</v>
      </c>
      <c r="J2029" s="370"/>
      <c r="K2029" s="370"/>
      <c r="L2029" s="372"/>
      <c r="M2029" s="37"/>
      <c r="N2029" s="370"/>
      <c r="O2029" s="434"/>
      <c r="P2029" s="380"/>
      <c r="Q2029" s="389"/>
      <c r="R2029" s="416" t="str">
        <f t="shared" si="166"/>
        <v>DELETE</v>
      </c>
      <c r="T2029" s="425"/>
    </row>
    <row r="2030" spans="2:20" ht="31.5" customHeight="1" x14ac:dyDescent="0.45">
      <c r="B2030" s="388"/>
      <c r="C2030" s="369"/>
      <c r="J2030" s="370"/>
      <c r="K2030" s="370"/>
      <c r="L2030" s="370"/>
      <c r="M2030" s="434"/>
      <c r="N2030" s="390"/>
      <c r="O2030" s="434"/>
      <c r="P2030" s="380"/>
      <c r="Q2030" s="389"/>
      <c r="R2030" s="416" t="str">
        <f t="shared" si="166"/>
        <v>DELETE</v>
      </c>
      <c r="T2030" s="425"/>
    </row>
    <row r="2031" spans="2:20" ht="31.5" customHeight="1" x14ac:dyDescent="0.45">
      <c r="B2031" s="388"/>
      <c r="C2031" s="369"/>
      <c r="J2031" s="370"/>
      <c r="K2031" s="370"/>
      <c r="L2031" s="370"/>
      <c r="M2031" s="434"/>
      <c r="N2031" s="390"/>
      <c r="O2031" s="434"/>
      <c r="P2031" s="380"/>
      <c r="Q2031" s="389"/>
      <c r="R2031" s="416" t="str">
        <f t="shared" si="166"/>
        <v>DELETE</v>
      </c>
      <c r="T2031" s="425"/>
    </row>
    <row r="2032" spans="2:20" ht="31.5" customHeight="1" x14ac:dyDescent="0.45">
      <c r="B2032" s="396"/>
      <c r="C2032" s="407"/>
      <c r="D2032" s="383"/>
      <c r="E2032" s="383"/>
      <c r="F2032" s="383"/>
      <c r="G2032" s="383"/>
      <c r="H2032" s="383"/>
      <c r="I2032" s="383"/>
      <c r="J2032" s="403"/>
      <c r="K2032" s="403"/>
      <c r="L2032" s="403"/>
      <c r="M2032" s="438"/>
      <c r="N2032" s="392"/>
      <c r="O2032" s="438"/>
      <c r="P2032" s="404"/>
      <c r="Q2032" s="398"/>
      <c r="R2032" s="416" t="str">
        <f t="shared" si="166"/>
        <v>DELETE</v>
      </c>
      <c r="T2032" s="425"/>
    </row>
    <row r="2033" spans="2:22" ht="31.5" customHeight="1" x14ac:dyDescent="0.45">
      <c r="C2033" s="369"/>
      <c r="J2033" s="370"/>
      <c r="K2033" s="370"/>
      <c r="L2033" s="370"/>
      <c r="M2033" s="434"/>
      <c r="N2033" s="390"/>
      <c r="O2033" s="434"/>
      <c r="P2033" s="380"/>
      <c r="R2033" s="416" t="str">
        <f t="shared" si="166"/>
        <v>DELETE</v>
      </c>
      <c r="T2033" s="425"/>
    </row>
    <row r="2034" spans="2:22" ht="31.5" customHeight="1" x14ac:dyDescent="0.45">
      <c r="C2034" s="369"/>
      <c r="J2034" s="370"/>
      <c r="K2034" s="370"/>
      <c r="L2034" s="370"/>
      <c r="M2034" s="434"/>
      <c r="N2034" s="390"/>
      <c r="O2034" s="434"/>
      <c r="P2034" s="380"/>
      <c r="R2034" s="416" t="str">
        <f t="shared" si="166"/>
        <v>DELETE</v>
      </c>
      <c r="T2034" s="425"/>
    </row>
    <row r="2035" spans="2:22" ht="31.5" customHeight="1" x14ac:dyDescent="0.45">
      <c r="C2035" s="369"/>
      <c r="D2035" s="369" t="str">
        <f>Criteria!E9</f>
        <v>ABC TRUST</v>
      </c>
      <c r="J2035" s="370"/>
      <c r="K2035" s="370"/>
      <c r="L2035" s="370"/>
      <c r="M2035" s="434"/>
      <c r="N2035" s="390"/>
      <c r="O2035" s="434" t="s">
        <v>105</v>
      </c>
      <c r="P2035" s="380"/>
      <c r="Q2035" s="370">
        <f>MAX($Q$1952:Q2034)+1</f>
        <v>2</v>
      </c>
      <c r="R2035" s="416" t="str">
        <f t="shared" si="166"/>
        <v>DELETE</v>
      </c>
      <c r="T2035" s="425"/>
    </row>
    <row r="2036" spans="2:22" ht="31.5" customHeight="1" x14ac:dyDescent="0.45">
      <c r="C2036" s="369"/>
      <c r="D2036" s="369" t="str">
        <f>CONCATENATE("T/A ",Criteria!E15)</f>
        <v>T/A SURF SHOP</v>
      </c>
      <c r="J2036" s="370"/>
      <c r="K2036" s="370"/>
      <c r="L2036" s="370"/>
      <c r="M2036" s="434"/>
      <c r="N2036" s="390"/>
      <c r="O2036" s="434"/>
      <c r="P2036" s="380"/>
      <c r="R2036" s="416" t="str">
        <f t="shared" si="166"/>
        <v>DELETE</v>
      </c>
      <c r="T2036" s="425"/>
    </row>
    <row r="2037" spans="2:22" ht="31.5" customHeight="1" x14ac:dyDescent="0.45">
      <c r="C2037" s="369"/>
      <c r="J2037" s="370"/>
      <c r="K2037" s="370"/>
      <c r="L2037" s="370"/>
      <c r="M2037" s="434"/>
      <c r="N2037" s="390"/>
      <c r="O2037" s="434"/>
      <c r="P2037" s="380"/>
      <c r="R2037" s="416" t="str">
        <f t="shared" si="166"/>
        <v>DELETE</v>
      </c>
      <c r="T2037" s="425"/>
    </row>
    <row r="2038" spans="2:22" ht="31.5" customHeight="1" x14ac:dyDescent="0.45">
      <c r="C2038" s="369"/>
      <c r="D2038" s="369" t="s">
        <v>100</v>
      </c>
      <c r="J2038" s="370"/>
      <c r="K2038" s="370"/>
      <c r="L2038" s="370"/>
      <c r="M2038" s="434"/>
      <c r="N2038" s="390"/>
      <c r="O2038" s="434"/>
      <c r="P2038" s="380"/>
      <c r="R2038" s="416" t="str">
        <f t="shared" si="166"/>
        <v>DELETE</v>
      </c>
      <c r="T2038" s="425"/>
    </row>
    <row r="2039" spans="2:22" ht="31.5" customHeight="1" x14ac:dyDescent="0.45">
      <c r="C2039" s="369"/>
      <c r="D2039" s="369" t="str">
        <f>D1956</f>
        <v>29 FEBRUARY 2024</v>
      </c>
      <c r="H2039" s="368" t="s">
        <v>111</v>
      </c>
      <c r="J2039" s="370"/>
      <c r="K2039" s="370"/>
      <c r="L2039" s="370"/>
      <c r="M2039" s="434"/>
      <c r="N2039" s="390"/>
      <c r="O2039" s="434"/>
      <c r="P2039" s="380"/>
      <c r="R2039" s="416" t="str">
        <f t="shared" si="166"/>
        <v>DELETE</v>
      </c>
      <c r="T2039" s="425"/>
    </row>
    <row r="2040" spans="2:22" ht="31.5" customHeight="1" x14ac:dyDescent="0.45">
      <c r="C2040" s="369"/>
      <c r="J2040" s="370"/>
      <c r="K2040" s="403"/>
      <c r="L2040" s="403"/>
      <c r="M2040" s="438"/>
      <c r="N2040" s="392"/>
      <c r="O2040" s="438"/>
      <c r="P2040" s="380"/>
      <c r="R2040" s="416" t="str">
        <f t="shared" si="166"/>
        <v>DELETE</v>
      </c>
      <c r="T2040" s="425"/>
    </row>
    <row r="2041" spans="2:22" ht="31.5" customHeight="1" x14ac:dyDescent="0.45">
      <c r="B2041" s="385"/>
      <c r="C2041" s="410"/>
      <c r="D2041" s="386"/>
      <c r="E2041" s="386"/>
      <c r="F2041" s="386"/>
      <c r="G2041" s="386"/>
      <c r="H2041" s="386"/>
      <c r="I2041" s="386"/>
      <c r="J2041" s="413"/>
      <c r="M2041" s="479"/>
      <c r="N2041" s="469"/>
      <c r="O2041" s="479"/>
      <c r="P2041" s="406"/>
      <c r="Q2041" s="387"/>
      <c r="R2041" s="416" t="str">
        <f t="shared" si="166"/>
        <v>DELETE</v>
      </c>
      <c r="T2041" s="425"/>
    </row>
    <row r="2042" spans="2:22" ht="31.5" customHeight="1" x14ac:dyDescent="0.45">
      <c r="B2042" s="388"/>
      <c r="C2042" s="369"/>
      <c r="J2042" s="370"/>
      <c r="K2042" s="370"/>
      <c r="L2042" s="372"/>
      <c r="M2042" s="37"/>
      <c r="N2042" s="370"/>
      <c r="O2042" s="430">
        <f>Criteria!E22</f>
        <v>2024</v>
      </c>
      <c r="P2042" s="380"/>
      <c r="Q2042" s="389"/>
      <c r="R2042" s="416" t="str">
        <f t="shared" si="166"/>
        <v>DELETE</v>
      </c>
      <c r="T2042" s="425"/>
    </row>
    <row r="2043" spans="2:22" ht="31.5" customHeight="1" x14ac:dyDescent="0.45">
      <c r="B2043" s="388"/>
      <c r="C2043" s="369"/>
      <c r="J2043" s="370"/>
      <c r="K2043" s="370"/>
      <c r="L2043" s="372"/>
      <c r="M2043" s="37"/>
      <c r="N2043" s="370"/>
      <c r="O2043" s="434"/>
      <c r="P2043" s="380"/>
      <c r="Q2043" s="389"/>
      <c r="R2043" s="416" t="str">
        <f t="shared" si="166"/>
        <v>DELETE</v>
      </c>
      <c r="T2043" s="425"/>
    </row>
    <row r="2044" spans="2:22" ht="31.5" customHeight="1" x14ac:dyDescent="0.45">
      <c r="B2044" s="388"/>
      <c r="C2044" s="411" t="str">
        <f>IF(O2044&lt;0,"OPERATING LOSS","OPERATING PROFIT")</f>
        <v>OPERATING PROFIT</v>
      </c>
      <c r="J2044" s="370"/>
      <c r="K2044" s="370"/>
      <c r="L2044" s="372"/>
      <c r="M2044" s="37"/>
      <c r="N2044" s="370"/>
      <c r="O2044" s="434">
        <f>SUM(S1961:S2025)</f>
        <v>0</v>
      </c>
      <c r="P2044" s="380"/>
      <c r="Q2044" s="389"/>
      <c r="R2044" s="416" t="str">
        <f t="shared" si="166"/>
        <v>DELETE</v>
      </c>
      <c r="T2044" s="425"/>
      <c r="U2044" s="417" t="b">
        <f>O2044=O2028</f>
        <v>1</v>
      </c>
    </row>
    <row r="2045" spans="2:22" ht="31.5" customHeight="1" x14ac:dyDescent="0.45">
      <c r="B2045" s="388"/>
      <c r="C2045" s="369"/>
      <c r="D2045" s="368" t="s">
        <v>258</v>
      </c>
      <c r="J2045" s="370"/>
      <c r="K2045" s="370"/>
      <c r="L2045" s="372"/>
      <c r="M2045" s="37"/>
      <c r="N2045" s="370"/>
      <c r="O2045" s="434"/>
      <c r="P2045" s="380"/>
      <c r="Q2045" s="389"/>
      <c r="R2045" s="416" t="str">
        <f t="shared" si="166"/>
        <v>DELETE</v>
      </c>
      <c r="T2045" s="425"/>
    </row>
    <row r="2046" spans="2:22" ht="31.5" customHeight="1" x14ac:dyDescent="0.45">
      <c r="B2046" s="388"/>
      <c r="C2046" s="369"/>
      <c r="J2046" s="370"/>
      <c r="K2046" s="370"/>
      <c r="L2046" s="372"/>
      <c r="M2046" s="37"/>
      <c r="N2046" s="370"/>
      <c r="O2046" s="434"/>
      <c r="P2046" s="380"/>
      <c r="Q2046" s="389"/>
      <c r="R2046" s="416" t="str">
        <f t="shared" si="166"/>
        <v>DELETE</v>
      </c>
      <c r="T2046" s="425"/>
    </row>
    <row r="2047" spans="2:22" ht="31.5" customHeight="1" x14ac:dyDescent="0.45">
      <c r="B2047" s="388"/>
      <c r="C2047" s="369" t="s">
        <v>1045</v>
      </c>
      <c r="J2047" s="370"/>
      <c r="K2047" s="370"/>
      <c r="L2047" s="372"/>
      <c r="M2047" s="37"/>
      <c r="N2047" s="370"/>
      <c r="O2047" s="434">
        <f>SUM(O2050:O2082)</f>
        <v>0</v>
      </c>
      <c r="P2047" s="380"/>
      <c r="Q2047" s="389"/>
      <c r="R2047" s="416" t="str">
        <f t="shared" ref="R2047" si="167">IF(R$1949="DELETE","DELETE",IF(O2047=0,"DELETE"," "))</f>
        <v>DELETE</v>
      </c>
      <c r="S2047" s="421">
        <f>-O2047</f>
        <v>0</v>
      </c>
      <c r="T2047" s="425"/>
      <c r="U2047" s="421"/>
      <c r="V2047" s="421"/>
    </row>
    <row r="2048" spans="2:22" ht="9" customHeight="1" x14ac:dyDescent="0.45">
      <c r="B2048" s="388"/>
      <c r="C2048" s="369"/>
      <c r="J2048" s="370"/>
      <c r="K2048" s="370"/>
      <c r="L2048" s="372"/>
      <c r="M2048" s="37"/>
      <c r="N2048" s="370"/>
      <c r="O2048" s="434"/>
      <c r="P2048" s="380"/>
      <c r="Q2048" s="389"/>
      <c r="R2048" s="416" t="str">
        <f>R2047</f>
        <v>DELETE</v>
      </c>
      <c r="T2048" s="425"/>
    </row>
    <row r="2049" spans="2:20" ht="9" customHeight="1" x14ac:dyDescent="0.45">
      <c r="B2049" s="388"/>
      <c r="C2049" s="369"/>
      <c r="J2049" s="370"/>
      <c r="K2049" s="370"/>
      <c r="L2049" s="372"/>
      <c r="M2049" s="37"/>
      <c r="N2049" s="370"/>
      <c r="O2049" s="455"/>
      <c r="P2049" s="380"/>
      <c r="Q2049" s="389"/>
      <c r="R2049" s="416" t="str">
        <f>R2048</f>
        <v>DELETE</v>
      </c>
      <c r="T2049" s="425"/>
    </row>
    <row r="2050" spans="2:20" ht="31.5" customHeight="1" x14ac:dyDescent="0.45">
      <c r="B2050" s="388"/>
      <c r="C2050" s="369"/>
      <c r="D2050" s="368" t="s">
        <v>218</v>
      </c>
      <c r="J2050" s="370"/>
      <c r="K2050" s="370"/>
      <c r="L2050" s="372"/>
      <c r="M2050" s="37"/>
      <c r="N2050" s="370"/>
      <c r="O2050" s="456">
        <f>SUM(TrialBalanceB!I85:I88)</f>
        <v>0</v>
      </c>
      <c r="P2050" s="380"/>
      <c r="Q2050" s="389"/>
      <c r="R2050" s="416" t="str">
        <f t="shared" ref="R2050:R2080" si="168">IF(R$1949="DELETE","DELETE",IF(O2050=0,"DELETE"," "))</f>
        <v>DELETE</v>
      </c>
      <c r="T2050" s="425"/>
    </row>
    <row r="2051" spans="2:20" ht="31.5" customHeight="1" x14ac:dyDescent="0.45">
      <c r="B2051" s="388"/>
      <c r="C2051" s="369"/>
      <c r="D2051" s="368" t="s">
        <v>222</v>
      </c>
      <c r="J2051" s="370"/>
      <c r="K2051" s="370"/>
      <c r="L2051" s="372"/>
      <c r="M2051" s="37"/>
      <c r="N2051" s="370"/>
      <c r="O2051" s="456">
        <f>TrialBalanceB!I90</f>
        <v>0</v>
      </c>
      <c r="P2051" s="380"/>
      <c r="Q2051" s="389"/>
      <c r="R2051" s="416" t="str">
        <f>IF(R$1949="DELETE","DELETE",IF(O2051=0,"DELETE"," "))</f>
        <v>DELETE</v>
      </c>
      <c r="T2051" s="425"/>
    </row>
    <row r="2052" spans="2:20" ht="31.5" customHeight="1" x14ac:dyDescent="0.45">
      <c r="B2052" s="388"/>
      <c r="C2052" s="369"/>
      <c r="D2052" s="368" t="s">
        <v>220</v>
      </c>
      <c r="J2052" s="370"/>
      <c r="K2052" s="370"/>
      <c r="L2052" s="372"/>
      <c r="M2052" s="37"/>
      <c r="N2052" s="370"/>
      <c r="O2052" s="456">
        <f>TrialBalanceB!I89</f>
        <v>0</v>
      </c>
      <c r="P2052" s="380"/>
      <c r="Q2052" s="389"/>
      <c r="R2052" s="416" t="str">
        <f>IF(R$1949="DELETE","DELETE",IF(O2052=0,"DELETE"," "))</f>
        <v>DELETE</v>
      </c>
      <c r="T2052" s="425"/>
    </row>
    <row r="2053" spans="2:20" ht="31.5" customHeight="1" x14ac:dyDescent="0.45">
      <c r="B2053" s="388"/>
      <c r="C2053" s="369"/>
      <c r="D2053" s="368" t="s">
        <v>259</v>
      </c>
      <c r="J2053" s="370"/>
      <c r="K2053" s="370"/>
      <c r="L2053" s="372"/>
      <c r="M2053" s="37"/>
      <c r="N2053" s="370"/>
      <c r="O2053" s="456">
        <f>TrialBalanceB!I91</f>
        <v>0</v>
      </c>
      <c r="P2053" s="380"/>
      <c r="Q2053" s="389"/>
      <c r="R2053" s="416" t="str">
        <f t="shared" si="168"/>
        <v>DELETE</v>
      </c>
      <c r="T2053" s="425"/>
    </row>
    <row r="2054" spans="2:20" ht="31.5" customHeight="1" x14ac:dyDescent="0.45">
      <c r="B2054" s="388"/>
      <c r="C2054" s="369"/>
      <c r="D2054" s="368" t="s">
        <v>225</v>
      </c>
      <c r="J2054" s="370"/>
      <c r="K2054" s="370"/>
      <c r="L2054" s="372"/>
      <c r="M2054" s="37"/>
      <c r="N2054" s="370"/>
      <c r="O2054" s="456">
        <f>TrialBalanceB!I92</f>
        <v>0</v>
      </c>
      <c r="P2054" s="380"/>
      <c r="Q2054" s="389"/>
      <c r="R2054" s="416" t="str">
        <f t="shared" si="168"/>
        <v>DELETE</v>
      </c>
      <c r="T2054" s="425"/>
    </row>
    <row r="2055" spans="2:20" ht="31.5" customHeight="1" x14ac:dyDescent="0.45">
      <c r="B2055" s="388"/>
      <c r="C2055" s="369"/>
      <c r="D2055" s="368" t="s">
        <v>735</v>
      </c>
      <c r="J2055" s="370"/>
      <c r="K2055" s="370"/>
      <c r="L2055" s="372"/>
      <c r="M2055" s="37"/>
      <c r="N2055" s="370"/>
      <c r="O2055" s="456">
        <f>TrialBalanceB!I93</f>
        <v>0</v>
      </c>
      <c r="P2055" s="380"/>
      <c r="Q2055" s="389"/>
      <c r="R2055" s="416" t="str">
        <f t="shared" si="168"/>
        <v>DELETE</v>
      </c>
      <c r="T2055" s="425"/>
    </row>
    <row r="2056" spans="2:20" ht="31.5" customHeight="1" x14ac:dyDescent="0.45">
      <c r="B2056" s="388"/>
      <c r="C2056" s="369"/>
      <c r="D2056" s="368" t="s">
        <v>279</v>
      </c>
      <c r="J2056" s="370"/>
      <c r="K2056" s="370">
        <f>C$745</f>
        <v>6.2999999999999989</v>
      </c>
      <c r="L2056" s="372"/>
      <c r="M2056" s="37"/>
      <c r="N2056" s="370"/>
      <c r="O2056" s="456">
        <f>SUM(TrialBalanceB!I95:I96)</f>
        <v>0</v>
      </c>
      <c r="P2056" s="380"/>
      <c r="Q2056" s="389"/>
      <c r="R2056" s="416" t="str">
        <f t="shared" si="168"/>
        <v>DELETE</v>
      </c>
      <c r="T2056" s="425"/>
    </row>
    <row r="2057" spans="2:20" ht="31.5" customHeight="1" x14ac:dyDescent="0.45">
      <c r="B2057" s="388"/>
      <c r="C2057" s="369"/>
      <c r="D2057" s="368" t="s">
        <v>260</v>
      </c>
      <c r="J2057" s="370"/>
      <c r="K2057" s="370"/>
      <c r="L2057" s="372"/>
      <c r="M2057" s="37"/>
      <c r="N2057" s="370"/>
      <c r="O2057" s="456">
        <f>TrialBalanceB!I103</f>
        <v>0</v>
      </c>
      <c r="P2057" s="380"/>
      <c r="Q2057" s="389"/>
      <c r="R2057" s="416" t="str">
        <f t="shared" si="168"/>
        <v>DELETE</v>
      </c>
      <c r="T2057" s="425"/>
    </row>
    <row r="2058" spans="2:20" ht="31.5" customHeight="1" x14ac:dyDescent="0.45">
      <c r="B2058" s="388"/>
      <c r="C2058" s="369"/>
      <c r="D2058" s="368" t="s">
        <v>375</v>
      </c>
      <c r="J2058" s="370"/>
      <c r="K2058" s="370"/>
      <c r="L2058" s="372"/>
      <c r="M2058" s="37"/>
      <c r="N2058" s="370"/>
      <c r="O2058" s="456">
        <f>TrialBalanceB!I104</f>
        <v>0</v>
      </c>
      <c r="P2058" s="380"/>
      <c r="Q2058" s="389"/>
      <c r="R2058" s="416" t="str">
        <f t="shared" si="168"/>
        <v>DELETE</v>
      </c>
      <c r="T2058" s="425"/>
    </row>
    <row r="2059" spans="2:20" ht="31.5" customHeight="1" x14ac:dyDescent="0.45">
      <c r="B2059" s="388"/>
      <c r="C2059" s="369"/>
      <c r="D2059" s="368" t="s">
        <v>326</v>
      </c>
      <c r="J2059" s="370"/>
      <c r="K2059" s="370"/>
      <c r="L2059" s="372"/>
      <c r="M2059" s="37"/>
      <c r="N2059" s="370"/>
      <c r="O2059" s="456">
        <f>TrialBalanceB!I105</f>
        <v>0</v>
      </c>
      <c r="P2059" s="380"/>
      <c r="Q2059" s="389"/>
      <c r="R2059" s="416" t="str">
        <f t="shared" si="168"/>
        <v>DELETE</v>
      </c>
      <c r="T2059" s="425"/>
    </row>
    <row r="2060" spans="2:20" ht="31.5" customHeight="1" x14ac:dyDescent="0.45">
      <c r="B2060" s="388"/>
      <c r="C2060" s="369"/>
      <c r="D2060" s="368" t="s">
        <v>377</v>
      </c>
      <c r="J2060" s="370"/>
      <c r="K2060" s="370"/>
      <c r="L2060" s="372"/>
      <c r="M2060" s="37"/>
      <c r="N2060" s="370"/>
      <c r="O2060" s="456">
        <f>TrialBalanceB!I106</f>
        <v>0</v>
      </c>
      <c r="P2060" s="380"/>
      <c r="Q2060" s="389"/>
      <c r="R2060" s="416" t="str">
        <f t="shared" si="168"/>
        <v>DELETE</v>
      </c>
      <c r="T2060" s="425"/>
    </row>
    <row r="2061" spans="2:20" ht="31.5" customHeight="1" x14ac:dyDescent="0.45">
      <c r="B2061" s="388"/>
      <c r="C2061" s="369"/>
      <c r="D2061" s="368" t="s">
        <v>1081</v>
      </c>
      <c r="J2061" s="370"/>
      <c r="K2061" s="370"/>
      <c r="L2061" s="372"/>
      <c r="M2061" s="37"/>
      <c r="N2061" s="370"/>
      <c r="O2061" s="456">
        <f>IF(TrialBalanceB!I141&gt;0,TrialBalanceB!I141,0)</f>
        <v>0</v>
      </c>
      <c r="P2061" s="380"/>
      <c r="Q2061" s="389"/>
      <c r="R2061" s="416" t="str">
        <f>IF(R$1949="DELETE","DELETE",IF(O2061=0,"DELETE"," "))</f>
        <v>DELETE</v>
      </c>
      <c r="T2061" s="425"/>
    </row>
    <row r="2062" spans="2:20" ht="31.5" customHeight="1" x14ac:dyDescent="0.45">
      <c r="B2062" s="388"/>
      <c r="C2062" s="369"/>
      <c r="D2062" s="368" t="s">
        <v>496</v>
      </c>
      <c r="J2062" s="370"/>
      <c r="K2062" s="370"/>
      <c r="L2062" s="372"/>
      <c r="M2062" s="37"/>
      <c r="N2062" s="370"/>
      <c r="O2062" s="456">
        <f>TrialBalanceB!I107+TrialBalanceB!I108</f>
        <v>0</v>
      </c>
      <c r="P2062" s="380"/>
      <c r="Q2062" s="389"/>
      <c r="R2062" s="416" t="str">
        <f t="shared" si="168"/>
        <v>DELETE</v>
      </c>
      <c r="T2062" s="425"/>
    </row>
    <row r="2063" spans="2:20" ht="31.5" customHeight="1" x14ac:dyDescent="0.45">
      <c r="B2063" s="388"/>
      <c r="C2063" s="369"/>
      <c r="D2063" s="368" t="s">
        <v>519</v>
      </c>
      <c r="J2063" s="370"/>
      <c r="K2063" s="370"/>
      <c r="L2063" s="372"/>
      <c r="M2063" s="37"/>
      <c r="N2063" s="370"/>
      <c r="O2063" s="456">
        <f>IF(TrialBalanceB!I81&gt;0,TrialBalanceB!I81,0)</f>
        <v>0</v>
      </c>
      <c r="P2063" s="380"/>
      <c r="Q2063" s="389"/>
      <c r="R2063" s="416" t="str">
        <f>IF(R$1949="DELETE","DELETE",IF(O2063=0,"DELETE"," "))</f>
        <v>DELETE</v>
      </c>
      <c r="T2063" s="425"/>
    </row>
    <row r="2064" spans="2:20" ht="31.5" customHeight="1" x14ac:dyDescent="0.45">
      <c r="B2064" s="388"/>
      <c r="C2064" s="369"/>
      <c r="D2064" s="368" t="s">
        <v>736</v>
      </c>
      <c r="J2064" s="370"/>
      <c r="K2064" s="370"/>
      <c r="L2064" s="372"/>
      <c r="M2064" s="37"/>
      <c r="N2064" s="370"/>
      <c r="O2064" s="456">
        <f>TrialBalanceB!I109</f>
        <v>0</v>
      </c>
      <c r="P2064" s="380"/>
      <c r="Q2064" s="389"/>
      <c r="R2064" s="416" t="str">
        <f>IF(R$1949="DELETE","DELETE",IF(O2064=0,"DELETE"," "))</f>
        <v>DELETE</v>
      </c>
      <c r="T2064" s="425"/>
    </row>
    <row r="2065" spans="2:20" ht="31.5" customHeight="1" x14ac:dyDescent="0.45">
      <c r="B2065" s="388"/>
      <c r="C2065" s="369"/>
      <c r="D2065" s="368" t="s">
        <v>261</v>
      </c>
      <c r="J2065" s="370"/>
      <c r="K2065" s="370"/>
      <c r="L2065" s="372"/>
      <c r="M2065" s="37"/>
      <c r="N2065" s="370"/>
      <c r="O2065" s="456">
        <f>TrialBalanceB!I110</f>
        <v>0</v>
      </c>
      <c r="P2065" s="380"/>
      <c r="Q2065" s="389"/>
      <c r="R2065" s="416" t="str">
        <f>IF(R$1949="DELETE","DELETE",IF(O2065=0,"DELETE"," "))</f>
        <v>DELETE</v>
      </c>
      <c r="T2065" s="425"/>
    </row>
    <row r="2066" spans="2:20" ht="31.5" customHeight="1" x14ac:dyDescent="0.45">
      <c r="B2066" s="388"/>
      <c r="C2066" s="369"/>
      <c r="D2066" s="368" t="s">
        <v>254</v>
      </c>
      <c r="J2066" s="370"/>
      <c r="K2066" s="370"/>
      <c r="L2066" s="372"/>
      <c r="M2066" s="37"/>
      <c r="N2066" s="370"/>
      <c r="O2066" s="456">
        <f>SUM(TrialBalanceB!I111:I112)</f>
        <v>0</v>
      </c>
      <c r="P2066" s="380"/>
      <c r="Q2066" s="389"/>
      <c r="R2066" s="416" t="str">
        <f t="shared" si="168"/>
        <v>DELETE</v>
      </c>
      <c r="T2066" s="425"/>
    </row>
    <row r="2067" spans="2:20" ht="31.5" customHeight="1" x14ac:dyDescent="0.45">
      <c r="B2067" s="388"/>
      <c r="C2067" s="369"/>
      <c r="D2067" s="368" t="s">
        <v>262</v>
      </c>
      <c r="J2067" s="370"/>
      <c r="K2067" s="370"/>
      <c r="L2067" s="372"/>
      <c r="M2067" s="37"/>
      <c r="N2067" s="370"/>
      <c r="O2067" s="456">
        <f>TrialBalanceB!I113</f>
        <v>0</v>
      </c>
      <c r="P2067" s="380"/>
      <c r="Q2067" s="389"/>
      <c r="R2067" s="416" t="str">
        <f t="shared" si="168"/>
        <v>DELETE</v>
      </c>
      <c r="T2067" s="425"/>
    </row>
    <row r="2068" spans="2:20" ht="31.5" customHeight="1" x14ac:dyDescent="0.45">
      <c r="B2068" s="388"/>
      <c r="C2068" s="369"/>
      <c r="D2068" s="368" t="s">
        <v>737</v>
      </c>
      <c r="J2068" s="370"/>
      <c r="K2068" s="370"/>
      <c r="L2068" s="372"/>
      <c r="M2068" s="37"/>
      <c r="N2068" s="370"/>
      <c r="O2068" s="456">
        <f>TrialBalanceB!I114</f>
        <v>0</v>
      </c>
      <c r="P2068" s="380"/>
      <c r="Q2068" s="389"/>
      <c r="R2068" s="416" t="str">
        <f t="shared" si="168"/>
        <v>DELETE</v>
      </c>
      <c r="T2068" s="425"/>
    </row>
    <row r="2069" spans="2:20" ht="31.5" customHeight="1" x14ac:dyDescent="0.45">
      <c r="B2069" s="388"/>
      <c r="C2069" s="369"/>
      <c r="D2069" s="368" t="s">
        <v>88</v>
      </c>
      <c r="J2069" s="370"/>
      <c r="K2069" s="370"/>
      <c r="L2069" s="372"/>
      <c r="M2069" s="37"/>
      <c r="N2069" s="370"/>
      <c r="O2069" s="456">
        <f>TrialBalanceB!I115</f>
        <v>0</v>
      </c>
      <c r="P2069" s="380"/>
      <c r="Q2069" s="389"/>
      <c r="R2069" s="416" t="str">
        <f t="shared" si="168"/>
        <v>DELETE</v>
      </c>
      <c r="T2069" s="425"/>
    </row>
    <row r="2070" spans="2:20" ht="31.5" customHeight="1" x14ac:dyDescent="0.45">
      <c r="B2070" s="388"/>
      <c r="C2070" s="369"/>
      <c r="D2070" s="368" t="str">
        <f>IF(MAX(Criteria!I38:I42)&gt;1,"Trustees' remuneration","Trustee's remuneration")</f>
        <v>Trustees' remuneration</v>
      </c>
      <c r="J2070" s="370"/>
      <c r="K2070" s="370">
        <f>C$686</f>
        <v>6.1</v>
      </c>
      <c r="L2070" s="372"/>
      <c r="M2070" s="37"/>
      <c r="N2070" s="370"/>
      <c r="O2070" s="456">
        <f>SUM(TrialBalanceB!I98:I102)</f>
        <v>0</v>
      </c>
      <c r="P2070" s="380"/>
      <c r="Q2070" s="389"/>
      <c r="R2070" s="416" t="str">
        <f t="shared" si="168"/>
        <v>DELETE</v>
      </c>
      <c r="T2070" s="425"/>
    </row>
    <row r="2071" spans="2:20" ht="31.5" customHeight="1" x14ac:dyDescent="0.45">
      <c r="B2071" s="388"/>
      <c r="C2071" s="369"/>
      <c r="D2071" s="368">
        <f>TrialBalanceB!C116</f>
        <v>0</v>
      </c>
      <c r="J2071" s="370"/>
      <c r="K2071" s="370"/>
      <c r="L2071" s="372"/>
      <c r="M2071" s="37"/>
      <c r="N2071" s="370"/>
      <c r="O2071" s="456">
        <f>TrialBalanceB!I116</f>
        <v>0</v>
      </c>
      <c r="P2071" s="380"/>
      <c r="Q2071" s="389"/>
      <c r="R2071" s="416" t="str">
        <f t="shared" si="168"/>
        <v>DELETE</v>
      </c>
      <c r="T2071" s="425"/>
    </row>
    <row r="2072" spans="2:20" ht="31.5" customHeight="1" x14ac:dyDescent="0.45">
      <c r="B2072" s="388"/>
      <c r="C2072" s="369"/>
      <c r="D2072" s="368">
        <f>TrialBalanceB!C117</f>
        <v>0</v>
      </c>
      <c r="J2072" s="370"/>
      <c r="K2072" s="370"/>
      <c r="L2072" s="372"/>
      <c r="M2072" s="37"/>
      <c r="N2072" s="370"/>
      <c r="O2072" s="456">
        <f>TrialBalanceB!I117</f>
        <v>0</v>
      </c>
      <c r="P2072" s="380"/>
      <c r="Q2072" s="389"/>
      <c r="R2072" s="416" t="str">
        <f t="shared" si="168"/>
        <v>DELETE</v>
      </c>
      <c r="T2072" s="425"/>
    </row>
    <row r="2073" spans="2:20" ht="31.5" customHeight="1" x14ac:dyDescent="0.45">
      <c r="B2073" s="388"/>
      <c r="C2073" s="369"/>
      <c r="D2073" s="368">
        <f>TrialBalanceB!C118</f>
        <v>0</v>
      </c>
      <c r="J2073" s="370"/>
      <c r="K2073" s="370"/>
      <c r="L2073" s="372"/>
      <c r="M2073" s="37"/>
      <c r="N2073" s="370"/>
      <c r="O2073" s="456">
        <f>TrialBalanceB!I118</f>
        <v>0</v>
      </c>
      <c r="P2073" s="380"/>
      <c r="Q2073" s="389"/>
      <c r="R2073" s="416" t="str">
        <f t="shared" si="168"/>
        <v>DELETE</v>
      </c>
      <c r="T2073" s="425"/>
    </row>
    <row r="2074" spans="2:20" ht="31.5" customHeight="1" x14ac:dyDescent="0.45">
      <c r="B2074" s="388"/>
      <c r="C2074" s="369"/>
      <c r="D2074" s="368">
        <f>TrialBalanceB!C119</f>
        <v>0</v>
      </c>
      <c r="J2074" s="370"/>
      <c r="K2074" s="370"/>
      <c r="L2074" s="372"/>
      <c r="M2074" s="37"/>
      <c r="N2074" s="370"/>
      <c r="O2074" s="456">
        <f>TrialBalanceB!I119</f>
        <v>0</v>
      </c>
      <c r="P2074" s="380"/>
      <c r="Q2074" s="389"/>
      <c r="R2074" s="416" t="str">
        <f t="shared" si="168"/>
        <v>DELETE</v>
      </c>
      <c r="T2074" s="425"/>
    </row>
    <row r="2075" spans="2:20" ht="31.5" customHeight="1" x14ac:dyDescent="0.45">
      <c r="B2075" s="388"/>
      <c r="C2075" s="369"/>
      <c r="D2075" s="368">
        <f>TrialBalanceB!C120</f>
        <v>0</v>
      </c>
      <c r="J2075" s="370"/>
      <c r="K2075" s="370"/>
      <c r="L2075" s="372"/>
      <c r="M2075" s="37"/>
      <c r="N2075" s="370"/>
      <c r="O2075" s="456">
        <f>TrialBalanceB!I120</f>
        <v>0</v>
      </c>
      <c r="P2075" s="380"/>
      <c r="Q2075" s="389"/>
      <c r="R2075" s="416" t="str">
        <f t="shared" si="168"/>
        <v>DELETE</v>
      </c>
      <c r="T2075" s="425"/>
    </row>
    <row r="2076" spans="2:20" ht="31.5" customHeight="1" x14ac:dyDescent="0.45">
      <c r="B2076" s="388"/>
      <c r="C2076" s="369"/>
      <c r="D2076" s="368">
        <f>TrialBalanceB!C121</f>
        <v>0</v>
      </c>
      <c r="J2076" s="370"/>
      <c r="K2076" s="370"/>
      <c r="L2076" s="372"/>
      <c r="M2076" s="37"/>
      <c r="N2076" s="370"/>
      <c r="O2076" s="456">
        <f>TrialBalanceB!I121</f>
        <v>0</v>
      </c>
      <c r="P2076" s="380"/>
      <c r="Q2076" s="389"/>
      <c r="R2076" s="416" t="str">
        <f t="shared" si="168"/>
        <v>DELETE</v>
      </c>
      <c r="T2076" s="425"/>
    </row>
    <row r="2077" spans="2:20" ht="31.5" customHeight="1" x14ac:dyDescent="0.45">
      <c r="B2077" s="388"/>
      <c r="C2077" s="369"/>
      <c r="D2077" s="368">
        <f>TrialBalanceB!C122</f>
        <v>0</v>
      </c>
      <c r="J2077" s="370"/>
      <c r="K2077" s="370"/>
      <c r="L2077" s="372"/>
      <c r="M2077" s="37"/>
      <c r="N2077" s="370"/>
      <c r="O2077" s="456">
        <f>TrialBalanceB!I122</f>
        <v>0</v>
      </c>
      <c r="P2077" s="380"/>
      <c r="Q2077" s="389"/>
      <c r="R2077" s="416" t="str">
        <f t="shared" si="168"/>
        <v>DELETE</v>
      </c>
      <c r="T2077" s="425"/>
    </row>
    <row r="2078" spans="2:20" ht="31.5" customHeight="1" x14ac:dyDescent="0.45">
      <c r="B2078" s="388"/>
      <c r="C2078" s="369"/>
      <c r="D2078" s="368">
        <f>TrialBalanceB!C123</f>
        <v>0</v>
      </c>
      <c r="J2078" s="370"/>
      <c r="K2078" s="370"/>
      <c r="L2078" s="372"/>
      <c r="M2078" s="37"/>
      <c r="N2078" s="370"/>
      <c r="O2078" s="456">
        <f>TrialBalanceB!I123</f>
        <v>0</v>
      </c>
      <c r="P2078" s="380"/>
      <c r="Q2078" s="389"/>
      <c r="R2078" s="416" t="str">
        <f t="shared" si="168"/>
        <v>DELETE</v>
      </c>
      <c r="T2078" s="425"/>
    </row>
    <row r="2079" spans="2:20" ht="31.5" customHeight="1" x14ac:dyDescent="0.45">
      <c r="B2079" s="388"/>
      <c r="C2079" s="369"/>
      <c r="D2079" s="368">
        <f>TrialBalanceB!C124</f>
        <v>0</v>
      </c>
      <c r="J2079" s="370"/>
      <c r="K2079" s="370"/>
      <c r="L2079" s="372"/>
      <c r="M2079" s="37"/>
      <c r="N2079" s="370"/>
      <c r="O2079" s="456">
        <f>TrialBalanceB!I124</f>
        <v>0</v>
      </c>
      <c r="P2079" s="380"/>
      <c r="Q2079" s="389"/>
      <c r="R2079" s="416" t="str">
        <f t="shared" si="168"/>
        <v>DELETE</v>
      </c>
      <c r="T2079" s="425"/>
    </row>
    <row r="2080" spans="2:20" ht="31.5" customHeight="1" x14ac:dyDescent="0.45">
      <c r="B2080" s="388"/>
      <c r="C2080" s="369"/>
      <c r="D2080" s="368" t="str">
        <f>TrialBalanceB!C125</f>
        <v>Amortisation of prepaid lease agreement</v>
      </c>
      <c r="J2080" s="370"/>
      <c r="K2080" s="370"/>
      <c r="L2080" s="372"/>
      <c r="M2080" s="37"/>
      <c r="N2080" s="370"/>
      <c r="O2080" s="456">
        <f>TrialBalanceB!I125</f>
        <v>0</v>
      </c>
      <c r="P2080" s="380"/>
      <c r="Q2080" s="389"/>
      <c r="R2080" s="416" t="str">
        <f t="shared" si="168"/>
        <v>DELETE</v>
      </c>
      <c r="T2080" s="425"/>
    </row>
    <row r="2081" spans="2:22" ht="31.5" customHeight="1" x14ac:dyDescent="0.45">
      <c r="B2081" s="388"/>
      <c r="C2081" s="369"/>
      <c r="D2081" s="368" t="str">
        <f>TrialBalanceB!C126</f>
        <v>Amortisation of goodwill</v>
      </c>
      <c r="J2081" s="370"/>
      <c r="K2081" s="370"/>
      <c r="L2081" s="372"/>
      <c r="M2081" s="37"/>
      <c r="N2081" s="370"/>
      <c r="O2081" s="456">
        <f>TrialBalanceB!I126</f>
        <v>0</v>
      </c>
      <c r="P2081" s="380"/>
      <c r="Q2081" s="389"/>
      <c r="R2081" s="416" t="str">
        <f t="shared" ref="R2081" si="169">IF(R$1949="DELETE","DELETE",IF(O2081=0,"DELETE"," "))</f>
        <v>DELETE</v>
      </c>
      <c r="T2081" s="425"/>
    </row>
    <row r="2082" spans="2:22" ht="9" customHeight="1" x14ac:dyDescent="0.45">
      <c r="B2082" s="388"/>
      <c r="C2082" s="369"/>
      <c r="J2082" s="370"/>
      <c r="K2082" s="370"/>
      <c r="L2082" s="372"/>
      <c r="M2082" s="37"/>
      <c r="N2082" s="370"/>
      <c r="O2082" s="457"/>
      <c r="P2082" s="380"/>
      <c r="Q2082" s="389"/>
      <c r="R2082" s="416" t="str">
        <f>R2047</f>
        <v>DELETE</v>
      </c>
      <c r="T2082" s="425"/>
    </row>
    <row r="2083" spans="2:22" ht="9" customHeight="1" x14ac:dyDescent="0.45">
      <c r="B2083" s="388"/>
      <c r="C2083" s="369"/>
      <c r="J2083" s="370"/>
      <c r="K2083" s="370"/>
      <c r="L2083" s="372"/>
      <c r="M2083" s="37"/>
      <c r="N2083" s="370"/>
      <c r="O2083" s="438"/>
      <c r="P2083" s="380"/>
      <c r="Q2083" s="389"/>
      <c r="R2083" s="416" t="str">
        <f t="shared" ref="R2083:R2086" si="170">R$1949</f>
        <v>DELETE</v>
      </c>
      <c r="T2083" s="425"/>
    </row>
    <row r="2084" spans="2:22" ht="9" customHeight="1" x14ac:dyDescent="0.45">
      <c r="B2084" s="388"/>
      <c r="C2084" s="369"/>
      <c r="J2084" s="370"/>
      <c r="K2084" s="370"/>
      <c r="L2084" s="372"/>
      <c r="M2084" s="37"/>
      <c r="N2084" s="370"/>
      <c r="O2084" s="434"/>
      <c r="P2084" s="380"/>
      <c r="Q2084" s="389"/>
      <c r="R2084" s="416" t="str">
        <f t="shared" si="170"/>
        <v>DELETE</v>
      </c>
      <c r="T2084" s="425"/>
    </row>
    <row r="2085" spans="2:22" ht="31.5" customHeight="1" x14ac:dyDescent="0.45">
      <c r="B2085" s="388"/>
      <c r="C2085" s="411" t="str">
        <f>IF(O2085&lt;0,"OPERATING LOSS FOR THE YEAR","OPERATING PROFIT FOR THE YEAR")</f>
        <v>OPERATING PROFIT FOR THE YEAR</v>
      </c>
      <c r="J2085" s="370"/>
      <c r="K2085" s="370">
        <f>'FS2'!B683</f>
        <v>6</v>
      </c>
      <c r="L2085" s="372"/>
      <c r="M2085" s="37"/>
      <c r="N2085" s="370"/>
      <c r="O2085" s="434">
        <f>SUM(S1961:S2082)</f>
        <v>0</v>
      </c>
      <c r="P2085" s="380"/>
      <c r="Q2085" s="389"/>
      <c r="R2085" s="416" t="str">
        <f t="shared" si="170"/>
        <v>DELETE</v>
      </c>
      <c r="T2085" s="425"/>
    </row>
    <row r="2086" spans="2:22" ht="31.5" customHeight="1" x14ac:dyDescent="0.45">
      <c r="B2086" s="388"/>
      <c r="C2086" s="369"/>
      <c r="J2086" s="370"/>
      <c r="K2086" s="370"/>
      <c r="L2086" s="372"/>
      <c r="M2086" s="37"/>
      <c r="N2086" s="370"/>
      <c r="O2086" s="434"/>
      <c r="P2086" s="380"/>
      <c r="Q2086" s="389"/>
      <c r="R2086" s="416" t="str">
        <f t="shared" si="170"/>
        <v>DELETE</v>
      </c>
      <c r="T2086" s="425"/>
    </row>
    <row r="2087" spans="2:22" ht="31.5" customHeight="1" x14ac:dyDescent="0.45">
      <c r="B2087" s="388"/>
      <c r="C2087" s="369" t="s">
        <v>122</v>
      </c>
      <c r="J2087" s="370"/>
      <c r="K2087" s="370"/>
      <c r="L2087" s="372"/>
      <c r="M2087" s="37"/>
      <c r="N2087" s="370"/>
      <c r="O2087" s="434">
        <f>SUM(O2090:O2094)</f>
        <v>0</v>
      </c>
      <c r="P2087" s="380"/>
      <c r="Q2087" s="389"/>
      <c r="R2087" s="416" t="str">
        <f t="shared" ref="R2087" si="171">IF(R$1949="DELETE","DELETE",IF(O2087=0,"DELETE"," "))</f>
        <v>DELETE</v>
      </c>
      <c r="S2087" s="421">
        <f>O2087</f>
        <v>0</v>
      </c>
      <c r="T2087" s="425"/>
      <c r="U2087" s="421"/>
      <c r="V2087" s="421"/>
    </row>
    <row r="2088" spans="2:22" ht="9" customHeight="1" x14ac:dyDescent="0.45">
      <c r="B2088" s="388"/>
      <c r="C2088" s="369"/>
      <c r="J2088" s="370"/>
      <c r="K2088" s="370"/>
      <c r="L2088" s="372"/>
      <c r="M2088" s="37"/>
      <c r="N2088" s="370"/>
      <c r="O2088" s="434"/>
      <c r="P2088" s="380"/>
      <c r="Q2088" s="389"/>
      <c r="R2088" s="416" t="str">
        <f>R2087</f>
        <v>DELETE</v>
      </c>
      <c r="T2088" s="425"/>
    </row>
    <row r="2089" spans="2:22" ht="9" customHeight="1" x14ac:dyDescent="0.45">
      <c r="B2089" s="388"/>
      <c r="C2089" s="369"/>
      <c r="J2089" s="370"/>
      <c r="K2089" s="370"/>
      <c r="L2089" s="372"/>
      <c r="M2089" s="37"/>
      <c r="N2089" s="370"/>
      <c r="O2089" s="455"/>
      <c r="P2089" s="380"/>
      <c r="Q2089" s="389"/>
      <c r="R2089" s="416" t="str">
        <f>R2088</f>
        <v>DELETE</v>
      </c>
      <c r="T2089" s="425"/>
    </row>
    <row r="2090" spans="2:22" ht="31.5" customHeight="1" x14ac:dyDescent="0.45">
      <c r="B2090" s="388"/>
      <c r="C2090" s="369"/>
      <c r="D2090" s="368" t="s">
        <v>208</v>
      </c>
      <c r="J2090" s="370"/>
      <c r="K2090" s="370"/>
      <c r="L2090" s="372"/>
      <c r="M2090" s="37"/>
      <c r="N2090" s="370"/>
      <c r="O2090" s="456">
        <f>-TrialBalanceB!I82</f>
        <v>0</v>
      </c>
      <c r="P2090" s="380"/>
      <c r="Q2090" s="389"/>
      <c r="R2090" s="416" t="str">
        <f>IF(R$1949="DELETE","DELETE",IF(O2090=0,"DELETE"," "))</f>
        <v>DELETE</v>
      </c>
      <c r="T2090" s="425"/>
    </row>
    <row r="2091" spans="2:22" ht="31.5" customHeight="1" x14ac:dyDescent="0.45">
      <c r="B2091" s="388"/>
      <c r="C2091" s="369"/>
      <c r="D2091" s="368" t="s">
        <v>210</v>
      </c>
      <c r="J2091" s="370"/>
      <c r="K2091" s="370"/>
      <c r="L2091" s="372"/>
      <c r="M2091" s="37"/>
      <c r="N2091" s="370"/>
      <c r="O2091" s="458">
        <f>-SUM(TrialBalanceB!I83)</f>
        <v>0</v>
      </c>
      <c r="P2091" s="380"/>
      <c r="Q2091" s="389"/>
      <c r="R2091" s="416" t="str">
        <f>IF(R$1949="DELETE","DELETE",IF(O2091=0,"DELETE"," "))</f>
        <v>DELETE</v>
      </c>
      <c r="T2091" s="425"/>
    </row>
    <row r="2092" spans="2:22" ht="31.5" customHeight="1" x14ac:dyDescent="0.45">
      <c r="B2092" s="388"/>
      <c r="C2092" s="369"/>
      <c r="D2092" s="368" t="s">
        <v>520</v>
      </c>
      <c r="J2092" s="370"/>
      <c r="K2092" s="370"/>
      <c r="L2092" s="372"/>
      <c r="M2092" s="37"/>
      <c r="N2092" s="370"/>
      <c r="O2092" s="456">
        <f>IF(TrialBalanceB!I81&lt;0,-TrialBalanceB!I81,0)</f>
        <v>0</v>
      </c>
      <c r="P2092" s="380"/>
      <c r="Q2092" s="389"/>
      <c r="R2092" s="416" t="str">
        <f>IF(R$1949="DELETE","DELETE",IF(O2092=0,"DELETE"," "))</f>
        <v>DELETE</v>
      </c>
      <c r="T2092" s="425"/>
    </row>
    <row r="2093" spans="2:22" ht="31.5" customHeight="1" x14ac:dyDescent="0.45">
      <c r="B2093" s="388"/>
      <c r="C2093" s="369"/>
      <c r="D2093" s="368" t="s">
        <v>365</v>
      </c>
      <c r="J2093" s="370"/>
      <c r="K2093" s="370"/>
      <c r="L2093" s="372"/>
      <c r="M2093" s="37"/>
      <c r="N2093" s="370"/>
      <c r="O2093" s="456">
        <f>-TrialBalanceB!I80</f>
        <v>0</v>
      </c>
      <c r="P2093" s="380"/>
      <c r="Q2093" s="389"/>
      <c r="R2093" s="416" t="str">
        <f>IF(R$1949="DELETE","DELETE",IF(O2093=0,"DELETE"," "))</f>
        <v>DELETE</v>
      </c>
      <c r="T2093" s="425"/>
    </row>
    <row r="2094" spans="2:22" ht="9" customHeight="1" x14ac:dyDescent="0.45">
      <c r="B2094" s="388"/>
      <c r="C2094" s="369"/>
      <c r="J2094" s="370"/>
      <c r="K2094" s="370"/>
      <c r="L2094" s="372"/>
      <c r="M2094" s="37"/>
      <c r="N2094" s="370"/>
      <c r="O2094" s="457"/>
      <c r="P2094" s="380"/>
      <c r="Q2094" s="389"/>
      <c r="R2094" s="416" t="str">
        <f>R2087</f>
        <v>DELETE</v>
      </c>
      <c r="T2094" s="425"/>
    </row>
    <row r="2095" spans="2:22" ht="9" customHeight="1" x14ac:dyDescent="0.45">
      <c r="B2095" s="388"/>
      <c r="C2095" s="369"/>
      <c r="J2095" s="370"/>
      <c r="K2095" s="370"/>
      <c r="L2095" s="372"/>
      <c r="M2095" s="37"/>
      <c r="N2095" s="370"/>
      <c r="O2095" s="438"/>
      <c r="P2095" s="380"/>
      <c r="Q2095" s="389"/>
      <c r="R2095" s="416" t="str">
        <f>R2094</f>
        <v>DELETE</v>
      </c>
      <c r="T2095" s="425"/>
    </row>
    <row r="2096" spans="2:22" ht="9" customHeight="1" x14ac:dyDescent="0.45">
      <c r="B2096" s="388"/>
      <c r="C2096" s="369"/>
      <c r="J2096" s="370"/>
      <c r="K2096" s="370"/>
      <c r="L2096" s="372"/>
      <c r="M2096" s="37"/>
      <c r="N2096" s="370"/>
      <c r="O2096" s="434"/>
      <c r="P2096" s="380"/>
      <c r="Q2096" s="389"/>
      <c r="R2096" s="416" t="str">
        <f>R2095</f>
        <v>DELETE</v>
      </c>
      <c r="T2096" s="425"/>
    </row>
    <row r="2097" spans="2:22" ht="31.5" customHeight="1" x14ac:dyDescent="0.45">
      <c r="B2097" s="388"/>
      <c r="C2097" s="369"/>
      <c r="J2097" s="370"/>
      <c r="K2097" s="370"/>
      <c r="L2097" s="372"/>
      <c r="M2097" s="37"/>
      <c r="N2097" s="370"/>
      <c r="O2097" s="434">
        <f>SUM(S1961:S2094)</f>
        <v>0</v>
      </c>
      <c r="P2097" s="380"/>
      <c r="Q2097" s="389"/>
      <c r="R2097" s="416" t="str">
        <f>R2096</f>
        <v>DELETE</v>
      </c>
      <c r="T2097" s="425"/>
    </row>
    <row r="2098" spans="2:22" ht="31.5" customHeight="1" x14ac:dyDescent="0.45">
      <c r="B2098" s="388"/>
      <c r="C2098" s="369"/>
      <c r="J2098" s="370"/>
      <c r="K2098" s="370"/>
      <c r="L2098" s="372"/>
      <c r="M2098" s="37"/>
      <c r="N2098" s="370"/>
      <c r="O2098" s="434"/>
      <c r="P2098" s="380"/>
      <c r="Q2098" s="389"/>
      <c r="R2098" s="416" t="str">
        <f>R2097</f>
        <v>DELETE</v>
      </c>
      <c r="T2098" s="425"/>
    </row>
    <row r="2099" spans="2:22" ht="31.5" customHeight="1" x14ac:dyDescent="0.45">
      <c r="B2099" s="388"/>
      <c r="C2099" s="369" t="s">
        <v>263</v>
      </c>
      <c r="J2099" s="370"/>
      <c r="K2099" s="370">
        <f>'FS2'!B600</f>
        <v>5</v>
      </c>
      <c r="L2099" s="372"/>
      <c r="M2099" s="37"/>
      <c r="N2099" s="370"/>
      <c r="O2099" s="434">
        <f>SUM(TrialBalanceB!I129:I139)</f>
        <v>0</v>
      </c>
      <c r="P2099" s="380"/>
      <c r="Q2099" s="389"/>
      <c r="R2099" s="416" t="str">
        <f t="shared" ref="R2099" si="172">IF(R$1949="DELETE","DELETE",IF(O2099=0,"DELETE"," "))</f>
        <v>DELETE</v>
      </c>
      <c r="S2099" s="421">
        <f>-O2099</f>
        <v>0</v>
      </c>
      <c r="T2099" s="425"/>
      <c r="U2099" s="421"/>
      <c r="V2099" s="421"/>
    </row>
    <row r="2100" spans="2:22" ht="9" customHeight="1" x14ac:dyDescent="0.45">
      <c r="B2100" s="388"/>
      <c r="C2100" s="369"/>
      <c r="J2100" s="370"/>
      <c r="K2100" s="370"/>
      <c r="L2100" s="372"/>
      <c r="M2100" s="37"/>
      <c r="N2100" s="370"/>
      <c r="O2100" s="438"/>
      <c r="P2100" s="380"/>
      <c r="Q2100" s="389"/>
      <c r="R2100" s="416" t="str">
        <f t="shared" ref="R2100:R2108" si="173">R$1949</f>
        <v>DELETE</v>
      </c>
      <c r="T2100" s="425"/>
    </row>
    <row r="2101" spans="2:22" ht="9" customHeight="1" x14ac:dyDescent="0.45">
      <c r="B2101" s="388"/>
      <c r="C2101" s="369"/>
      <c r="J2101" s="370"/>
      <c r="K2101" s="370"/>
      <c r="L2101" s="372"/>
      <c r="M2101" s="37"/>
      <c r="N2101" s="370"/>
      <c r="O2101" s="434"/>
      <c r="P2101" s="380"/>
      <c r="Q2101" s="389"/>
      <c r="R2101" s="416" t="str">
        <f t="shared" si="173"/>
        <v>DELETE</v>
      </c>
      <c r="T2101" s="425"/>
    </row>
    <row r="2102" spans="2:22" ht="31.5" customHeight="1" x14ac:dyDescent="0.45">
      <c r="B2102" s="388"/>
      <c r="C2102" s="411" t="str">
        <f>IF(O2102&lt;0,"LOSS BEFORE TAXATION","PROFIT BEFORE TAXATION")</f>
        <v>PROFIT BEFORE TAXATION</v>
      </c>
      <c r="J2102" s="370"/>
      <c r="K2102" s="370"/>
      <c r="L2102" s="372"/>
      <c r="M2102" s="37"/>
      <c r="N2102" s="370"/>
      <c r="O2102" s="434">
        <f>SUM(S1961:S2101)</f>
        <v>0</v>
      </c>
      <c r="P2102" s="380"/>
      <c r="Q2102" s="389"/>
      <c r="R2102" s="416" t="str">
        <f t="shared" si="173"/>
        <v>DELETE</v>
      </c>
      <c r="T2102" s="425"/>
    </row>
    <row r="2103" spans="2:22" ht="9" customHeight="1" thickBot="1" x14ac:dyDescent="0.5">
      <c r="B2103" s="388"/>
      <c r="C2103" s="369"/>
      <c r="J2103" s="370"/>
      <c r="K2103" s="370"/>
      <c r="L2103" s="372"/>
      <c r="M2103" s="37"/>
      <c r="N2103" s="370"/>
      <c r="O2103" s="439"/>
      <c r="P2103" s="380"/>
      <c r="Q2103" s="389"/>
      <c r="R2103" s="416" t="str">
        <f t="shared" si="173"/>
        <v>DELETE</v>
      </c>
      <c r="T2103" s="425"/>
    </row>
    <row r="2104" spans="2:22" ht="9" customHeight="1" thickTop="1" x14ac:dyDescent="0.45">
      <c r="B2104" s="388"/>
      <c r="C2104" s="369"/>
      <c r="J2104" s="370"/>
      <c r="K2104" s="370"/>
      <c r="L2104" s="372"/>
      <c r="M2104" s="37"/>
      <c r="N2104" s="370"/>
      <c r="O2104" s="434"/>
      <c r="P2104" s="380"/>
      <c r="Q2104" s="389"/>
      <c r="R2104" s="416" t="str">
        <f t="shared" si="173"/>
        <v>DELETE</v>
      </c>
      <c r="T2104" s="425"/>
    </row>
    <row r="2105" spans="2:22" ht="31.5" customHeight="1" x14ac:dyDescent="0.45">
      <c r="B2105" s="388"/>
      <c r="C2105" s="369"/>
      <c r="J2105" s="370"/>
      <c r="K2105" s="370"/>
      <c r="L2105" s="372"/>
      <c r="M2105" s="37"/>
      <c r="N2105" s="370"/>
      <c r="O2105" s="434"/>
      <c r="P2105" s="380"/>
      <c r="Q2105" s="389"/>
      <c r="R2105" s="416" t="str">
        <f t="shared" si="173"/>
        <v>DELETE</v>
      </c>
      <c r="T2105" s="425"/>
    </row>
    <row r="2106" spans="2:22" ht="31.5" customHeight="1" x14ac:dyDescent="0.45">
      <c r="B2106" s="388"/>
      <c r="C2106" s="369"/>
      <c r="J2106" s="370"/>
      <c r="K2106" s="370"/>
      <c r="L2106" s="372"/>
      <c r="M2106" s="37"/>
      <c r="N2106" s="370"/>
      <c r="O2106" s="434"/>
      <c r="P2106" s="380"/>
      <c r="Q2106" s="389"/>
      <c r="R2106" s="416" t="str">
        <f t="shared" si="173"/>
        <v>DELETE</v>
      </c>
      <c r="T2106" s="425"/>
    </row>
    <row r="2107" spans="2:22" ht="31.5" customHeight="1" x14ac:dyDescent="0.45">
      <c r="B2107" s="396"/>
      <c r="C2107" s="383"/>
      <c r="D2107" s="383"/>
      <c r="E2107" s="383"/>
      <c r="F2107" s="383"/>
      <c r="G2107" s="383"/>
      <c r="H2107" s="383"/>
      <c r="I2107" s="383"/>
      <c r="J2107" s="383"/>
      <c r="K2107" s="383"/>
      <c r="L2107" s="383"/>
      <c r="M2107" s="482"/>
      <c r="N2107" s="483"/>
      <c r="O2107" s="482"/>
      <c r="P2107" s="475"/>
      <c r="Q2107" s="398"/>
      <c r="R2107" s="416" t="str">
        <f t="shared" si="173"/>
        <v>DELETE</v>
      </c>
      <c r="T2107" s="425"/>
    </row>
    <row r="2108" spans="2:22" ht="31.5" customHeight="1" x14ac:dyDescent="0.45">
      <c r="M2108" s="479"/>
      <c r="N2108" s="469"/>
      <c r="O2108" s="479"/>
      <c r="R2108" s="416" t="str">
        <f t="shared" si="173"/>
        <v>DELETE</v>
      </c>
      <c r="T2108" s="425"/>
    </row>
    <row r="2109" spans="2:22" ht="31.5" customHeight="1" x14ac:dyDescent="0.45">
      <c r="M2109" s="479"/>
      <c r="N2109" s="469"/>
      <c r="O2109" s="479"/>
      <c r="R2109" s="416" t="str">
        <f>IF(SUM(S2121:S2123)+SUM(S2141:S2148)+SUM(S2247:S2254)+O2262=0,"DELETE"," ")</f>
        <v>DELETE</v>
      </c>
      <c r="U2109" s="420"/>
      <c r="V2109" s="420"/>
    </row>
    <row r="2110" spans="2:22" ht="31.5" customHeight="1" x14ac:dyDescent="0.45">
      <c r="D2110" s="369" t="s">
        <v>619</v>
      </c>
      <c r="M2110" s="479"/>
      <c r="N2110" s="469"/>
      <c r="O2110" s="479"/>
      <c r="R2110" s="416" t="str">
        <f>R$2109</f>
        <v>DELETE</v>
      </c>
      <c r="U2110" s="419"/>
    </row>
    <row r="2111" spans="2:22" ht="31.5" customHeight="1" x14ac:dyDescent="0.45">
      <c r="M2111" s="479"/>
      <c r="N2111" s="469"/>
      <c r="O2111" s="479"/>
      <c r="R2111" s="416" t="str">
        <f t="shared" ref="R2111:R2120" si="174">R$2109</f>
        <v>DELETE</v>
      </c>
    </row>
    <row r="2112" spans="2:22" ht="31.5" customHeight="1" x14ac:dyDescent="0.45">
      <c r="D2112" s="369" t="str">
        <f>Criteria!E9</f>
        <v>ABC TRUST</v>
      </c>
      <c r="M2112" s="479"/>
      <c r="N2112" s="469"/>
      <c r="O2112" s="434" t="s">
        <v>105</v>
      </c>
      <c r="Q2112" s="370">
        <v>1</v>
      </c>
      <c r="R2112" s="416" t="str">
        <f t="shared" si="174"/>
        <v>DELETE</v>
      </c>
    </row>
    <row r="2113" spans="1:35" ht="31.5" customHeight="1" x14ac:dyDescent="0.45">
      <c r="D2113" s="369" t="str">
        <f>CONCATENATE("T/A ",Criteria!E16)</f>
        <v xml:space="preserve">T/A </v>
      </c>
      <c r="M2113" s="479"/>
      <c r="N2113" s="469"/>
      <c r="O2113" s="479"/>
      <c r="R2113" s="416" t="str">
        <f t="shared" si="174"/>
        <v>DELETE</v>
      </c>
    </row>
    <row r="2114" spans="1:35" ht="31.5" customHeight="1" x14ac:dyDescent="0.45">
      <c r="M2114" s="479"/>
      <c r="N2114" s="469"/>
      <c r="O2114" s="479"/>
      <c r="R2114" s="416" t="str">
        <f t="shared" si="174"/>
        <v>DELETE</v>
      </c>
    </row>
    <row r="2115" spans="1:35" ht="31.5" customHeight="1" x14ac:dyDescent="0.45">
      <c r="D2115" s="369" t="s">
        <v>100</v>
      </c>
      <c r="M2115" s="479"/>
      <c r="N2115" s="469"/>
      <c r="O2115" s="479"/>
      <c r="R2115" s="416" t="str">
        <f t="shared" si="174"/>
        <v>DELETE</v>
      </c>
    </row>
    <row r="2116" spans="1:35" ht="31.5" customHeight="1" x14ac:dyDescent="0.45">
      <c r="D2116" s="369" t="str">
        <f>Criteria!E20</f>
        <v>29 FEBRUARY 2024</v>
      </c>
      <c r="M2116" s="479"/>
      <c r="N2116" s="469"/>
      <c r="O2116" s="479"/>
      <c r="R2116" s="416" t="str">
        <f t="shared" si="174"/>
        <v>DELETE</v>
      </c>
    </row>
    <row r="2117" spans="1:35" ht="31.5" customHeight="1" x14ac:dyDescent="0.45">
      <c r="M2117" s="479"/>
      <c r="N2117" s="469"/>
      <c r="O2117" s="479"/>
      <c r="R2117" s="416" t="str">
        <f t="shared" si="174"/>
        <v>DELETE</v>
      </c>
    </row>
    <row r="2118" spans="1:35" ht="31.5" customHeight="1" x14ac:dyDescent="0.45">
      <c r="B2118" s="385"/>
      <c r="C2118" s="386"/>
      <c r="D2118" s="386"/>
      <c r="E2118" s="386"/>
      <c r="F2118" s="386"/>
      <c r="G2118" s="386"/>
      <c r="H2118" s="386"/>
      <c r="I2118" s="386"/>
      <c r="J2118" s="386"/>
      <c r="K2118" s="386"/>
      <c r="L2118" s="386"/>
      <c r="M2118" s="484"/>
      <c r="N2118" s="485"/>
      <c r="O2118" s="484"/>
      <c r="P2118" s="481"/>
      <c r="Q2118" s="387"/>
      <c r="R2118" s="416" t="str">
        <f t="shared" si="174"/>
        <v>DELETE</v>
      </c>
    </row>
    <row r="2119" spans="1:35" ht="31.5" customHeight="1" x14ac:dyDescent="0.45">
      <c r="B2119" s="388"/>
      <c r="J2119" s="370"/>
      <c r="K2119" s="370" t="s">
        <v>113</v>
      </c>
      <c r="L2119" s="372"/>
      <c r="M2119" s="37"/>
      <c r="N2119" s="370"/>
      <c r="O2119" s="430">
        <f>Criteria!E22</f>
        <v>2024</v>
      </c>
      <c r="P2119" s="380"/>
      <c r="Q2119" s="389"/>
      <c r="R2119" s="416" t="str">
        <f t="shared" si="174"/>
        <v>DELETE</v>
      </c>
    </row>
    <row r="2120" spans="1:35" ht="31.5" customHeight="1" x14ac:dyDescent="0.45">
      <c r="B2120" s="388"/>
      <c r="J2120" s="370"/>
      <c r="K2120" s="370"/>
      <c r="L2120" s="372"/>
      <c r="M2120" s="37"/>
      <c r="N2120" s="370"/>
      <c r="O2120" s="434"/>
      <c r="P2120" s="380"/>
      <c r="Q2120" s="389"/>
      <c r="R2120" s="416" t="str">
        <f t="shared" si="174"/>
        <v>DELETE</v>
      </c>
    </row>
    <row r="2121" spans="1:35" ht="31.5" customHeight="1" x14ac:dyDescent="0.45">
      <c r="B2121" s="388"/>
      <c r="C2121" s="369" t="s">
        <v>1044</v>
      </c>
      <c r="J2121" s="370"/>
      <c r="K2121" s="370"/>
      <c r="L2121" s="372"/>
      <c r="M2121" s="37"/>
      <c r="N2121" s="370"/>
      <c r="O2121" s="434">
        <f>-SUM(TrialBalanceC!I6:I7)</f>
        <v>0</v>
      </c>
      <c r="P2121" s="380"/>
      <c r="Q2121" s="389"/>
      <c r="R2121" s="416" t="str">
        <f>IF(R2109="DELETE","DELETE",IF(O2121=0,IF(O2123=0," ","DELETE")," "))</f>
        <v>DELETE</v>
      </c>
      <c r="S2121" s="421">
        <f>O2121</f>
        <v>0</v>
      </c>
      <c r="T2121" s="421"/>
      <c r="U2121" s="421"/>
      <c r="V2121" s="421"/>
    </row>
    <row r="2122" spans="1:35" ht="31.5" customHeight="1" x14ac:dyDescent="0.45">
      <c r="B2122" s="388"/>
      <c r="C2122" s="369"/>
      <c r="J2122" s="370"/>
      <c r="K2122" s="370"/>
      <c r="L2122" s="372"/>
      <c r="M2122" s="37"/>
      <c r="N2122" s="370"/>
      <c r="O2122" s="434"/>
      <c r="P2122" s="380"/>
      <c r="Q2122" s="389"/>
      <c r="R2122" s="416" t="str">
        <f>R2121</f>
        <v>DELETE</v>
      </c>
      <c r="S2122" s="421"/>
      <c r="T2122" s="421"/>
      <c r="U2122" s="421"/>
      <c r="V2122" s="421"/>
    </row>
    <row r="2123" spans="1:35" s="370" customFormat="1" ht="31.5" customHeight="1" x14ac:dyDescent="0.45">
      <c r="A2123" s="368"/>
      <c r="B2123" s="388"/>
      <c r="C2123" s="369" t="s">
        <v>497</v>
      </c>
      <c r="D2123" s="368"/>
      <c r="E2123" s="368"/>
      <c r="F2123" s="368"/>
      <c r="G2123" s="368"/>
      <c r="H2123" s="368"/>
      <c r="I2123" s="368"/>
      <c r="L2123" s="372"/>
      <c r="M2123" s="37"/>
      <c r="O2123" s="434">
        <f>-TrialBalanceC!I8</f>
        <v>0</v>
      </c>
      <c r="P2123" s="380"/>
      <c r="Q2123" s="389"/>
      <c r="R2123" s="416" t="str">
        <f>IF(R2109="DELETE","DELETE",IF(O2123=0,"DELETE"," "))</f>
        <v>DELETE</v>
      </c>
      <c r="S2123" s="421">
        <f>O2123</f>
        <v>0</v>
      </c>
      <c r="T2123" s="421"/>
      <c r="U2123" s="421"/>
      <c r="V2123" s="421"/>
      <c r="W2123" s="417"/>
      <c r="X2123" s="417"/>
      <c r="Y2123" s="418"/>
      <c r="Z2123" s="418"/>
      <c r="AA2123" s="418"/>
      <c r="AB2123" s="417"/>
      <c r="AC2123" s="417"/>
      <c r="AD2123" s="417"/>
      <c r="AE2123" s="417"/>
      <c r="AF2123" s="417"/>
      <c r="AG2123" s="417"/>
      <c r="AH2123" s="417"/>
      <c r="AI2123" s="417"/>
    </row>
    <row r="2124" spans="1:35" s="370" customFormat="1" ht="31.5" customHeight="1" x14ac:dyDescent="0.45">
      <c r="A2124" s="368"/>
      <c r="B2124" s="388"/>
      <c r="C2124" s="369"/>
      <c r="D2124" s="368"/>
      <c r="E2124" s="368"/>
      <c r="F2124" s="368"/>
      <c r="G2124" s="368"/>
      <c r="H2124" s="368"/>
      <c r="I2124" s="368"/>
      <c r="L2124" s="372"/>
      <c r="M2124" s="37"/>
      <c r="O2124" s="434"/>
      <c r="P2124" s="380"/>
      <c r="Q2124" s="389"/>
      <c r="R2124" s="416" t="str">
        <f>R2123</f>
        <v>DELETE</v>
      </c>
      <c r="S2124" s="417"/>
      <c r="T2124" s="417"/>
      <c r="U2124" s="417"/>
      <c r="V2124" s="417"/>
      <c r="W2124" s="417"/>
      <c r="X2124" s="417"/>
      <c r="Y2124" s="418"/>
      <c r="Z2124" s="418"/>
      <c r="AA2124" s="418"/>
      <c r="AB2124" s="417"/>
      <c r="AC2124" s="417"/>
      <c r="AD2124" s="417"/>
      <c r="AE2124" s="417"/>
      <c r="AF2124" s="417"/>
      <c r="AG2124" s="417"/>
      <c r="AH2124" s="417"/>
      <c r="AI2124" s="417"/>
    </row>
    <row r="2125" spans="1:35" s="370" customFormat="1" ht="31.5" customHeight="1" x14ac:dyDescent="0.45">
      <c r="A2125" s="368"/>
      <c r="B2125" s="388"/>
      <c r="C2125" s="369" t="s">
        <v>275</v>
      </c>
      <c r="D2125" s="368"/>
      <c r="E2125" s="368"/>
      <c r="F2125" s="368"/>
      <c r="G2125" s="368"/>
      <c r="H2125" s="368"/>
      <c r="I2125" s="368"/>
      <c r="L2125" s="372"/>
      <c r="M2125" s="37"/>
      <c r="O2125" s="434">
        <f>SUM(O2128:O2135)</f>
        <v>0</v>
      </c>
      <c r="P2125" s="380"/>
      <c r="Q2125" s="389"/>
      <c r="R2125" s="416" t="str">
        <f>IF(R$2109="DELETE","DELETE",IF(O2125=0,"DELETE"," "))</f>
        <v>DELETE</v>
      </c>
      <c r="S2125" s="421">
        <f>-O2125</f>
        <v>0</v>
      </c>
      <c r="T2125" s="421"/>
      <c r="U2125" s="421"/>
      <c r="V2125" s="421"/>
      <c r="W2125" s="417"/>
      <c r="X2125" s="417"/>
      <c r="Y2125" s="418"/>
      <c r="Z2125" s="418"/>
      <c r="AA2125" s="418"/>
      <c r="AB2125" s="417"/>
      <c r="AC2125" s="417"/>
      <c r="AD2125" s="417"/>
      <c r="AE2125" s="417"/>
      <c r="AF2125" s="417"/>
      <c r="AG2125" s="417"/>
      <c r="AH2125" s="417"/>
      <c r="AI2125" s="417"/>
    </row>
    <row r="2126" spans="1:35" s="370" customFormat="1" ht="9" customHeight="1" x14ac:dyDescent="0.45">
      <c r="A2126" s="368"/>
      <c r="B2126" s="388"/>
      <c r="C2126" s="369"/>
      <c r="D2126" s="368"/>
      <c r="E2126" s="368"/>
      <c r="F2126" s="368"/>
      <c r="G2126" s="368"/>
      <c r="H2126" s="368"/>
      <c r="I2126" s="368"/>
      <c r="L2126" s="372"/>
      <c r="M2126" s="37"/>
      <c r="O2126" s="434"/>
      <c r="P2126" s="380"/>
      <c r="Q2126" s="389"/>
      <c r="R2126" s="416" t="str">
        <f>R2125</f>
        <v>DELETE</v>
      </c>
      <c r="S2126" s="417"/>
      <c r="T2126" s="417"/>
      <c r="U2126" s="417"/>
      <c r="V2126" s="417"/>
      <c r="W2126" s="417"/>
      <c r="X2126" s="417"/>
      <c r="Y2126" s="418"/>
      <c r="Z2126" s="418"/>
      <c r="AA2126" s="418"/>
      <c r="AB2126" s="417"/>
      <c r="AC2126" s="417"/>
      <c r="AD2126" s="417"/>
      <c r="AE2126" s="417"/>
      <c r="AF2126" s="417"/>
      <c r="AG2126" s="417"/>
      <c r="AH2126" s="417"/>
      <c r="AI2126" s="417"/>
    </row>
    <row r="2127" spans="1:35" s="370" customFormat="1" ht="9" customHeight="1" x14ac:dyDescent="0.45">
      <c r="A2127" s="368"/>
      <c r="B2127" s="388"/>
      <c r="C2127" s="369"/>
      <c r="D2127" s="368"/>
      <c r="E2127" s="368"/>
      <c r="F2127" s="368"/>
      <c r="G2127" s="368"/>
      <c r="H2127" s="368"/>
      <c r="I2127" s="368"/>
      <c r="L2127" s="372"/>
      <c r="M2127" s="37"/>
      <c r="O2127" s="455"/>
      <c r="P2127" s="380"/>
      <c r="Q2127" s="389"/>
      <c r="R2127" s="416" t="str">
        <f>R2126</f>
        <v>DELETE</v>
      </c>
      <c r="S2127" s="417"/>
      <c r="T2127" s="417"/>
      <c r="U2127" s="417"/>
      <c r="V2127" s="417"/>
      <c r="W2127" s="417"/>
      <c r="X2127" s="417"/>
      <c r="Y2127" s="418"/>
      <c r="Z2127" s="418"/>
      <c r="AA2127" s="418"/>
      <c r="AB2127" s="417"/>
      <c r="AC2127" s="417"/>
      <c r="AD2127" s="417"/>
      <c r="AE2127" s="417"/>
      <c r="AF2127" s="417"/>
      <c r="AG2127" s="417"/>
      <c r="AH2127" s="417"/>
      <c r="AI2127" s="417"/>
    </row>
    <row r="2128" spans="1:35" s="370" customFormat="1" ht="31.5" customHeight="1" x14ac:dyDescent="0.45">
      <c r="A2128" s="368"/>
      <c r="B2128" s="388"/>
      <c r="C2128" s="369"/>
      <c r="D2128" s="368" t="s">
        <v>499</v>
      </c>
      <c r="E2128" s="368"/>
      <c r="F2128" s="368"/>
      <c r="G2128" s="368"/>
      <c r="H2128" s="368"/>
      <c r="I2128" s="368"/>
      <c r="L2128" s="372"/>
      <c r="M2128" s="37"/>
      <c r="O2128" s="456">
        <f>SUM(TrialBalanceC!I10:I13)</f>
        <v>0</v>
      </c>
      <c r="P2128" s="380"/>
      <c r="Q2128" s="389"/>
      <c r="R2128" s="416" t="str">
        <f t="shared" ref="R2128:R2135" si="175">IF(R$2109="DELETE","DELETE",IF(O2128=0,"DELETE"," "))</f>
        <v>DELETE</v>
      </c>
      <c r="S2128" s="417"/>
      <c r="T2128" s="417"/>
      <c r="U2128" s="417"/>
      <c r="V2128" s="417"/>
      <c r="W2128" s="417"/>
      <c r="X2128" s="417"/>
      <c r="Y2128" s="418"/>
      <c r="Z2128" s="418"/>
      <c r="AA2128" s="418"/>
      <c r="AB2128" s="417"/>
      <c r="AC2128" s="417"/>
      <c r="AD2128" s="417"/>
      <c r="AE2128" s="417"/>
      <c r="AF2128" s="417"/>
      <c r="AG2128" s="417"/>
      <c r="AH2128" s="417"/>
      <c r="AI2128" s="417"/>
    </row>
    <row r="2129" spans="1:35" s="370" customFormat="1" ht="31.5" customHeight="1" x14ac:dyDescent="0.45">
      <c r="A2129" s="368"/>
      <c r="B2129" s="388"/>
      <c r="C2129" s="369"/>
      <c r="D2129" s="368" t="s">
        <v>276</v>
      </c>
      <c r="E2129" s="368"/>
      <c r="F2129" s="368"/>
      <c r="G2129" s="368"/>
      <c r="H2129" s="368"/>
      <c r="I2129" s="368"/>
      <c r="L2129" s="372"/>
      <c r="M2129" s="37"/>
      <c r="O2129" s="456">
        <f>TrialBalanceC!I14</f>
        <v>0</v>
      </c>
      <c r="P2129" s="380"/>
      <c r="Q2129" s="389"/>
      <c r="R2129" s="416" t="str">
        <f t="shared" si="175"/>
        <v>DELETE</v>
      </c>
      <c r="S2129" s="417"/>
      <c r="T2129" s="417"/>
      <c r="U2129" s="417"/>
      <c r="V2129" s="417"/>
      <c r="W2129" s="417"/>
      <c r="X2129" s="417"/>
      <c r="Y2129" s="418"/>
      <c r="Z2129" s="418"/>
      <c r="AA2129" s="418"/>
      <c r="AB2129" s="417"/>
      <c r="AC2129" s="417"/>
      <c r="AD2129" s="417"/>
      <c r="AE2129" s="417"/>
      <c r="AF2129" s="417"/>
      <c r="AG2129" s="417"/>
      <c r="AH2129" s="417"/>
      <c r="AI2129" s="417"/>
    </row>
    <row r="2130" spans="1:35" s="370" customFormat="1" ht="31.5" customHeight="1" x14ac:dyDescent="0.45">
      <c r="A2130" s="368"/>
      <c r="B2130" s="388"/>
      <c r="C2130" s="369"/>
      <c r="D2130" s="368">
        <f>TrialBalanceC!C15</f>
        <v>0</v>
      </c>
      <c r="E2130" s="368"/>
      <c r="F2130" s="368"/>
      <c r="G2130" s="368"/>
      <c r="H2130" s="368"/>
      <c r="I2130" s="368"/>
      <c r="L2130" s="372"/>
      <c r="M2130" s="37"/>
      <c r="O2130" s="456">
        <f>TrialBalanceC!I15</f>
        <v>0</v>
      </c>
      <c r="P2130" s="380"/>
      <c r="Q2130" s="389"/>
      <c r="R2130" s="416" t="str">
        <f t="shared" si="175"/>
        <v>DELETE</v>
      </c>
      <c r="S2130" s="417"/>
      <c r="T2130" s="417"/>
      <c r="U2130" s="417"/>
      <c r="V2130" s="417"/>
      <c r="W2130" s="417"/>
      <c r="X2130" s="417"/>
      <c r="Y2130" s="418"/>
      <c r="Z2130" s="418"/>
      <c r="AA2130" s="418"/>
      <c r="AB2130" s="417"/>
      <c r="AC2130" s="417"/>
      <c r="AD2130" s="417"/>
      <c r="AE2130" s="417"/>
      <c r="AF2130" s="417"/>
      <c r="AG2130" s="417"/>
      <c r="AH2130" s="417"/>
      <c r="AI2130" s="417"/>
    </row>
    <row r="2131" spans="1:35" s="370" customFormat="1" ht="31.5" customHeight="1" x14ac:dyDescent="0.45">
      <c r="A2131" s="368"/>
      <c r="B2131" s="388"/>
      <c r="C2131" s="369"/>
      <c r="D2131" s="368">
        <f>TrialBalanceC!C16</f>
        <v>0</v>
      </c>
      <c r="E2131" s="368"/>
      <c r="F2131" s="368"/>
      <c r="G2131" s="368"/>
      <c r="H2131" s="368"/>
      <c r="I2131" s="368"/>
      <c r="L2131" s="372"/>
      <c r="M2131" s="37"/>
      <c r="O2131" s="456">
        <f>TrialBalanceC!I16</f>
        <v>0</v>
      </c>
      <c r="P2131" s="380"/>
      <c r="Q2131" s="389"/>
      <c r="R2131" s="416" t="str">
        <f t="shared" si="175"/>
        <v>DELETE</v>
      </c>
      <c r="S2131" s="417"/>
      <c r="T2131" s="417"/>
      <c r="U2131" s="417"/>
      <c r="V2131" s="417"/>
      <c r="W2131" s="417"/>
      <c r="X2131" s="417"/>
      <c r="Y2131" s="418"/>
      <c r="Z2131" s="418"/>
      <c r="AA2131" s="418"/>
      <c r="AB2131" s="417"/>
      <c r="AC2131" s="417"/>
      <c r="AD2131" s="417"/>
      <c r="AE2131" s="417"/>
      <c r="AF2131" s="417"/>
      <c r="AG2131" s="417"/>
      <c r="AH2131" s="417"/>
      <c r="AI2131" s="417"/>
    </row>
    <row r="2132" spans="1:35" s="370" customFormat="1" ht="31.5" customHeight="1" x14ac:dyDescent="0.45">
      <c r="A2132" s="368"/>
      <c r="B2132" s="388"/>
      <c r="C2132" s="369"/>
      <c r="D2132" s="368">
        <f>TrialBalanceC!C17</f>
        <v>0</v>
      </c>
      <c r="E2132" s="368"/>
      <c r="F2132" s="368"/>
      <c r="G2132" s="368"/>
      <c r="H2132" s="368"/>
      <c r="I2132" s="368"/>
      <c r="L2132" s="372"/>
      <c r="M2132" s="37"/>
      <c r="O2132" s="456">
        <f>TrialBalanceC!I17</f>
        <v>0</v>
      </c>
      <c r="P2132" s="380"/>
      <c r="Q2132" s="389"/>
      <c r="R2132" s="416" t="str">
        <f t="shared" si="175"/>
        <v>DELETE</v>
      </c>
      <c r="S2132" s="417"/>
      <c r="T2132" s="417"/>
      <c r="U2132" s="417"/>
      <c r="V2132" s="417"/>
      <c r="W2132" s="417"/>
      <c r="X2132" s="417"/>
      <c r="Y2132" s="418"/>
      <c r="Z2132" s="418"/>
      <c r="AA2132" s="418"/>
      <c r="AB2132" s="417"/>
      <c r="AC2132" s="417"/>
      <c r="AD2132" s="417"/>
      <c r="AE2132" s="417"/>
      <c r="AF2132" s="417"/>
      <c r="AG2132" s="417"/>
      <c r="AH2132" s="417"/>
      <c r="AI2132" s="417"/>
    </row>
    <row r="2133" spans="1:35" s="370" customFormat="1" ht="31.5" customHeight="1" x14ac:dyDescent="0.45">
      <c r="A2133" s="368"/>
      <c r="B2133" s="388"/>
      <c r="C2133" s="369"/>
      <c r="D2133" s="368">
        <f>TrialBalanceC!C18</f>
        <v>0</v>
      </c>
      <c r="E2133" s="368"/>
      <c r="F2133" s="368"/>
      <c r="G2133" s="368"/>
      <c r="H2133" s="368"/>
      <c r="I2133" s="368"/>
      <c r="L2133" s="372"/>
      <c r="M2133" s="37"/>
      <c r="O2133" s="456">
        <f>TrialBalanceC!I18</f>
        <v>0</v>
      </c>
      <c r="P2133" s="380"/>
      <c r="Q2133" s="389"/>
      <c r="R2133" s="416" t="str">
        <f t="shared" si="175"/>
        <v>DELETE</v>
      </c>
      <c r="S2133" s="417"/>
      <c r="T2133" s="417"/>
      <c r="U2133" s="417"/>
      <c r="V2133" s="417"/>
      <c r="W2133" s="417"/>
      <c r="X2133" s="417"/>
      <c r="Y2133" s="418"/>
      <c r="Z2133" s="418"/>
      <c r="AA2133" s="418"/>
      <c r="AB2133" s="417"/>
      <c r="AC2133" s="417"/>
      <c r="AD2133" s="417"/>
      <c r="AE2133" s="417"/>
      <c r="AF2133" s="417"/>
      <c r="AG2133" s="417"/>
      <c r="AH2133" s="417"/>
      <c r="AI2133" s="417"/>
    </row>
    <row r="2134" spans="1:35" s="370" customFormat="1" ht="31.5" customHeight="1" x14ac:dyDescent="0.45">
      <c r="A2134" s="368"/>
      <c r="B2134" s="388"/>
      <c r="C2134" s="369"/>
      <c r="D2134" s="368">
        <f>TrialBalanceC!C19</f>
        <v>0</v>
      </c>
      <c r="E2134" s="368"/>
      <c r="F2134" s="368"/>
      <c r="G2134" s="368"/>
      <c r="H2134" s="368"/>
      <c r="I2134" s="368"/>
      <c r="L2134" s="372"/>
      <c r="M2134" s="37"/>
      <c r="O2134" s="456">
        <f>TrialBalanceC!I19</f>
        <v>0</v>
      </c>
      <c r="P2134" s="380"/>
      <c r="Q2134" s="389"/>
      <c r="R2134" s="416" t="str">
        <f t="shared" si="175"/>
        <v>DELETE</v>
      </c>
      <c r="S2134" s="417"/>
      <c r="T2134" s="417"/>
      <c r="U2134" s="417"/>
      <c r="V2134" s="417"/>
      <c r="W2134" s="417"/>
      <c r="X2134" s="417"/>
      <c r="Y2134" s="418"/>
      <c r="Z2134" s="418"/>
      <c r="AA2134" s="418"/>
      <c r="AB2134" s="417"/>
      <c r="AC2134" s="417"/>
      <c r="AD2134" s="417"/>
      <c r="AE2134" s="417"/>
      <c r="AF2134" s="417"/>
      <c r="AG2134" s="417"/>
      <c r="AH2134" s="417"/>
      <c r="AI2134" s="417"/>
    </row>
    <row r="2135" spans="1:35" s="370" customFormat="1" ht="31.5" customHeight="1" x14ac:dyDescent="0.45">
      <c r="A2135" s="368"/>
      <c r="B2135" s="388"/>
      <c r="C2135" s="369"/>
      <c r="D2135" s="368" t="s">
        <v>500</v>
      </c>
      <c r="E2135" s="368"/>
      <c r="F2135" s="368"/>
      <c r="G2135" s="368"/>
      <c r="H2135" s="368"/>
      <c r="I2135" s="368"/>
      <c r="L2135" s="372"/>
      <c r="M2135" s="37"/>
      <c r="O2135" s="456">
        <f>SUM(TrialBalanceC!I20:I23)</f>
        <v>0</v>
      </c>
      <c r="P2135" s="380"/>
      <c r="Q2135" s="389"/>
      <c r="R2135" s="416" t="str">
        <f t="shared" si="175"/>
        <v>DELETE</v>
      </c>
      <c r="S2135" s="417"/>
      <c r="T2135" s="417"/>
      <c r="U2135" s="417"/>
      <c r="V2135" s="417"/>
      <c r="W2135" s="417"/>
      <c r="X2135" s="417"/>
      <c r="Y2135" s="418"/>
      <c r="Z2135" s="418"/>
      <c r="AA2135" s="418"/>
      <c r="AB2135" s="417"/>
      <c r="AC2135" s="417"/>
      <c r="AD2135" s="417"/>
      <c r="AE2135" s="417"/>
      <c r="AF2135" s="417"/>
      <c r="AG2135" s="417"/>
      <c r="AH2135" s="417"/>
      <c r="AI2135" s="417"/>
    </row>
    <row r="2136" spans="1:35" s="370" customFormat="1" ht="9" customHeight="1" x14ac:dyDescent="0.45">
      <c r="A2136" s="368"/>
      <c r="B2136" s="388"/>
      <c r="C2136" s="369"/>
      <c r="D2136" s="368"/>
      <c r="E2136" s="368"/>
      <c r="F2136" s="368"/>
      <c r="G2136" s="368"/>
      <c r="H2136" s="368"/>
      <c r="I2136" s="368"/>
      <c r="L2136" s="372"/>
      <c r="M2136" s="37"/>
      <c r="O2136" s="457"/>
      <c r="P2136" s="380"/>
      <c r="Q2136" s="389"/>
      <c r="R2136" s="416" t="str">
        <f>R2125</f>
        <v>DELETE</v>
      </c>
      <c r="S2136" s="417"/>
      <c r="T2136" s="417"/>
      <c r="U2136" s="417"/>
      <c r="V2136" s="417"/>
      <c r="W2136" s="417"/>
      <c r="X2136" s="417"/>
      <c r="Y2136" s="418"/>
      <c r="Z2136" s="418"/>
      <c r="AA2136" s="418"/>
      <c r="AB2136" s="417"/>
      <c r="AC2136" s="417"/>
      <c r="AD2136" s="417"/>
      <c r="AE2136" s="417"/>
      <c r="AF2136" s="417"/>
      <c r="AG2136" s="417"/>
      <c r="AH2136" s="417"/>
      <c r="AI2136" s="417"/>
    </row>
    <row r="2137" spans="1:35" s="370" customFormat="1" ht="9" customHeight="1" x14ac:dyDescent="0.45">
      <c r="A2137" s="368"/>
      <c r="B2137" s="388"/>
      <c r="C2137" s="369"/>
      <c r="D2137" s="368"/>
      <c r="E2137" s="368"/>
      <c r="F2137" s="368"/>
      <c r="G2137" s="368"/>
      <c r="H2137" s="368"/>
      <c r="I2137" s="368"/>
      <c r="L2137" s="372"/>
      <c r="M2137" s="37"/>
      <c r="O2137" s="438"/>
      <c r="P2137" s="380"/>
      <c r="Q2137" s="389"/>
      <c r="R2137" s="416" t="str">
        <f>R2125</f>
        <v>DELETE</v>
      </c>
      <c r="S2137" s="417"/>
      <c r="T2137" s="417"/>
      <c r="U2137" s="417"/>
      <c r="V2137" s="417"/>
      <c r="W2137" s="417"/>
      <c r="X2137" s="417"/>
      <c r="Y2137" s="418"/>
      <c r="Z2137" s="418"/>
      <c r="AA2137" s="418"/>
      <c r="AB2137" s="417"/>
      <c r="AC2137" s="417"/>
      <c r="AD2137" s="417"/>
      <c r="AE2137" s="417"/>
      <c r="AF2137" s="417"/>
      <c r="AG2137" s="417"/>
      <c r="AH2137" s="417"/>
      <c r="AI2137" s="417"/>
    </row>
    <row r="2138" spans="1:35" s="370" customFormat="1" ht="9" customHeight="1" x14ac:dyDescent="0.45">
      <c r="A2138" s="368"/>
      <c r="B2138" s="388"/>
      <c r="C2138" s="369"/>
      <c r="D2138" s="368"/>
      <c r="E2138" s="368"/>
      <c r="F2138" s="368"/>
      <c r="G2138" s="368"/>
      <c r="H2138" s="368"/>
      <c r="I2138" s="368"/>
      <c r="L2138" s="372"/>
      <c r="M2138" s="37"/>
      <c r="O2138" s="434"/>
      <c r="P2138" s="380"/>
      <c r="Q2138" s="389"/>
      <c r="R2138" s="416" t="str">
        <f>R2137</f>
        <v>DELETE</v>
      </c>
      <c r="S2138" s="417"/>
      <c r="T2138" s="417"/>
      <c r="U2138" s="417"/>
      <c r="V2138" s="417"/>
      <c r="W2138" s="417"/>
      <c r="X2138" s="417"/>
      <c r="Y2138" s="418"/>
      <c r="Z2138" s="418"/>
      <c r="AA2138" s="418"/>
      <c r="AB2138" s="417"/>
      <c r="AC2138" s="417"/>
      <c r="AD2138" s="417"/>
      <c r="AE2138" s="417"/>
      <c r="AF2138" s="417"/>
      <c r="AG2138" s="417"/>
      <c r="AH2138" s="417"/>
      <c r="AI2138" s="417"/>
    </row>
    <row r="2139" spans="1:35" s="370" customFormat="1" ht="31.5" customHeight="1" x14ac:dyDescent="0.45">
      <c r="A2139" s="368"/>
      <c r="B2139" s="388"/>
      <c r="C2139" s="411" t="str">
        <f>IF(O2139&lt;0,"GROSS LOSS","GROSS PROFIT")</f>
        <v>GROSS PROFIT</v>
      </c>
      <c r="D2139" s="368"/>
      <c r="E2139" s="368"/>
      <c r="F2139" s="368"/>
      <c r="G2139" s="368"/>
      <c r="H2139" s="368"/>
      <c r="I2139" s="368"/>
      <c r="L2139" s="372"/>
      <c r="M2139" s="37"/>
      <c r="O2139" s="434">
        <f>SUM(S2121:S2136)</f>
        <v>0</v>
      </c>
      <c r="P2139" s="380"/>
      <c r="Q2139" s="389"/>
      <c r="R2139" s="416" t="str">
        <f>R2138</f>
        <v>DELETE</v>
      </c>
      <c r="S2139" s="417"/>
      <c r="T2139" s="417"/>
      <c r="U2139" s="417"/>
      <c r="V2139" s="417"/>
      <c r="W2139" s="417"/>
      <c r="X2139" s="417"/>
      <c r="Y2139" s="418"/>
      <c r="Z2139" s="418"/>
      <c r="AA2139" s="418"/>
      <c r="AB2139" s="417"/>
      <c r="AC2139" s="417"/>
      <c r="AD2139" s="417"/>
      <c r="AE2139" s="417"/>
      <c r="AF2139" s="417"/>
      <c r="AG2139" s="417"/>
      <c r="AH2139" s="417"/>
      <c r="AI2139" s="417"/>
    </row>
    <row r="2140" spans="1:35" s="370" customFormat="1" ht="31.5" customHeight="1" x14ac:dyDescent="0.45">
      <c r="A2140" s="368"/>
      <c r="B2140" s="388"/>
      <c r="C2140" s="369"/>
      <c r="D2140" s="368"/>
      <c r="E2140" s="368"/>
      <c r="F2140" s="368"/>
      <c r="G2140" s="368"/>
      <c r="H2140" s="368"/>
      <c r="I2140" s="368"/>
      <c r="L2140" s="372"/>
      <c r="M2140" s="37"/>
      <c r="O2140" s="434"/>
      <c r="P2140" s="380"/>
      <c r="Q2140" s="389"/>
      <c r="R2140" s="416" t="str">
        <f>R2139</f>
        <v>DELETE</v>
      </c>
      <c r="S2140" s="417"/>
      <c r="T2140" s="417"/>
      <c r="U2140" s="417"/>
      <c r="V2140" s="417"/>
      <c r="W2140" s="417"/>
      <c r="X2140" s="417"/>
      <c r="Y2140" s="418"/>
      <c r="Z2140" s="418"/>
      <c r="AA2140" s="418"/>
      <c r="AB2140" s="417"/>
      <c r="AC2140" s="417"/>
      <c r="AD2140" s="417"/>
      <c r="AE2140" s="417"/>
      <c r="AF2140" s="417"/>
      <c r="AG2140" s="417"/>
      <c r="AH2140" s="417"/>
      <c r="AI2140" s="417"/>
    </row>
    <row r="2141" spans="1:35" s="370" customFormat="1" ht="31.5" customHeight="1" x14ac:dyDescent="0.45">
      <c r="A2141" s="368"/>
      <c r="B2141" s="388"/>
      <c r="C2141" s="369" t="s">
        <v>319</v>
      </c>
      <c r="D2141" s="368"/>
      <c r="E2141" s="368"/>
      <c r="F2141" s="368"/>
      <c r="G2141" s="368"/>
      <c r="H2141" s="368"/>
      <c r="I2141" s="368"/>
      <c r="L2141" s="372"/>
      <c r="M2141" s="37"/>
      <c r="O2141" s="434">
        <f>SUM(O2143:O2150)</f>
        <v>0</v>
      </c>
      <c r="P2141" s="380"/>
      <c r="Q2141" s="389"/>
      <c r="R2141" s="416" t="str">
        <f t="shared" ref="R2141" si="176">IF(R$2109="DELETE","DELETE",IF(O2141=0,"DELETE"," "))</f>
        <v>DELETE</v>
      </c>
      <c r="S2141" s="421">
        <f>O2141</f>
        <v>0</v>
      </c>
      <c r="T2141" s="421"/>
      <c r="U2141" s="417"/>
      <c r="V2141" s="417"/>
      <c r="W2141" s="417"/>
      <c r="X2141" s="417"/>
      <c r="Y2141" s="418"/>
      <c r="Z2141" s="418"/>
      <c r="AA2141" s="418"/>
      <c r="AB2141" s="417"/>
      <c r="AC2141" s="417"/>
      <c r="AD2141" s="417"/>
      <c r="AE2141" s="417"/>
      <c r="AF2141" s="417"/>
      <c r="AG2141" s="417"/>
      <c r="AH2141" s="417"/>
      <c r="AI2141" s="417"/>
    </row>
    <row r="2142" spans="1:35" s="370" customFormat="1" ht="9" customHeight="1" x14ac:dyDescent="0.45">
      <c r="A2142" s="368"/>
      <c r="B2142" s="388"/>
      <c r="C2142" s="369"/>
      <c r="D2142" s="368"/>
      <c r="E2142" s="368"/>
      <c r="F2142" s="368"/>
      <c r="G2142" s="368"/>
      <c r="H2142" s="368"/>
      <c r="I2142" s="368"/>
      <c r="L2142" s="372"/>
      <c r="M2142" s="37"/>
      <c r="O2142" s="434"/>
      <c r="P2142" s="380"/>
      <c r="Q2142" s="389"/>
      <c r="R2142" s="416" t="str">
        <f>R2141</f>
        <v>DELETE</v>
      </c>
      <c r="S2142" s="417"/>
      <c r="T2142" s="417"/>
      <c r="U2142" s="417"/>
      <c r="V2142" s="417"/>
      <c r="W2142" s="417"/>
      <c r="X2142" s="417"/>
      <c r="Y2142" s="418"/>
      <c r="Z2142" s="418"/>
      <c r="AA2142" s="418"/>
      <c r="AB2142" s="417"/>
      <c r="AC2142" s="417"/>
      <c r="AD2142" s="417"/>
      <c r="AE2142" s="417"/>
      <c r="AF2142" s="417"/>
      <c r="AG2142" s="417"/>
      <c r="AH2142" s="417"/>
      <c r="AI2142" s="417"/>
    </row>
    <row r="2143" spans="1:35" s="370" customFormat="1" ht="9" customHeight="1" x14ac:dyDescent="0.45">
      <c r="A2143" s="368"/>
      <c r="B2143" s="388"/>
      <c r="C2143" s="369"/>
      <c r="D2143" s="368"/>
      <c r="E2143" s="368"/>
      <c r="F2143" s="368"/>
      <c r="G2143" s="368"/>
      <c r="H2143" s="368"/>
      <c r="I2143" s="368"/>
      <c r="L2143" s="372"/>
      <c r="M2143" s="37"/>
      <c r="O2143" s="455"/>
      <c r="P2143" s="380"/>
      <c r="Q2143" s="389"/>
      <c r="R2143" s="416" t="str">
        <f>R2141</f>
        <v>DELETE</v>
      </c>
      <c r="S2143" s="417"/>
      <c r="T2143" s="417"/>
      <c r="U2143" s="417"/>
      <c r="V2143" s="417"/>
      <c r="W2143" s="417"/>
      <c r="X2143" s="417"/>
      <c r="Y2143" s="418"/>
      <c r="Z2143" s="418"/>
      <c r="AA2143" s="418"/>
      <c r="AB2143" s="417"/>
      <c r="AC2143" s="417"/>
      <c r="AD2143" s="417"/>
      <c r="AE2143" s="417"/>
      <c r="AF2143" s="417"/>
      <c r="AG2143" s="417"/>
      <c r="AH2143" s="417"/>
      <c r="AI2143" s="417"/>
    </row>
    <row r="2144" spans="1:35" s="370" customFormat="1" ht="31.5" customHeight="1" x14ac:dyDescent="0.45">
      <c r="A2144" s="368"/>
      <c r="B2144" s="388"/>
      <c r="C2144" s="369"/>
      <c r="D2144" s="368" t="str">
        <f>TrialBalanceC!C25</f>
        <v xml:space="preserve">Insurance claims - </v>
      </c>
      <c r="E2144" s="368"/>
      <c r="F2144" s="368"/>
      <c r="G2144" s="368"/>
      <c r="H2144" s="368"/>
      <c r="I2144" s="368"/>
      <c r="L2144" s="372"/>
      <c r="M2144" s="37"/>
      <c r="O2144" s="456">
        <f>-TrialBalanceC!I25</f>
        <v>0</v>
      </c>
      <c r="P2144" s="380"/>
      <c r="Q2144" s="389"/>
      <c r="R2144" s="416" t="str">
        <f t="shared" ref="R2144:R2148" si="177">IF(R$2109="DELETE","DELETE",IF(O2144=0,"DELETE"," "))</f>
        <v>DELETE</v>
      </c>
      <c r="S2144" s="417"/>
      <c r="T2144" s="417"/>
      <c r="U2144" s="417"/>
      <c r="V2144" s="417"/>
      <c r="W2144" s="417"/>
      <c r="X2144" s="417"/>
      <c r="Y2144" s="418"/>
      <c r="Z2144" s="418"/>
      <c r="AA2144" s="418"/>
      <c r="AB2144" s="417"/>
      <c r="AC2144" s="417"/>
      <c r="AD2144" s="417"/>
      <c r="AE2144" s="417"/>
      <c r="AF2144" s="417"/>
      <c r="AG2144" s="417"/>
      <c r="AH2144" s="417"/>
      <c r="AI2144" s="417"/>
    </row>
    <row r="2145" spans="1:35" s="370" customFormat="1" ht="31.5" customHeight="1" x14ac:dyDescent="0.45">
      <c r="A2145" s="368"/>
      <c r="B2145" s="388"/>
      <c r="C2145" s="369"/>
      <c r="D2145" s="368" t="str">
        <f>TrialBalanceC!C26</f>
        <v>Government grants received</v>
      </c>
      <c r="E2145" s="368"/>
      <c r="F2145" s="368"/>
      <c r="G2145" s="368"/>
      <c r="H2145" s="368"/>
      <c r="I2145" s="368"/>
      <c r="L2145" s="372"/>
      <c r="M2145" s="37"/>
      <c r="O2145" s="456">
        <f>-TrialBalanceC!I26</f>
        <v>0</v>
      </c>
      <c r="P2145" s="380"/>
      <c r="Q2145" s="389"/>
      <c r="R2145" s="416" t="str">
        <f t="shared" si="177"/>
        <v>DELETE</v>
      </c>
      <c r="S2145" s="417"/>
      <c r="T2145" s="417"/>
      <c r="U2145" s="417"/>
      <c r="V2145" s="417"/>
      <c r="W2145" s="417"/>
      <c r="X2145" s="417"/>
      <c r="Y2145" s="418"/>
      <c r="Z2145" s="418"/>
      <c r="AA2145" s="418"/>
      <c r="AB2145" s="417"/>
      <c r="AC2145" s="417"/>
      <c r="AD2145" s="417"/>
      <c r="AE2145" s="417"/>
      <c r="AF2145" s="417"/>
      <c r="AG2145" s="417"/>
      <c r="AH2145" s="417"/>
      <c r="AI2145" s="417"/>
    </row>
    <row r="2146" spans="1:35" s="370" customFormat="1" ht="31.5" customHeight="1" x14ac:dyDescent="0.45">
      <c r="A2146" s="368"/>
      <c r="B2146" s="388"/>
      <c r="C2146" s="369"/>
      <c r="D2146" s="368">
        <f>TrialBalanceC!C27</f>
        <v>0</v>
      </c>
      <c r="E2146" s="368"/>
      <c r="F2146" s="368"/>
      <c r="G2146" s="368"/>
      <c r="H2146" s="368"/>
      <c r="I2146" s="368"/>
      <c r="L2146" s="372"/>
      <c r="M2146" s="37"/>
      <c r="O2146" s="456">
        <f>-TrialBalanceC!I27</f>
        <v>0</v>
      </c>
      <c r="P2146" s="380"/>
      <c r="Q2146" s="389"/>
      <c r="R2146" s="416" t="str">
        <f t="shared" si="177"/>
        <v>DELETE</v>
      </c>
      <c r="S2146" s="417"/>
      <c r="T2146" s="417"/>
      <c r="U2146" s="417"/>
      <c r="V2146" s="417"/>
      <c r="W2146" s="417"/>
      <c r="X2146" s="417"/>
      <c r="Y2146" s="418"/>
      <c r="Z2146" s="418"/>
      <c r="AA2146" s="418"/>
      <c r="AB2146" s="417"/>
      <c r="AC2146" s="417"/>
      <c r="AD2146" s="417"/>
      <c r="AE2146" s="417"/>
      <c r="AF2146" s="417"/>
      <c r="AG2146" s="417"/>
      <c r="AH2146" s="417"/>
      <c r="AI2146" s="417"/>
    </row>
    <row r="2147" spans="1:35" s="370" customFormat="1" ht="31.5" customHeight="1" x14ac:dyDescent="0.45">
      <c r="A2147" s="368"/>
      <c r="B2147" s="388"/>
      <c r="C2147" s="369"/>
      <c r="D2147" s="368">
        <f>TrialBalanceC!C28</f>
        <v>0</v>
      </c>
      <c r="E2147" s="368"/>
      <c r="F2147" s="368"/>
      <c r="G2147" s="368"/>
      <c r="H2147" s="368"/>
      <c r="I2147" s="368"/>
      <c r="L2147" s="372"/>
      <c r="M2147" s="37"/>
      <c r="O2147" s="456">
        <f>-TrialBalanceC!I28</f>
        <v>0</v>
      </c>
      <c r="P2147" s="380"/>
      <c r="Q2147" s="389"/>
      <c r="R2147" s="416" t="str">
        <f t="shared" si="177"/>
        <v>DELETE</v>
      </c>
      <c r="S2147" s="417"/>
      <c r="T2147" s="417"/>
      <c r="U2147" s="417"/>
      <c r="V2147" s="417"/>
      <c r="W2147" s="417"/>
      <c r="X2147" s="417"/>
      <c r="Y2147" s="418"/>
      <c r="Z2147" s="418"/>
      <c r="AA2147" s="418"/>
      <c r="AB2147" s="417"/>
      <c r="AC2147" s="417"/>
      <c r="AD2147" s="417"/>
      <c r="AE2147" s="417"/>
      <c r="AF2147" s="417"/>
      <c r="AG2147" s="417"/>
      <c r="AH2147" s="417"/>
      <c r="AI2147" s="417"/>
    </row>
    <row r="2148" spans="1:35" s="370" customFormat="1" ht="31.5" customHeight="1" x14ac:dyDescent="0.45">
      <c r="A2148" s="368"/>
      <c r="B2148" s="388"/>
      <c r="C2148" s="369"/>
      <c r="D2148" s="368">
        <f>TrialBalanceC!C29</f>
        <v>0</v>
      </c>
      <c r="E2148" s="368"/>
      <c r="F2148" s="368"/>
      <c r="G2148" s="368"/>
      <c r="H2148" s="368"/>
      <c r="I2148" s="368"/>
      <c r="L2148" s="372"/>
      <c r="M2148" s="37"/>
      <c r="O2148" s="456">
        <f>-TrialBalanceC!I29</f>
        <v>0</v>
      </c>
      <c r="P2148" s="380"/>
      <c r="Q2148" s="389"/>
      <c r="R2148" s="416" t="str">
        <f t="shared" si="177"/>
        <v>DELETE</v>
      </c>
      <c r="S2148" s="417"/>
      <c r="T2148" s="417"/>
      <c r="U2148" s="417"/>
      <c r="V2148" s="417"/>
      <c r="W2148" s="417"/>
      <c r="X2148" s="417"/>
      <c r="Y2148" s="418"/>
      <c r="Z2148" s="418"/>
      <c r="AA2148" s="418"/>
      <c r="AB2148" s="417"/>
      <c r="AC2148" s="417"/>
      <c r="AD2148" s="417"/>
      <c r="AE2148" s="417"/>
      <c r="AF2148" s="417"/>
      <c r="AG2148" s="417"/>
      <c r="AH2148" s="417"/>
      <c r="AI2148" s="417"/>
    </row>
    <row r="2149" spans="1:35" s="370" customFormat="1" ht="31.5" customHeight="1" x14ac:dyDescent="0.45">
      <c r="A2149" s="368"/>
      <c r="B2149" s="388"/>
      <c r="C2149" s="369"/>
      <c r="D2149" s="368" t="str">
        <f>TrialBalanceC!C30</f>
        <v>Recoupment of depreciation</v>
      </c>
      <c r="E2149" s="368"/>
      <c r="F2149" s="368"/>
      <c r="G2149" s="368"/>
      <c r="H2149" s="368"/>
      <c r="I2149" s="368"/>
      <c r="L2149" s="372"/>
      <c r="M2149" s="37"/>
      <c r="O2149" s="456">
        <f>-TrialBalanceC!I30</f>
        <v>0</v>
      </c>
      <c r="P2149" s="380"/>
      <c r="Q2149" s="389"/>
      <c r="R2149" s="416" t="str">
        <f t="shared" ref="R2149" si="178">IF(R$2109="DELETE","DELETE",IF(O2149=0,"DELETE"," "))</f>
        <v>DELETE</v>
      </c>
      <c r="S2149" s="417"/>
      <c r="T2149" s="417"/>
      <c r="U2149" s="417"/>
      <c r="V2149" s="417"/>
      <c r="W2149" s="417"/>
      <c r="X2149" s="417"/>
      <c r="Y2149" s="418"/>
      <c r="Z2149" s="418"/>
      <c r="AA2149" s="418"/>
      <c r="AB2149" s="417"/>
      <c r="AC2149" s="417"/>
      <c r="AD2149" s="417"/>
      <c r="AE2149" s="417"/>
      <c r="AF2149" s="417"/>
      <c r="AG2149" s="417"/>
      <c r="AH2149" s="417"/>
      <c r="AI2149" s="417"/>
    </row>
    <row r="2150" spans="1:35" s="370" customFormat="1" ht="9" customHeight="1" x14ac:dyDescent="0.45">
      <c r="A2150" s="368"/>
      <c r="B2150" s="388"/>
      <c r="C2150" s="369"/>
      <c r="D2150" s="368"/>
      <c r="E2150" s="368"/>
      <c r="F2150" s="368"/>
      <c r="G2150" s="368"/>
      <c r="H2150" s="368"/>
      <c r="I2150" s="368"/>
      <c r="L2150" s="372"/>
      <c r="M2150" s="37"/>
      <c r="O2150" s="457"/>
      <c r="P2150" s="380"/>
      <c r="Q2150" s="389"/>
      <c r="R2150" s="416" t="str">
        <f>R2141</f>
        <v>DELETE</v>
      </c>
      <c r="S2150" s="417"/>
      <c r="T2150" s="417"/>
      <c r="U2150" s="417"/>
      <c r="V2150" s="417"/>
      <c r="W2150" s="417"/>
      <c r="X2150" s="417"/>
      <c r="Y2150" s="418"/>
      <c r="Z2150" s="418"/>
      <c r="AA2150" s="418"/>
      <c r="AB2150" s="417"/>
      <c r="AC2150" s="417"/>
      <c r="AD2150" s="417"/>
      <c r="AE2150" s="417"/>
      <c r="AF2150" s="417"/>
      <c r="AG2150" s="417"/>
      <c r="AH2150" s="417"/>
      <c r="AI2150" s="417"/>
    </row>
    <row r="2151" spans="1:35" s="370" customFormat="1" ht="9" customHeight="1" x14ac:dyDescent="0.45">
      <c r="A2151" s="368"/>
      <c r="B2151" s="388"/>
      <c r="C2151" s="369"/>
      <c r="D2151" s="368"/>
      <c r="E2151" s="368"/>
      <c r="F2151" s="368"/>
      <c r="G2151" s="368"/>
      <c r="H2151" s="368"/>
      <c r="I2151" s="368"/>
      <c r="L2151" s="372"/>
      <c r="M2151" s="37"/>
      <c r="O2151" s="447"/>
      <c r="P2151" s="380"/>
      <c r="Q2151" s="389"/>
      <c r="R2151" s="416" t="str">
        <f>R2150</f>
        <v>DELETE</v>
      </c>
      <c r="S2151" s="417"/>
      <c r="T2151" s="417"/>
      <c r="U2151" s="417"/>
      <c r="V2151" s="417"/>
      <c r="W2151" s="417"/>
      <c r="X2151" s="417"/>
      <c r="Y2151" s="418"/>
      <c r="Z2151" s="418"/>
      <c r="AA2151" s="418"/>
      <c r="AB2151" s="417"/>
      <c r="AC2151" s="417"/>
      <c r="AD2151" s="417"/>
      <c r="AE2151" s="417"/>
      <c r="AF2151" s="417"/>
      <c r="AG2151" s="417"/>
      <c r="AH2151" s="417"/>
      <c r="AI2151" s="417"/>
    </row>
    <row r="2152" spans="1:35" s="370" customFormat="1" ht="9" customHeight="1" x14ac:dyDescent="0.45">
      <c r="A2152" s="368"/>
      <c r="B2152" s="388"/>
      <c r="C2152" s="369"/>
      <c r="D2152" s="368"/>
      <c r="E2152" s="368"/>
      <c r="F2152" s="368"/>
      <c r="G2152" s="368"/>
      <c r="H2152" s="368"/>
      <c r="I2152" s="368"/>
      <c r="L2152" s="372"/>
      <c r="M2152" s="37"/>
      <c r="O2152" s="434"/>
      <c r="P2152" s="380"/>
      <c r="Q2152" s="389"/>
      <c r="R2152" s="416" t="str">
        <f>R2151</f>
        <v>DELETE</v>
      </c>
      <c r="S2152" s="417"/>
      <c r="T2152" s="417"/>
      <c r="U2152" s="417"/>
      <c r="V2152" s="417"/>
      <c r="W2152" s="417"/>
      <c r="X2152" s="417"/>
      <c r="Y2152" s="418"/>
      <c r="Z2152" s="418"/>
      <c r="AA2152" s="418"/>
      <c r="AB2152" s="417"/>
      <c r="AC2152" s="417"/>
      <c r="AD2152" s="417"/>
      <c r="AE2152" s="417"/>
      <c r="AF2152" s="417"/>
      <c r="AG2152" s="417"/>
      <c r="AH2152" s="417"/>
      <c r="AI2152" s="417"/>
    </row>
    <row r="2153" spans="1:35" s="370" customFormat="1" ht="31.5" customHeight="1" x14ac:dyDescent="0.45">
      <c r="A2153" s="368"/>
      <c r="B2153" s="388"/>
      <c r="C2153" s="369"/>
      <c r="D2153" s="368"/>
      <c r="E2153" s="368"/>
      <c r="F2153" s="368"/>
      <c r="G2153" s="368"/>
      <c r="H2153" s="368"/>
      <c r="I2153" s="368"/>
      <c r="L2153" s="372"/>
      <c r="M2153" s="37"/>
      <c r="O2153" s="434">
        <f>SUM(S2121:S2141)</f>
        <v>0</v>
      </c>
      <c r="P2153" s="380"/>
      <c r="Q2153" s="389"/>
      <c r="R2153" s="416" t="str">
        <f>R2141</f>
        <v>DELETE</v>
      </c>
      <c r="S2153" s="417"/>
      <c r="T2153" s="417"/>
      <c r="U2153" s="417"/>
      <c r="V2153" s="417"/>
      <c r="W2153" s="417"/>
      <c r="X2153" s="417"/>
      <c r="Y2153" s="418"/>
      <c r="Z2153" s="418"/>
      <c r="AA2153" s="418"/>
      <c r="AB2153" s="417"/>
      <c r="AC2153" s="417"/>
      <c r="AD2153" s="417"/>
      <c r="AE2153" s="417"/>
      <c r="AF2153" s="417"/>
      <c r="AG2153" s="417"/>
      <c r="AH2153" s="417"/>
      <c r="AI2153" s="417"/>
    </row>
    <row r="2154" spans="1:35" s="370" customFormat="1" ht="31.5" customHeight="1" x14ac:dyDescent="0.45">
      <c r="A2154" s="368"/>
      <c r="B2154" s="388"/>
      <c r="C2154" s="369"/>
      <c r="D2154" s="368"/>
      <c r="E2154" s="368"/>
      <c r="F2154" s="368"/>
      <c r="G2154" s="368"/>
      <c r="H2154" s="368"/>
      <c r="I2154" s="368"/>
      <c r="L2154" s="372"/>
      <c r="M2154" s="37"/>
      <c r="O2154" s="434"/>
      <c r="P2154" s="380"/>
      <c r="Q2154" s="389"/>
      <c r="R2154" s="416" t="str">
        <f>R2153</f>
        <v>DELETE</v>
      </c>
      <c r="S2154" s="417"/>
      <c r="T2154" s="417"/>
      <c r="U2154" s="417"/>
      <c r="V2154" s="417"/>
      <c r="W2154" s="417"/>
      <c r="X2154" s="417"/>
      <c r="Y2154" s="418"/>
      <c r="Z2154" s="418"/>
      <c r="AA2154" s="418"/>
      <c r="AB2154" s="417"/>
      <c r="AC2154" s="417"/>
      <c r="AD2154" s="417"/>
      <c r="AE2154" s="417"/>
      <c r="AF2154" s="417"/>
      <c r="AG2154" s="417"/>
      <c r="AH2154" s="417"/>
      <c r="AI2154" s="417"/>
    </row>
    <row r="2155" spans="1:35" s="370" customFormat="1" ht="31.5" customHeight="1" x14ac:dyDescent="0.45">
      <c r="A2155" s="368"/>
      <c r="B2155" s="388"/>
      <c r="C2155" s="369" t="s">
        <v>1051</v>
      </c>
      <c r="D2155" s="368"/>
      <c r="E2155" s="368"/>
      <c r="F2155" s="368"/>
      <c r="G2155" s="368"/>
      <c r="H2155" s="368"/>
      <c r="I2155" s="368"/>
      <c r="L2155" s="372"/>
      <c r="M2155" s="37"/>
      <c r="O2155" s="434">
        <f>SUM(O2157:O2185)</f>
        <v>0</v>
      </c>
      <c r="P2155" s="380"/>
      <c r="Q2155" s="389"/>
      <c r="R2155" s="416" t="str">
        <f t="shared" ref="R2155" si="179">IF(R$2109="DELETE","DELETE",IF(O2155=0,"DELETE"," "))</f>
        <v>DELETE</v>
      </c>
      <c r="S2155" s="421">
        <f>-O2155</f>
        <v>0</v>
      </c>
      <c r="T2155" s="421"/>
      <c r="U2155" s="421"/>
      <c r="V2155" s="421"/>
      <c r="W2155" s="417"/>
      <c r="X2155" s="417"/>
      <c r="Y2155" s="418"/>
      <c r="Z2155" s="418"/>
      <c r="AA2155" s="418"/>
      <c r="AB2155" s="417"/>
      <c r="AC2155" s="417"/>
      <c r="AD2155" s="417"/>
      <c r="AE2155" s="417"/>
      <c r="AF2155" s="417"/>
      <c r="AG2155" s="417"/>
      <c r="AH2155" s="417"/>
      <c r="AI2155" s="417"/>
    </row>
    <row r="2156" spans="1:35" s="370" customFormat="1" ht="9" customHeight="1" x14ac:dyDescent="0.45">
      <c r="A2156" s="368"/>
      <c r="B2156" s="388"/>
      <c r="C2156" s="369"/>
      <c r="D2156" s="368"/>
      <c r="E2156" s="368"/>
      <c r="F2156" s="368"/>
      <c r="G2156" s="368"/>
      <c r="H2156" s="368"/>
      <c r="I2156" s="368"/>
      <c r="L2156" s="372"/>
      <c r="M2156" s="37"/>
      <c r="O2156" s="434"/>
      <c r="P2156" s="380"/>
      <c r="Q2156" s="389"/>
      <c r="R2156" s="416" t="str">
        <f>R2155</f>
        <v>DELETE</v>
      </c>
      <c r="S2156" s="417"/>
      <c r="T2156" s="417"/>
      <c r="U2156" s="417"/>
      <c r="V2156" s="417"/>
      <c r="W2156" s="417"/>
      <c r="X2156" s="417"/>
      <c r="Y2156" s="418"/>
      <c r="Z2156" s="418"/>
      <c r="AA2156" s="418"/>
      <c r="AB2156" s="417"/>
      <c r="AC2156" s="417"/>
      <c r="AD2156" s="417"/>
      <c r="AE2156" s="417"/>
      <c r="AF2156" s="417"/>
      <c r="AG2156" s="417"/>
      <c r="AH2156" s="417"/>
      <c r="AI2156" s="417"/>
    </row>
    <row r="2157" spans="1:35" s="370" customFormat="1" ht="9" customHeight="1" x14ac:dyDescent="0.45">
      <c r="A2157" s="368"/>
      <c r="B2157" s="388"/>
      <c r="C2157" s="369"/>
      <c r="D2157" s="368"/>
      <c r="E2157" s="368"/>
      <c r="F2157" s="368"/>
      <c r="G2157" s="368"/>
      <c r="H2157" s="368"/>
      <c r="I2157" s="368"/>
      <c r="L2157" s="372"/>
      <c r="M2157" s="37"/>
      <c r="O2157" s="455"/>
      <c r="P2157" s="380"/>
      <c r="Q2157" s="389"/>
      <c r="R2157" s="416" t="str">
        <f>R2156</f>
        <v>DELETE</v>
      </c>
      <c r="S2157" s="417"/>
      <c r="T2157" s="417"/>
      <c r="U2157" s="417"/>
      <c r="V2157" s="417"/>
      <c r="W2157" s="417"/>
      <c r="X2157" s="417"/>
      <c r="Y2157" s="418"/>
      <c r="Z2157" s="418"/>
      <c r="AA2157" s="418"/>
      <c r="AB2157" s="417"/>
      <c r="AC2157" s="417"/>
      <c r="AD2157" s="417"/>
      <c r="AE2157" s="417"/>
      <c r="AF2157" s="417"/>
      <c r="AG2157" s="417"/>
      <c r="AH2157" s="417"/>
      <c r="AI2157" s="417"/>
    </row>
    <row r="2158" spans="1:35" s="370" customFormat="1" ht="31.5" customHeight="1" x14ac:dyDescent="0.45">
      <c r="A2158" s="368"/>
      <c r="B2158" s="388"/>
      <c r="C2158" s="369"/>
      <c r="D2158" s="368" t="s">
        <v>277</v>
      </c>
      <c r="E2158" s="368"/>
      <c r="F2158" s="368"/>
      <c r="G2158" s="368"/>
      <c r="H2158" s="368"/>
      <c r="I2158" s="368"/>
      <c r="L2158" s="372"/>
      <c r="M2158" s="37"/>
      <c r="O2158" s="456">
        <f>TrialBalanceC!I37</f>
        <v>0</v>
      </c>
      <c r="P2158" s="380"/>
      <c r="Q2158" s="389"/>
      <c r="R2158" s="416" t="str">
        <f t="shared" ref="R2158:R2184" si="180">IF(R$2109="DELETE","DELETE",IF(O2158=0,"DELETE"," "))</f>
        <v>DELETE</v>
      </c>
      <c r="S2158" s="417"/>
      <c r="T2158" s="417"/>
      <c r="U2158" s="417"/>
      <c r="V2158" s="417"/>
      <c r="W2158" s="417"/>
      <c r="X2158" s="417"/>
      <c r="Y2158" s="418"/>
      <c r="Z2158" s="418"/>
      <c r="AA2158" s="418"/>
      <c r="AB2158" s="417"/>
      <c r="AC2158" s="417"/>
      <c r="AD2158" s="417"/>
      <c r="AE2158" s="417"/>
      <c r="AF2158" s="417"/>
      <c r="AG2158" s="417"/>
      <c r="AH2158" s="417"/>
      <c r="AI2158" s="417"/>
    </row>
    <row r="2159" spans="1:35" s="370" customFormat="1" ht="31.5" customHeight="1" x14ac:dyDescent="0.45">
      <c r="A2159" s="368"/>
      <c r="B2159" s="388"/>
      <c r="C2159" s="369"/>
      <c r="D2159" s="368" t="s">
        <v>703</v>
      </c>
      <c r="E2159" s="368"/>
      <c r="F2159" s="368"/>
      <c r="G2159" s="368"/>
      <c r="H2159" s="368"/>
      <c r="I2159" s="368"/>
      <c r="L2159" s="372"/>
      <c r="M2159" s="37"/>
      <c r="O2159" s="456">
        <f>TrialBalanceC!I38</f>
        <v>0</v>
      </c>
      <c r="P2159" s="380"/>
      <c r="Q2159" s="389"/>
      <c r="R2159" s="416" t="str">
        <f t="shared" si="180"/>
        <v>DELETE</v>
      </c>
      <c r="S2159" s="417"/>
      <c r="T2159" s="417"/>
      <c r="U2159" s="417"/>
      <c r="V2159" s="417"/>
      <c r="W2159" s="417"/>
      <c r="X2159" s="417"/>
      <c r="Y2159" s="418"/>
      <c r="Z2159" s="418"/>
      <c r="AA2159" s="418"/>
      <c r="AB2159" s="417"/>
      <c r="AC2159" s="417"/>
      <c r="AD2159" s="417"/>
      <c r="AE2159" s="417"/>
      <c r="AF2159" s="417"/>
      <c r="AG2159" s="417"/>
      <c r="AH2159" s="417"/>
      <c r="AI2159" s="417"/>
    </row>
    <row r="2160" spans="1:35" s="370" customFormat="1" ht="31.5" customHeight="1" x14ac:dyDescent="0.45">
      <c r="A2160" s="368"/>
      <c r="B2160" s="388"/>
      <c r="C2160" s="369"/>
      <c r="D2160" s="368" t="s">
        <v>278</v>
      </c>
      <c r="E2160" s="368"/>
      <c r="F2160" s="368"/>
      <c r="G2160" s="368"/>
      <c r="H2160" s="368"/>
      <c r="I2160" s="368"/>
      <c r="L2160" s="372"/>
      <c r="M2160" s="37"/>
      <c r="O2160" s="456">
        <f>TrialBalanceC!I39</f>
        <v>0</v>
      </c>
      <c r="P2160" s="380"/>
      <c r="Q2160" s="389"/>
      <c r="R2160" s="416" t="str">
        <f t="shared" si="180"/>
        <v>DELETE</v>
      </c>
      <c r="S2160" s="417"/>
      <c r="T2160" s="417"/>
      <c r="U2160" s="417"/>
      <c r="V2160" s="417"/>
      <c r="W2160" s="417"/>
      <c r="X2160" s="417"/>
      <c r="Y2160" s="418"/>
      <c r="Z2160" s="418"/>
      <c r="AA2160" s="418"/>
      <c r="AB2160" s="417"/>
      <c r="AC2160" s="417"/>
      <c r="AD2160" s="417"/>
      <c r="AE2160" s="417"/>
      <c r="AF2160" s="417"/>
      <c r="AG2160" s="417"/>
      <c r="AH2160" s="417"/>
      <c r="AI2160" s="417"/>
    </row>
    <row r="2161" spans="1:35" s="370" customFormat="1" ht="31.5" customHeight="1" x14ac:dyDescent="0.45">
      <c r="A2161" s="368"/>
      <c r="B2161" s="388"/>
      <c r="C2161" s="369"/>
      <c r="D2161" s="368" t="s">
        <v>279</v>
      </c>
      <c r="E2161" s="368"/>
      <c r="F2161" s="368"/>
      <c r="G2161" s="368"/>
      <c r="H2161" s="368"/>
      <c r="I2161" s="368"/>
      <c r="K2161" s="370">
        <f>C$745</f>
        <v>6.2999999999999989</v>
      </c>
      <c r="L2161" s="372"/>
      <c r="M2161" s="37"/>
      <c r="O2161" s="456">
        <f>SUM(TrialBalanceC!I41:I43)</f>
        <v>0</v>
      </c>
      <c r="P2161" s="380"/>
      <c r="Q2161" s="389"/>
      <c r="R2161" s="416" t="str">
        <f t="shared" si="180"/>
        <v>DELETE</v>
      </c>
      <c r="S2161" s="417"/>
      <c r="T2161" s="417"/>
      <c r="U2161" s="417"/>
      <c r="V2161" s="417"/>
      <c r="W2161" s="417"/>
      <c r="X2161" s="417"/>
      <c r="Y2161" s="418"/>
      <c r="Z2161" s="418"/>
      <c r="AA2161" s="418"/>
      <c r="AB2161" s="417"/>
      <c r="AC2161" s="417"/>
      <c r="AD2161" s="417"/>
      <c r="AE2161" s="417"/>
      <c r="AF2161" s="417"/>
      <c r="AG2161" s="417"/>
      <c r="AH2161" s="417"/>
      <c r="AI2161" s="417"/>
    </row>
    <row r="2162" spans="1:35" s="370" customFormat="1" ht="31.5" customHeight="1" x14ac:dyDescent="0.45">
      <c r="A2162" s="368"/>
      <c r="B2162" s="388"/>
      <c r="C2162" s="369"/>
      <c r="D2162" s="368" t="s">
        <v>501</v>
      </c>
      <c r="E2162" s="368"/>
      <c r="F2162" s="368"/>
      <c r="G2162" s="368"/>
      <c r="H2162" s="368"/>
      <c r="I2162" s="368"/>
      <c r="L2162" s="372"/>
      <c r="M2162" s="37"/>
      <c r="O2162" s="456">
        <f>TrialBalanceC!I44</f>
        <v>0</v>
      </c>
      <c r="P2162" s="380"/>
      <c r="Q2162" s="389"/>
      <c r="R2162" s="416" t="str">
        <f t="shared" si="180"/>
        <v>DELETE</v>
      </c>
      <c r="S2162" s="422"/>
      <c r="T2162" s="422"/>
      <c r="U2162" s="422"/>
      <c r="V2162" s="422"/>
      <c r="W2162" s="417"/>
      <c r="X2162" s="417"/>
      <c r="Y2162" s="418"/>
      <c r="Z2162" s="418"/>
      <c r="AA2162" s="418"/>
      <c r="AB2162" s="417"/>
      <c r="AC2162" s="417"/>
      <c r="AD2162" s="417"/>
      <c r="AE2162" s="417"/>
      <c r="AF2162" s="417"/>
      <c r="AG2162" s="417"/>
      <c r="AH2162" s="417"/>
      <c r="AI2162" s="417"/>
    </row>
    <row r="2163" spans="1:35" s="370" customFormat="1" ht="31.5" customHeight="1" x14ac:dyDescent="0.45">
      <c r="A2163" s="368"/>
      <c r="B2163" s="388"/>
      <c r="C2163" s="369"/>
      <c r="D2163" s="368" t="s">
        <v>733</v>
      </c>
      <c r="E2163" s="368"/>
      <c r="F2163" s="368"/>
      <c r="G2163" s="368"/>
      <c r="H2163" s="368"/>
      <c r="I2163" s="368"/>
      <c r="L2163" s="372"/>
      <c r="M2163" s="37"/>
      <c r="O2163" s="456">
        <f>TrialBalanceC!I45</f>
        <v>0</v>
      </c>
      <c r="P2163" s="380"/>
      <c r="Q2163" s="389"/>
      <c r="R2163" s="416" t="str">
        <f t="shared" si="180"/>
        <v>DELETE</v>
      </c>
      <c r="S2163" s="417"/>
      <c r="T2163" s="417"/>
      <c r="U2163" s="417"/>
      <c r="V2163" s="417"/>
      <c r="W2163" s="417"/>
      <c r="X2163" s="417"/>
      <c r="Y2163" s="418"/>
      <c r="Z2163" s="418"/>
      <c r="AA2163" s="418"/>
      <c r="AB2163" s="417"/>
      <c r="AC2163" s="417"/>
      <c r="AD2163" s="417"/>
      <c r="AE2163" s="417"/>
      <c r="AF2163" s="417"/>
      <c r="AG2163" s="417"/>
      <c r="AH2163" s="417"/>
      <c r="AI2163" s="417"/>
    </row>
    <row r="2164" spans="1:35" s="370" customFormat="1" ht="31.5" customHeight="1" x14ac:dyDescent="0.45">
      <c r="A2164" s="368"/>
      <c r="B2164" s="388"/>
      <c r="C2164" s="369"/>
      <c r="D2164" s="368" t="s">
        <v>68</v>
      </c>
      <c r="E2164" s="368"/>
      <c r="F2164" s="368"/>
      <c r="G2164" s="368"/>
      <c r="H2164" s="368"/>
      <c r="I2164" s="368"/>
      <c r="L2164" s="372"/>
      <c r="M2164" s="37"/>
      <c r="O2164" s="456">
        <f>TrialBalanceC!I46</f>
        <v>0</v>
      </c>
      <c r="P2164" s="380"/>
      <c r="Q2164" s="389"/>
      <c r="R2164" s="416" t="str">
        <f t="shared" si="180"/>
        <v>DELETE</v>
      </c>
      <c r="S2164" s="417"/>
      <c r="T2164" s="417"/>
      <c r="U2164" s="417"/>
      <c r="V2164" s="417"/>
      <c r="W2164" s="417"/>
      <c r="X2164" s="417"/>
      <c r="Y2164" s="418"/>
      <c r="Z2164" s="418"/>
      <c r="AA2164" s="418"/>
      <c r="AB2164" s="417"/>
      <c r="AC2164" s="417"/>
      <c r="AD2164" s="417"/>
      <c r="AE2164" s="417"/>
      <c r="AF2164" s="417"/>
      <c r="AG2164" s="417"/>
      <c r="AH2164" s="417"/>
      <c r="AI2164" s="417"/>
    </row>
    <row r="2165" spans="1:35" s="370" customFormat="1" ht="31.5" customHeight="1" x14ac:dyDescent="0.45">
      <c r="A2165" s="368"/>
      <c r="B2165" s="388"/>
      <c r="C2165" s="369"/>
      <c r="D2165" s="368" t="s">
        <v>280</v>
      </c>
      <c r="E2165" s="368"/>
      <c r="F2165" s="368"/>
      <c r="G2165" s="368"/>
      <c r="H2165" s="368"/>
      <c r="I2165" s="368"/>
      <c r="L2165" s="372"/>
      <c r="M2165" s="37"/>
      <c r="O2165" s="456">
        <f>TrialBalanceC!I47</f>
        <v>0</v>
      </c>
      <c r="P2165" s="380"/>
      <c r="Q2165" s="389"/>
      <c r="R2165" s="416" t="str">
        <f t="shared" si="180"/>
        <v>DELETE</v>
      </c>
      <c r="S2165" s="417"/>
      <c r="T2165" s="417"/>
      <c r="U2165" s="417"/>
      <c r="V2165" s="417"/>
      <c r="W2165" s="417"/>
      <c r="X2165" s="417"/>
      <c r="Y2165" s="418"/>
      <c r="Z2165" s="418"/>
      <c r="AA2165" s="418"/>
      <c r="AB2165" s="417"/>
      <c r="AC2165" s="417"/>
      <c r="AD2165" s="417"/>
      <c r="AE2165" s="417"/>
      <c r="AF2165" s="417"/>
      <c r="AG2165" s="417"/>
      <c r="AH2165" s="417"/>
      <c r="AI2165" s="417"/>
    </row>
    <row r="2166" spans="1:35" s="370" customFormat="1" ht="31.5" customHeight="1" x14ac:dyDescent="0.45">
      <c r="A2166" s="368"/>
      <c r="B2166" s="388"/>
      <c r="C2166" s="369"/>
      <c r="D2166" s="368" t="s">
        <v>518</v>
      </c>
      <c r="E2166" s="368"/>
      <c r="F2166" s="368"/>
      <c r="G2166" s="368"/>
      <c r="H2166" s="368"/>
      <c r="I2166" s="368"/>
      <c r="L2166" s="372"/>
      <c r="M2166" s="37"/>
      <c r="O2166" s="456">
        <f>SUM(TrialBalanceC!I48:I49)</f>
        <v>0</v>
      </c>
      <c r="P2166" s="380"/>
      <c r="Q2166" s="389"/>
      <c r="R2166" s="416" t="str">
        <f t="shared" si="180"/>
        <v>DELETE</v>
      </c>
      <c r="S2166" s="417"/>
      <c r="T2166" s="417"/>
      <c r="U2166" s="417"/>
      <c r="V2166" s="417"/>
      <c r="W2166" s="417"/>
      <c r="X2166" s="417"/>
      <c r="Y2166" s="418"/>
      <c r="Z2166" s="418"/>
      <c r="AA2166" s="418"/>
      <c r="AB2166" s="417"/>
      <c r="AC2166" s="417"/>
      <c r="AD2166" s="417"/>
      <c r="AE2166" s="417"/>
      <c r="AF2166" s="417"/>
      <c r="AG2166" s="417"/>
      <c r="AH2166" s="417"/>
      <c r="AI2166" s="417"/>
    </row>
    <row r="2167" spans="1:35" s="370" customFormat="1" ht="31.5" customHeight="1" x14ac:dyDescent="0.45">
      <c r="A2167" s="368"/>
      <c r="B2167" s="388"/>
      <c r="C2167" s="369"/>
      <c r="D2167" s="368" t="s">
        <v>516</v>
      </c>
      <c r="E2167" s="368"/>
      <c r="F2167" s="368"/>
      <c r="G2167" s="368"/>
      <c r="H2167" s="368"/>
      <c r="I2167" s="368"/>
      <c r="L2167" s="372"/>
      <c r="M2167" s="37"/>
      <c r="O2167" s="456">
        <f>TrialBalanceC!I50</f>
        <v>0</v>
      </c>
      <c r="P2167" s="380"/>
      <c r="Q2167" s="389"/>
      <c r="R2167" s="416" t="str">
        <f t="shared" si="180"/>
        <v>DELETE</v>
      </c>
      <c r="S2167" s="417"/>
      <c r="T2167" s="417"/>
      <c r="U2167" s="417"/>
      <c r="V2167" s="417"/>
      <c r="W2167" s="417"/>
      <c r="X2167" s="417"/>
      <c r="Y2167" s="418"/>
      <c r="Z2167" s="418"/>
      <c r="AA2167" s="418"/>
      <c r="AB2167" s="417"/>
      <c r="AC2167" s="417"/>
      <c r="AD2167" s="417"/>
      <c r="AE2167" s="417"/>
      <c r="AF2167" s="417"/>
      <c r="AG2167" s="417"/>
      <c r="AH2167" s="417"/>
      <c r="AI2167" s="417"/>
    </row>
    <row r="2168" spans="1:35" s="370" customFormat="1" ht="31.5" customHeight="1" x14ac:dyDescent="0.45">
      <c r="A2168" s="368"/>
      <c r="B2168" s="388"/>
      <c r="C2168" s="369"/>
      <c r="D2168" s="368" t="s">
        <v>502</v>
      </c>
      <c r="E2168" s="368"/>
      <c r="F2168" s="368"/>
      <c r="G2168" s="368"/>
      <c r="H2168" s="368"/>
      <c r="I2168" s="368"/>
      <c r="L2168" s="372"/>
      <c r="M2168" s="37"/>
      <c r="O2168" s="456">
        <f>SUM(TrialBalanceC!I52:I56)</f>
        <v>0</v>
      </c>
      <c r="P2168" s="380"/>
      <c r="Q2168" s="389"/>
      <c r="R2168" s="416" t="str">
        <f t="shared" si="180"/>
        <v>DELETE</v>
      </c>
      <c r="S2168" s="417"/>
      <c r="T2168" s="417"/>
      <c r="U2168" s="417"/>
      <c r="V2168" s="417"/>
      <c r="W2168" s="417"/>
      <c r="X2168" s="417"/>
      <c r="Y2168" s="418"/>
      <c r="Z2168" s="418"/>
      <c r="AA2168" s="418"/>
      <c r="AB2168" s="417"/>
      <c r="AC2168" s="417"/>
      <c r="AD2168" s="417"/>
      <c r="AE2168" s="417"/>
      <c r="AF2168" s="417"/>
      <c r="AG2168" s="417"/>
      <c r="AH2168" s="417"/>
      <c r="AI2168" s="417"/>
    </row>
    <row r="2169" spans="1:35" s="370" customFormat="1" ht="31.5" customHeight="1" x14ac:dyDescent="0.45">
      <c r="A2169" s="368"/>
      <c r="B2169" s="388"/>
      <c r="C2169" s="369"/>
      <c r="D2169" s="368" t="s">
        <v>483</v>
      </c>
      <c r="E2169" s="368"/>
      <c r="F2169" s="368"/>
      <c r="G2169" s="368"/>
      <c r="H2169" s="368"/>
      <c r="I2169" s="368"/>
      <c r="K2169" s="370">
        <f>'FS2'!C$713</f>
        <v>6.1999999999999993</v>
      </c>
      <c r="L2169" s="372"/>
      <c r="M2169" s="37"/>
      <c r="O2169" s="456">
        <f>SUM(TrialBalanceC!I58:I60)</f>
        <v>0</v>
      </c>
      <c r="P2169" s="380"/>
      <c r="Q2169" s="389"/>
      <c r="R2169" s="416" t="str">
        <f t="shared" si="180"/>
        <v>DELETE</v>
      </c>
      <c r="S2169" s="417"/>
      <c r="T2169" s="417"/>
      <c r="U2169" s="417"/>
      <c r="V2169" s="417"/>
      <c r="W2169" s="417"/>
      <c r="X2169" s="417"/>
      <c r="Y2169" s="418"/>
      <c r="Z2169" s="418"/>
      <c r="AA2169" s="418"/>
      <c r="AB2169" s="417"/>
      <c r="AC2169" s="417"/>
      <c r="AD2169" s="417"/>
      <c r="AE2169" s="417"/>
      <c r="AF2169" s="417"/>
      <c r="AG2169" s="417"/>
      <c r="AH2169" s="417"/>
      <c r="AI2169" s="417"/>
    </row>
    <row r="2170" spans="1:35" s="370" customFormat="1" ht="31.5" customHeight="1" x14ac:dyDescent="0.45">
      <c r="A2170" s="368"/>
      <c r="B2170" s="388"/>
      <c r="C2170" s="369"/>
      <c r="D2170" s="368" t="s">
        <v>76</v>
      </c>
      <c r="E2170" s="368"/>
      <c r="F2170" s="368"/>
      <c r="G2170" s="368"/>
      <c r="H2170" s="368"/>
      <c r="I2170" s="368"/>
      <c r="L2170" s="372"/>
      <c r="M2170" s="37"/>
      <c r="O2170" s="456">
        <f>TrialBalanceC!I61</f>
        <v>0</v>
      </c>
      <c r="P2170" s="380"/>
      <c r="Q2170" s="389"/>
      <c r="R2170" s="416" t="str">
        <f t="shared" si="180"/>
        <v>DELETE</v>
      </c>
      <c r="S2170" s="417"/>
      <c r="T2170" s="417"/>
      <c r="U2170" s="417"/>
      <c r="V2170" s="417"/>
      <c r="W2170" s="417"/>
      <c r="X2170" s="417"/>
      <c r="Y2170" s="418"/>
      <c r="Z2170" s="418"/>
      <c r="AA2170" s="418"/>
      <c r="AB2170" s="417"/>
      <c r="AC2170" s="417"/>
      <c r="AD2170" s="417"/>
      <c r="AE2170" s="417"/>
      <c r="AF2170" s="417"/>
      <c r="AG2170" s="417"/>
      <c r="AH2170" s="417"/>
      <c r="AI2170" s="417"/>
    </row>
    <row r="2171" spans="1:35" s="370" customFormat="1" ht="31.5" customHeight="1" x14ac:dyDescent="0.45">
      <c r="A2171" s="368"/>
      <c r="B2171" s="388"/>
      <c r="C2171" s="369"/>
      <c r="D2171" s="368" t="s">
        <v>254</v>
      </c>
      <c r="E2171" s="368"/>
      <c r="F2171" s="368"/>
      <c r="G2171" s="368"/>
      <c r="H2171" s="368"/>
      <c r="I2171" s="368"/>
      <c r="L2171" s="372"/>
      <c r="M2171" s="37"/>
      <c r="O2171" s="456">
        <f>SUM(TrialBalanceC!I62:I64)</f>
        <v>0</v>
      </c>
      <c r="P2171" s="380"/>
      <c r="Q2171" s="389"/>
      <c r="R2171" s="416" t="str">
        <f t="shared" si="180"/>
        <v>DELETE</v>
      </c>
      <c r="S2171" s="417"/>
      <c r="T2171" s="417"/>
      <c r="U2171" s="417"/>
      <c r="V2171" s="417"/>
      <c r="W2171" s="417"/>
      <c r="X2171" s="417"/>
      <c r="Y2171" s="418"/>
      <c r="Z2171" s="418"/>
      <c r="AA2171" s="418"/>
      <c r="AB2171" s="417"/>
      <c r="AC2171" s="417"/>
      <c r="AD2171" s="417"/>
      <c r="AE2171" s="417"/>
      <c r="AF2171" s="417"/>
      <c r="AG2171" s="417"/>
      <c r="AH2171" s="417"/>
      <c r="AI2171" s="417"/>
    </row>
    <row r="2172" spans="1:35" s="370" customFormat="1" ht="31.5" customHeight="1" x14ac:dyDescent="0.45">
      <c r="A2172" s="368"/>
      <c r="B2172" s="388"/>
      <c r="C2172" s="369"/>
      <c r="D2172" s="368" t="s">
        <v>734</v>
      </c>
      <c r="E2172" s="368"/>
      <c r="F2172" s="368"/>
      <c r="G2172" s="368"/>
      <c r="H2172" s="368"/>
      <c r="I2172" s="368"/>
      <c r="L2172" s="372"/>
      <c r="M2172" s="37"/>
      <c r="O2172" s="456">
        <f>SUM(TrialBalanceC!I65:I66)</f>
        <v>0</v>
      </c>
      <c r="P2172" s="380"/>
      <c r="Q2172" s="389"/>
      <c r="R2172" s="416" t="str">
        <f t="shared" si="180"/>
        <v>DELETE</v>
      </c>
      <c r="S2172" s="417"/>
      <c r="T2172" s="417"/>
      <c r="U2172" s="417"/>
      <c r="V2172" s="417"/>
      <c r="W2172" s="417"/>
      <c r="X2172" s="417"/>
      <c r="Y2172" s="418"/>
      <c r="Z2172" s="418"/>
      <c r="AA2172" s="418"/>
      <c r="AB2172" s="417"/>
      <c r="AC2172" s="417"/>
      <c r="AD2172" s="417"/>
      <c r="AE2172" s="417"/>
      <c r="AF2172" s="417"/>
      <c r="AG2172" s="417"/>
      <c r="AH2172" s="417"/>
      <c r="AI2172" s="417"/>
    </row>
    <row r="2173" spans="1:35" s="370" customFormat="1" ht="31.5" customHeight="1" x14ac:dyDescent="0.45">
      <c r="A2173" s="368"/>
      <c r="B2173" s="388"/>
      <c r="C2173" s="369"/>
      <c r="D2173" s="368" t="s">
        <v>255</v>
      </c>
      <c r="E2173" s="368"/>
      <c r="F2173" s="368"/>
      <c r="G2173" s="368"/>
      <c r="H2173" s="368"/>
      <c r="I2173" s="368"/>
      <c r="L2173" s="372"/>
      <c r="M2173" s="37"/>
      <c r="O2173" s="456">
        <f>TrialBalanceC!I67</f>
        <v>0</v>
      </c>
      <c r="P2173" s="380"/>
      <c r="Q2173" s="389"/>
      <c r="R2173" s="416" t="str">
        <f t="shared" si="180"/>
        <v>DELETE</v>
      </c>
      <c r="S2173" s="417"/>
      <c r="T2173" s="417"/>
      <c r="U2173" s="417"/>
      <c r="V2173" s="417"/>
      <c r="W2173" s="417"/>
      <c r="X2173" s="417"/>
      <c r="Y2173" s="418"/>
      <c r="Z2173" s="418"/>
      <c r="AA2173" s="418"/>
      <c r="AB2173" s="417"/>
      <c r="AC2173" s="417"/>
      <c r="AD2173" s="417"/>
      <c r="AE2173" s="417"/>
      <c r="AF2173" s="417"/>
      <c r="AG2173" s="417"/>
      <c r="AH2173" s="417"/>
      <c r="AI2173" s="417"/>
    </row>
    <row r="2174" spans="1:35" s="370" customFormat="1" ht="31.5" customHeight="1" x14ac:dyDescent="0.45">
      <c r="A2174" s="368"/>
      <c r="B2174" s="388"/>
      <c r="C2174" s="369"/>
      <c r="D2174" s="368" t="s">
        <v>392</v>
      </c>
      <c r="E2174" s="368"/>
      <c r="F2174" s="368"/>
      <c r="G2174" s="368"/>
      <c r="H2174" s="368"/>
      <c r="I2174" s="368"/>
      <c r="L2174" s="372"/>
      <c r="M2174" s="37"/>
      <c r="O2174" s="456">
        <f>TrialBalanceC!I68</f>
        <v>0</v>
      </c>
      <c r="P2174" s="380"/>
      <c r="Q2174" s="389"/>
      <c r="R2174" s="416" t="str">
        <f t="shared" si="180"/>
        <v>DELETE</v>
      </c>
      <c r="S2174" s="417"/>
      <c r="T2174" s="417"/>
      <c r="U2174" s="417"/>
      <c r="V2174" s="417"/>
      <c r="W2174" s="417"/>
      <c r="X2174" s="417"/>
      <c r="Y2174" s="418"/>
      <c r="Z2174" s="418"/>
      <c r="AA2174" s="418"/>
      <c r="AB2174" s="417"/>
      <c r="AC2174" s="417"/>
      <c r="AD2174" s="417"/>
      <c r="AE2174" s="417"/>
      <c r="AF2174" s="417"/>
      <c r="AG2174" s="417"/>
      <c r="AH2174" s="417"/>
      <c r="AI2174" s="417"/>
    </row>
    <row r="2175" spans="1:35" s="370" customFormat="1" ht="31.5" customHeight="1" x14ac:dyDescent="0.45">
      <c r="A2175" s="368"/>
      <c r="B2175" s="388"/>
      <c r="C2175" s="369"/>
      <c r="D2175" s="368">
        <f>TrialBalanceC!C69</f>
        <v>0</v>
      </c>
      <c r="E2175" s="368"/>
      <c r="F2175" s="368"/>
      <c r="G2175" s="368"/>
      <c r="H2175" s="368"/>
      <c r="I2175" s="368"/>
      <c r="L2175" s="372"/>
      <c r="M2175" s="37"/>
      <c r="O2175" s="456">
        <f>TrialBalanceC!I69</f>
        <v>0</v>
      </c>
      <c r="P2175" s="380"/>
      <c r="Q2175" s="389"/>
      <c r="R2175" s="416" t="str">
        <f t="shared" si="180"/>
        <v>DELETE</v>
      </c>
      <c r="S2175" s="417"/>
      <c r="T2175" s="417"/>
      <c r="U2175" s="417"/>
      <c r="V2175" s="417"/>
      <c r="W2175" s="417"/>
      <c r="X2175" s="417"/>
      <c r="Y2175" s="418"/>
      <c r="Z2175" s="418"/>
      <c r="AA2175" s="418"/>
      <c r="AB2175" s="417"/>
      <c r="AC2175" s="417"/>
      <c r="AD2175" s="417"/>
      <c r="AE2175" s="417"/>
      <c r="AF2175" s="417"/>
      <c r="AG2175" s="417"/>
      <c r="AH2175" s="417"/>
      <c r="AI2175" s="417"/>
    </row>
    <row r="2176" spans="1:35" s="370" customFormat="1" ht="31.5" customHeight="1" x14ac:dyDescent="0.45">
      <c r="A2176" s="368"/>
      <c r="B2176" s="388"/>
      <c r="C2176" s="369"/>
      <c r="D2176" s="368">
        <f>TrialBalanceC!C70</f>
        <v>0</v>
      </c>
      <c r="E2176" s="368"/>
      <c r="F2176" s="368"/>
      <c r="G2176" s="368"/>
      <c r="H2176" s="368"/>
      <c r="I2176" s="368"/>
      <c r="L2176" s="372"/>
      <c r="M2176" s="37"/>
      <c r="O2176" s="456">
        <f>TrialBalanceC!I70</f>
        <v>0</v>
      </c>
      <c r="P2176" s="380"/>
      <c r="Q2176" s="389"/>
      <c r="R2176" s="416" t="str">
        <f t="shared" si="180"/>
        <v>DELETE</v>
      </c>
      <c r="S2176" s="417"/>
      <c r="T2176" s="417"/>
      <c r="U2176" s="417"/>
      <c r="V2176" s="417"/>
      <c r="W2176" s="417"/>
      <c r="X2176" s="417"/>
      <c r="Y2176" s="418"/>
      <c r="Z2176" s="418"/>
      <c r="AA2176" s="418"/>
      <c r="AB2176" s="417"/>
      <c r="AC2176" s="417"/>
      <c r="AD2176" s="417"/>
      <c r="AE2176" s="417"/>
      <c r="AF2176" s="417"/>
      <c r="AG2176" s="417"/>
      <c r="AH2176" s="417"/>
      <c r="AI2176" s="417"/>
    </row>
    <row r="2177" spans="1:35" s="370" customFormat="1" ht="31.5" customHeight="1" x14ac:dyDescent="0.45">
      <c r="A2177" s="368"/>
      <c r="B2177" s="388"/>
      <c r="C2177" s="369"/>
      <c r="D2177" s="368">
        <f>TrialBalanceC!C71</f>
        <v>0</v>
      </c>
      <c r="E2177" s="368"/>
      <c r="F2177" s="368"/>
      <c r="G2177" s="368"/>
      <c r="H2177" s="368"/>
      <c r="I2177" s="368"/>
      <c r="L2177" s="372"/>
      <c r="M2177" s="37"/>
      <c r="O2177" s="456">
        <f>TrialBalanceC!I71</f>
        <v>0</v>
      </c>
      <c r="P2177" s="380"/>
      <c r="Q2177" s="389"/>
      <c r="R2177" s="416" t="str">
        <f t="shared" si="180"/>
        <v>DELETE</v>
      </c>
      <c r="S2177" s="417"/>
      <c r="T2177" s="417"/>
      <c r="U2177" s="417"/>
      <c r="V2177" s="417"/>
      <c r="W2177" s="417"/>
      <c r="X2177" s="417"/>
      <c r="Y2177" s="418"/>
      <c r="Z2177" s="418"/>
      <c r="AA2177" s="418"/>
      <c r="AB2177" s="417"/>
      <c r="AC2177" s="417"/>
      <c r="AD2177" s="417"/>
      <c r="AE2177" s="417"/>
      <c r="AF2177" s="417"/>
      <c r="AG2177" s="417"/>
      <c r="AH2177" s="417"/>
      <c r="AI2177" s="417"/>
    </row>
    <row r="2178" spans="1:35" s="370" customFormat="1" ht="31.5" customHeight="1" x14ac:dyDescent="0.45">
      <c r="A2178" s="368"/>
      <c r="B2178" s="388"/>
      <c r="C2178" s="369"/>
      <c r="D2178" s="368">
        <f>TrialBalanceC!C72</f>
        <v>0</v>
      </c>
      <c r="E2178" s="368"/>
      <c r="F2178" s="368"/>
      <c r="G2178" s="368"/>
      <c r="H2178" s="368"/>
      <c r="I2178" s="368"/>
      <c r="L2178" s="372"/>
      <c r="M2178" s="37"/>
      <c r="O2178" s="456">
        <f>TrialBalanceC!I72</f>
        <v>0</v>
      </c>
      <c r="P2178" s="380"/>
      <c r="Q2178" s="389"/>
      <c r="R2178" s="416" t="str">
        <f t="shared" si="180"/>
        <v>DELETE</v>
      </c>
      <c r="S2178" s="417"/>
      <c r="T2178" s="417"/>
      <c r="U2178" s="417"/>
      <c r="V2178" s="417"/>
      <c r="W2178" s="417"/>
      <c r="X2178" s="417"/>
      <c r="Y2178" s="418"/>
      <c r="Z2178" s="418"/>
      <c r="AA2178" s="418"/>
      <c r="AB2178" s="417"/>
      <c r="AC2178" s="417"/>
      <c r="AD2178" s="417"/>
      <c r="AE2178" s="417"/>
      <c r="AF2178" s="417"/>
      <c r="AG2178" s="417"/>
      <c r="AH2178" s="417"/>
      <c r="AI2178" s="417"/>
    </row>
    <row r="2179" spans="1:35" s="370" customFormat="1" ht="31.5" customHeight="1" x14ac:dyDescent="0.45">
      <c r="A2179" s="368"/>
      <c r="B2179" s="388"/>
      <c r="C2179" s="369"/>
      <c r="D2179" s="368">
        <f>TrialBalanceC!C73</f>
        <v>0</v>
      </c>
      <c r="E2179" s="368"/>
      <c r="F2179" s="368"/>
      <c r="G2179" s="368"/>
      <c r="H2179" s="368"/>
      <c r="I2179" s="368"/>
      <c r="L2179" s="372"/>
      <c r="M2179" s="37"/>
      <c r="O2179" s="456">
        <f>TrialBalanceC!I73</f>
        <v>0</v>
      </c>
      <c r="P2179" s="380"/>
      <c r="Q2179" s="389"/>
      <c r="R2179" s="416" t="str">
        <f t="shared" si="180"/>
        <v>DELETE</v>
      </c>
      <c r="S2179" s="417"/>
      <c r="T2179" s="417"/>
      <c r="U2179" s="417"/>
      <c r="V2179" s="417"/>
      <c r="W2179" s="417"/>
      <c r="X2179" s="417"/>
      <c r="Y2179" s="418"/>
      <c r="Z2179" s="418"/>
      <c r="AA2179" s="418"/>
      <c r="AB2179" s="417"/>
      <c r="AC2179" s="417"/>
      <c r="AD2179" s="417"/>
      <c r="AE2179" s="417"/>
      <c r="AF2179" s="417"/>
      <c r="AG2179" s="417"/>
      <c r="AH2179" s="417"/>
      <c r="AI2179" s="417"/>
    </row>
    <row r="2180" spans="1:35" s="370" customFormat="1" ht="31.5" customHeight="1" x14ac:dyDescent="0.45">
      <c r="A2180" s="368"/>
      <c r="B2180" s="388"/>
      <c r="C2180" s="369"/>
      <c r="D2180" s="368">
        <f>TrialBalanceC!C74</f>
        <v>0</v>
      </c>
      <c r="E2180" s="368"/>
      <c r="F2180" s="368"/>
      <c r="G2180" s="368"/>
      <c r="H2180" s="368"/>
      <c r="I2180" s="368"/>
      <c r="L2180" s="372"/>
      <c r="M2180" s="37"/>
      <c r="O2180" s="456">
        <f>TrialBalanceC!I74</f>
        <v>0</v>
      </c>
      <c r="P2180" s="380"/>
      <c r="Q2180" s="389"/>
      <c r="R2180" s="416" t="str">
        <f t="shared" si="180"/>
        <v>DELETE</v>
      </c>
      <c r="S2180" s="417"/>
      <c r="T2180" s="417"/>
      <c r="U2180" s="417"/>
      <c r="V2180" s="417"/>
      <c r="W2180" s="417"/>
      <c r="X2180" s="417"/>
      <c r="Y2180" s="418"/>
      <c r="Z2180" s="418"/>
      <c r="AA2180" s="418"/>
      <c r="AB2180" s="417"/>
      <c r="AC2180" s="417"/>
      <c r="AD2180" s="417"/>
      <c r="AE2180" s="417"/>
      <c r="AF2180" s="417"/>
      <c r="AG2180" s="417"/>
      <c r="AH2180" s="417"/>
      <c r="AI2180" s="417"/>
    </row>
    <row r="2181" spans="1:35" s="370" customFormat="1" ht="31.5" customHeight="1" x14ac:dyDescent="0.45">
      <c r="A2181" s="368"/>
      <c r="B2181" s="388"/>
      <c r="C2181" s="369"/>
      <c r="D2181" s="368">
        <f>TrialBalanceC!C75</f>
        <v>0</v>
      </c>
      <c r="E2181" s="368"/>
      <c r="F2181" s="368"/>
      <c r="G2181" s="368"/>
      <c r="H2181" s="368"/>
      <c r="I2181" s="368"/>
      <c r="L2181" s="372"/>
      <c r="M2181" s="37"/>
      <c r="O2181" s="456">
        <f>TrialBalanceC!I75</f>
        <v>0</v>
      </c>
      <c r="P2181" s="380"/>
      <c r="Q2181" s="389"/>
      <c r="R2181" s="416" t="str">
        <f t="shared" si="180"/>
        <v>DELETE</v>
      </c>
      <c r="S2181" s="417"/>
      <c r="T2181" s="417"/>
      <c r="U2181" s="417"/>
      <c r="V2181" s="417"/>
      <c r="W2181" s="417"/>
      <c r="X2181" s="417"/>
      <c r="Y2181" s="418"/>
      <c r="Z2181" s="418"/>
      <c r="AA2181" s="418"/>
      <c r="AB2181" s="417"/>
      <c r="AC2181" s="417"/>
      <c r="AD2181" s="417"/>
      <c r="AE2181" s="417"/>
      <c r="AF2181" s="417"/>
      <c r="AG2181" s="417"/>
      <c r="AH2181" s="417"/>
      <c r="AI2181" s="417"/>
    </row>
    <row r="2182" spans="1:35" s="370" customFormat="1" ht="31.5" customHeight="1" x14ac:dyDescent="0.45">
      <c r="A2182" s="368"/>
      <c r="B2182" s="388"/>
      <c r="C2182" s="369"/>
      <c r="D2182" s="368">
        <f>TrialBalanceC!C76</f>
        <v>0</v>
      </c>
      <c r="E2182" s="368"/>
      <c r="F2182" s="368"/>
      <c r="G2182" s="368"/>
      <c r="H2182" s="368"/>
      <c r="I2182" s="368"/>
      <c r="L2182" s="372"/>
      <c r="M2182" s="37"/>
      <c r="O2182" s="456">
        <f>TrialBalanceC!I76</f>
        <v>0</v>
      </c>
      <c r="P2182" s="380"/>
      <c r="Q2182" s="389"/>
      <c r="R2182" s="416" t="str">
        <f t="shared" si="180"/>
        <v>DELETE</v>
      </c>
      <c r="S2182" s="417"/>
      <c r="T2182" s="417"/>
      <c r="U2182" s="417"/>
      <c r="V2182" s="417"/>
      <c r="W2182" s="417"/>
      <c r="X2182" s="417"/>
      <c r="Y2182" s="418"/>
      <c r="Z2182" s="418"/>
      <c r="AA2182" s="418"/>
      <c r="AB2182" s="417"/>
      <c r="AC2182" s="417"/>
      <c r="AD2182" s="417"/>
      <c r="AE2182" s="417"/>
      <c r="AF2182" s="417"/>
      <c r="AG2182" s="417"/>
      <c r="AH2182" s="417"/>
      <c r="AI2182" s="417"/>
    </row>
    <row r="2183" spans="1:35" s="370" customFormat="1" ht="31.5" customHeight="1" x14ac:dyDescent="0.45">
      <c r="A2183" s="368"/>
      <c r="B2183" s="388"/>
      <c r="C2183" s="369"/>
      <c r="D2183" s="368">
        <f>TrialBalanceC!C77</f>
        <v>0</v>
      </c>
      <c r="E2183" s="368"/>
      <c r="F2183" s="368"/>
      <c r="G2183" s="368"/>
      <c r="H2183" s="368"/>
      <c r="I2183" s="368"/>
      <c r="L2183" s="372"/>
      <c r="M2183" s="37"/>
      <c r="O2183" s="456">
        <f>TrialBalanceC!I77</f>
        <v>0</v>
      </c>
      <c r="P2183" s="380"/>
      <c r="Q2183" s="389"/>
      <c r="R2183" s="416" t="str">
        <f t="shared" si="180"/>
        <v>DELETE</v>
      </c>
      <c r="S2183" s="417"/>
      <c r="T2183" s="417"/>
      <c r="U2183" s="417"/>
      <c r="V2183" s="417"/>
      <c r="W2183" s="417"/>
      <c r="X2183" s="417"/>
      <c r="Y2183" s="418"/>
      <c r="Z2183" s="418"/>
      <c r="AA2183" s="418"/>
      <c r="AB2183" s="417"/>
      <c r="AC2183" s="417"/>
      <c r="AD2183" s="417"/>
      <c r="AE2183" s="417"/>
      <c r="AF2183" s="417"/>
      <c r="AG2183" s="417"/>
      <c r="AH2183" s="417"/>
      <c r="AI2183" s="417"/>
    </row>
    <row r="2184" spans="1:35" s="370" customFormat="1" ht="31.5" customHeight="1" x14ac:dyDescent="0.45">
      <c r="A2184" s="368"/>
      <c r="B2184" s="388"/>
      <c r="C2184" s="369"/>
      <c r="D2184" s="368">
        <f>TrialBalanceC!C78</f>
        <v>0</v>
      </c>
      <c r="E2184" s="368"/>
      <c r="F2184" s="368"/>
      <c r="G2184" s="368"/>
      <c r="H2184" s="368"/>
      <c r="I2184" s="368"/>
      <c r="L2184" s="372"/>
      <c r="M2184" s="37"/>
      <c r="O2184" s="456">
        <f>TrialBalanceC!I78</f>
        <v>0</v>
      </c>
      <c r="P2184" s="380"/>
      <c r="Q2184" s="389"/>
      <c r="R2184" s="416" t="str">
        <f t="shared" si="180"/>
        <v>DELETE</v>
      </c>
      <c r="S2184" s="417"/>
      <c r="T2184" s="417"/>
      <c r="U2184" s="417"/>
      <c r="V2184" s="417"/>
      <c r="W2184" s="417"/>
      <c r="X2184" s="417"/>
      <c r="Y2184" s="418"/>
      <c r="Z2184" s="418"/>
      <c r="AA2184" s="418"/>
      <c r="AB2184" s="417"/>
      <c r="AC2184" s="417"/>
      <c r="AD2184" s="417"/>
      <c r="AE2184" s="417"/>
      <c r="AF2184" s="417"/>
      <c r="AG2184" s="417"/>
      <c r="AH2184" s="417"/>
      <c r="AI2184" s="417"/>
    </row>
    <row r="2185" spans="1:35" s="370" customFormat="1" ht="9" customHeight="1" x14ac:dyDescent="0.45">
      <c r="A2185" s="368"/>
      <c r="B2185" s="388"/>
      <c r="C2185" s="369"/>
      <c r="D2185" s="368"/>
      <c r="E2185" s="368"/>
      <c r="F2185" s="368"/>
      <c r="G2185" s="368"/>
      <c r="H2185" s="368"/>
      <c r="I2185" s="368"/>
      <c r="L2185" s="372"/>
      <c r="M2185" s="37"/>
      <c r="O2185" s="457"/>
      <c r="P2185" s="380"/>
      <c r="Q2185" s="389"/>
      <c r="R2185" s="416" t="str">
        <f>R2155</f>
        <v>DELETE</v>
      </c>
      <c r="S2185" s="417"/>
      <c r="T2185" s="417"/>
      <c r="U2185" s="417"/>
      <c r="V2185" s="417"/>
      <c r="W2185" s="417"/>
      <c r="X2185" s="417"/>
      <c r="Y2185" s="418"/>
      <c r="Z2185" s="418"/>
      <c r="AA2185" s="418"/>
      <c r="AB2185" s="417"/>
      <c r="AC2185" s="417"/>
      <c r="AD2185" s="417"/>
      <c r="AE2185" s="417"/>
      <c r="AF2185" s="417"/>
      <c r="AG2185" s="417"/>
      <c r="AH2185" s="417"/>
      <c r="AI2185" s="417"/>
    </row>
    <row r="2186" spans="1:35" s="370" customFormat="1" ht="9" customHeight="1" x14ac:dyDescent="0.45">
      <c r="A2186" s="368"/>
      <c r="B2186" s="388"/>
      <c r="C2186" s="369"/>
      <c r="D2186" s="368"/>
      <c r="E2186" s="368"/>
      <c r="F2186" s="368"/>
      <c r="G2186" s="368"/>
      <c r="H2186" s="368"/>
      <c r="I2186" s="368"/>
      <c r="L2186" s="372"/>
      <c r="M2186" s="37"/>
      <c r="O2186" s="438"/>
      <c r="P2186" s="380"/>
      <c r="Q2186" s="389"/>
      <c r="R2186" s="416" t="str">
        <f t="shared" ref="R2186:R2206" si="181">R$2109</f>
        <v>DELETE</v>
      </c>
      <c r="S2186" s="417"/>
      <c r="T2186" s="417"/>
      <c r="U2186" s="417"/>
      <c r="V2186" s="417"/>
      <c r="W2186" s="417"/>
      <c r="X2186" s="417"/>
      <c r="Y2186" s="418"/>
      <c r="Z2186" s="418"/>
      <c r="AA2186" s="418"/>
      <c r="AB2186" s="417"/>
      <c r="AC2186" s="417"/>
      <c r="AD2186" s="417"/>
      <c r="AE2186" s="417"/>
      <c r="AF2186" s="417"/>
      <c r="AG2186" s="417"/>
      <c r="AH2186" s="417"/>
      <c r="AI2186" s="417"/>
    </row>
    <row r="2187" spans="1:35" s="370" customFormat="1" ht="9" customHeight="1" x14ac:dyDescent="0.45">
      <c r="A2187" s="368"/>
      <c r="B2187" s="388"/>
      <c r="C2187" s="369"/>
      <c r="D2187" s="368"/>
      <c r="E2187" s="368"/>
      <c r="F2187" s="368"/>
      <c r="G2187" s="368"/>
      <c r="H2187" s="368"/>
      <c r="I2187" s="368"/>
      <c r="L2187" s="372"/>
      <c r="M2187" s="37"/>
      <c r="O2187" s="434"/>
      <c r="P2187" s="380"/>
      <c r="Q2187" s="389"/>
      <c r="R2187" s="416" t="str">
        <f t="shared" si="181"/>
        <v>DELETE</v>
      </c>
      <c r="S2187" s="417"/>
      <c r="T2187" s="417"/>
      <c r="U2187" s="417"/>
      <c r="V2187" s="417"/>
      <c r="W2187" s="417"/>
      <c r="X2187" s="417"/>
      <c r="Y2187" s="418"/>
      <c r="Z2187" s="418"/>
      <c r="AA2187" s="418"/>
      <c r="AB2187" s="417"/>
      <c r="AC2187" s="417"/>
      <c r="AD2187" s="417"/>
      <c r="AE2187" s="417"/>
      <c r="AF2187" s="417"/>
      <c r="AG2187" s="417"/>
      <c r="AH2187" s="417"/>
      <c r="AI2187" s="417"/>
    </row>
    <row r="2188" spans="1:35" s="370" customFormat="1" ht="31.5" customHeight="1" x14ac:dyDescent="0.45">
      <c r="A2188" s="368"/>
      <c r="B2188" s="388"/>
      <c r="C2188" s="411" t="str">
        <f>IF(O2188&lt;0,"OPERATING LOSS","OPERATING PROFIT")</f>
        <v>OPERATING PROFIT</v>
      </c>
      <c r="D2188" s="368"/>
      <c r="E2188" s="368"/>
      <c r="F2188" s="368"/>
      <c r="G2188" s="368"/>
      <c r="H2188" s="368"/>
      <c r="I2188" s="368"/>
      <c r="L2188" s="372"/>
      <c r="M2188" s="37"/>
      <c r="O2188" s="434">
        <f>SUM(S2121:S2186)</f>
        <v>0</v>
      </c>
      <c r="P2188" s="380"/>
      <c r="Q2188" s="389"/>
      <c r="R2188" s="416" t="str">
        <f t="shared" si="181"/>
        <v>DELETE</v>
      </c>
      <c r="S2188" s="417"/>
      <c r="T2188" s="417"/>
      <c r="U2188" s="417"/>
      <c r="V2188" s="417"/>
      <c r="W2188" s="417"/>
      <c r="X2188" s="417"/>
      <c r="Y2188" s="418"/>
      <c r="Z2188" s="418"/>
      <c r="AA2188" s="418"/>
      <c r="AB2188" s="417"/>
      <c r="AC2188" s="417"/>
      <c r="AD2188" s="417"/>
      <c r="AE2188" s="417"/>
      <c r="AF2188" s="417"/>
      <c r="AG2188" s="417"/>
      <c r="AH2188" s="417"/>
      <c r="AI2188" s="417"/>
    </row>
    <row r="2189" spans="1:35" s="370" customFormat="1" ht="31.5" customHeight="1" x14ac:dyDescent="0.45">
      <c r="A2189" s="368"/>
      <c r="B2189" s="388"/>
      <c r="C2189" s="369"/>
      <c r="D2189" s="368" t="s">
        <v>257</v>
      </c>
      <c r="E2189" s="368"/>
      <c r="F2189" s="368"/>
      <c r="G2189" s="368"/>
      <c r="H2189" s="368"/>
      <c r="I2189" s="368"/>
      <c r="L2189" s="372"/>
      <c r="M2189" s="37"/>
      <c r="O2189" s="434"/>
      <c r="P2189" s="380"/>
      <c r="Q2189" s="389"/>
      <c r="R2189" s="416" t="str">
        <f t="shared" si="181"/>
        <v>DELETE</v>
      </c>
      <c r="S2189" s="417"/>
      <c r="T2189" s="417"/>
      <c r="U2189" s="417"/>
      <c r="V2189" s="417"/>
      <c r="W2189" s="417"/>
      <c r="X2189" s="417"/>
      <c r="Y2189" s="418"/>
      <c r="Z2189" s="418"/>
      <c r="AA2189" s="418"/>
      <c r="AB2189" s="417"/>
      <c r="AC2189" s="417"/>
      <c r="AD2189" s="417"/>
      <c r="AE2189" s="417"/>
      <c r="AF2189" s="417"/>
      <c r="AG2189" s="417"/>
      <c r="AH2189" s="417"/>
      <c r="AI2189" s="417"/>
    </row>
    <row r="2190" spans="1:35" s="370" customFormat="1" ht="31.5" customHeight="1" x14ac:dyDescent="0.45">
      <c r="A2190" s="368"/>
      <c r="B2190" s="388"/>
      <c r="C2190" s="369"/>
      <c r="D2190" s="368"/>
      <c r="E2190" s="368"/>
      <c r="F2190" s="368"/>
      <c r="G2190" s="368"/>
      <c r="H2190" s="368"/>
      <c r="I2190" s="368"/>
      <c r="M2190" s="434"/>
      <c r="N2190" s="390"/>
      <c r="O2190" s="434"/>
      <c r="P2190" s="380"/>
      <c r="Q2190" s="389"/>
      <c r="R2190" s="416" t="str">
        <f t="shared" si="181"/>
        <v>DELETE</v>
      </c>
      <c r="S2190" s="417"/>
      <c r="T2190" s="417"/>
      <c r="U2190" s="417"/>
      <c r="V2190" s="417"/>
      <c r="W2190" s="417"/>
      <c r="X2190" s="417"/>
      <c r="Y2190" s="418"/>
      <c r="Z2190" s="418"/>
      <c r="AA2190" s="418"/>
      <c r="AB2190" s="417"/>
      <c r="AC2190" s="417"/>
      <c r="AD2190" s="417"/>
      <c r="AE2190" s="417"/>
      <c r="AF2190" s="417"/>
      <c r="AG2190" s="417"/>
      <c r="AH2190" s="417"/>
      <c r="AI2190" s="417"/>
    </row>
    <row r="2191" spans="1:35" s="370" customFormat="1" ht="31.5" customHeight="1" x14ac:dyDescent="0.45">
      <c r="A2191" s="368"/>
      <c r="B2191" s="388"/>
      <c r="C2191" s="369"/>
      <c r="D2191" s="368"/>
      <c r="E2191" s="368"/>
      <c r="F2191" s="368"/>
      <c r="G2191" s="368"/>
      <c r="H2191" s="368"/>
      <c r="I2191" s="368"/>
      <c r="M2191" s="434"/>
      <c r="N2191" s="390"/>
      <c r="O2191" s="434"/>
      <c r="P2191" s="380"/>
      <c r="Q2191" s="389"/>
      <c r="R2191" s="416" t="str">
        <f t="shared" si="181"/>
        <v>DELETE</v>
      </c>
      <c r="S2191" s="417"/>
      <c r="T2191" s="417"/>
      <c r="U2191" s="417"/>
      <c r="V2191" s="417"/>
      <c r="W2191" s="417"/>
      <c r="X2191" s="417"/>
      <c r="Y2191" s="418"/>
      <c r="Z2191" s="418"/>
      <c r="AA2191" s="418"/>
      <c r="AB2191" s="417"/>
      <c r="AC2191" s="417"/>
      <c r="AD2191" s="417"/>
      <c r="AE2191" s="417"/>
      <c r="AF2191" s="417"/>
      <c r="AG2191" s="417"/>
      <c r="AH2191" s="417"/>
      <c r="AI2191" s="417"/>
    </row>
    <row r="2192" spans="1:35" s="370" customFormat="1" ht="31.5" customHeight="1" x14ac:dyDescent="0.45">
      <c r="A2192" s="368"/>
      <c r="B2192" s="396"/>
      <c r="C2192" s="407"/>
      <c r="D2192" s="383"/>
      <c r="E2192" s="383"/>
      <c r="F2192" s="383"/>
      <c r="G2192" s="383"/>
      <c r="H2192" s="383"/>
      <c r="I2192" s="383"/>
      <c r="J2192" s="403"/>
      <c r="K2192" s="403"/>
      <c r="L2192" s="403"/>
      <c r="M2192" s="438"/>
      <c r="N2192" s="392"/>
      <c r="O2192" s="438"/>
      <c r="P2192" s="404"/>
      <c r="Q2192" s="398"/>
      <c r="R2192" s="416" t="str">
        <f t="shared" si="181"/>
        <v>DELETE</v>
      </c>
      <c r="S2192" s="417"/>
      <c r="T2192" s="417"/>
      <c r="U2192" s="417"/>
      <c r="V2192" s="417"/>
      <c r="W2192" s="417"/>
      <c r="X2192" s="417"/>
      <c r="Y2192" s="418"/>
      <c r="Z2192" s="418"/>
      <c r="AA2192" s="418"/>
      <c r="AB2192" s="417"/>
      <c r="AC2192" s="417"/>
      <c r="AD2192" s="417"/>
      <c r="AE2192" s="417"/>
      <c r="AF2192" s="417"/>
      <c r="AG2192" s="417"/>
      <c r="AH2192" s="417"/>
      <c r="AI2192" s="417"/>
    </row>
    <row r="2193" spans="1:35" s="370" customFormat="1" ht="31.5" customHeight="1" x14ac:dyDescent="0.45">
      <c r="A2193" s="368"/>
      <c r="B2193" s="368"/>
      <c r="C2193" s="369"/>
      <c r="D2193" s="368"/>
      <c r="E2193" s="368"/>
      <c r="F2193" s="368"/>
      <c r="G2193" s="368"/>
      <c r="H2193" s="368"/>
      <c r="I2193" s="368"/>
      <c r="M2193" s="434"/>
      <c r="N2193" s="390"/>
      <c r="O2193" s="434"/>
      <c r="P2193" s="380"/>
      <c r="Q2193" s="368"/>
      <c r="R2193" s="416" t="str">
        <f t="shared" si="181"/>
        <v>DELETE</v>
      </c>
      <c r="S2193" s="417"/>
      <c r="T2193" s="417"/>
      <c r="U2193" s="417"/>
      <c r="V2193" s="417"/>
      <c r="W2193" s="417"/>
      <c r="X2193" s="417"/>
      <c r="Y2193" s="418"/>
      <c r="Z2193" s="418"/>
      <c r="AA2193" s="418"/>
      <c r="AB2193" s="417"/>
      <c r="AC2193" s="417"/>
      <c r="AD2193" s="417"/>
      <c r="AE2193" s="417"/>
      <c r="AF2193" s="417"/>
      <c r="AG2193" s="417"/>
      <c r="AH2193" s="417"/>
      <c r="AI2193" s="417"/>
    </row>
    <row r="2194" spans="1:35" s="370" customFormat="1" ht="31.5" customHeight="1" x14ac:dyDescent="0.45">
      <c r="A2194" s="368"/>
      <c r="B2194" s="368"/>
      <c r="C2194" s="369"/>
      <c r="D2194" s="368"/>
      <c r="E2194" s="368"/>
      <c r="F2194" s="368"/>
      <c r="G2194" s="368"/>
      <c r="H2194" s="368"/>
      <c r="I2194" s="368"/>
      <c r="M2194" s="434"/>
      <c r="N2194" s="390"/>
      <c r="O2194" s="434"/>
      <c r="P2194" s="380"/>
      <c r="Q2194" s="368"/>
      <c r="R2194" s="416" t="str">
        <f t="shared" si="181"/>
        <v>DELETE</v>
      </c>
      <c r="S2194" s="417"/>
      <c r="T2194" s="417"/>
      <c r="U2194" s="417"/>
      <c r="V2194" s="417"/>
      <c r="W2194" s="417"/>
      <c r="X2194" s="417"/>
      <c r="Y2194" s="418"/>
      <c r="Z2194" s="418"/>
      <c r="AA2194" s="418"/>
      <c r="AB2194" s="417"/>
      <c r="AC2194" s="417"/>
      <c r="AD2194" s="417"/>
      <c r="AE2194" s="417"/>
      <c r="AF2194" s="417"/>
      <c r="AG2194" s="417"/>
      <c r="AH2194" s="417"/>
      <c r="AI2194" s="417"/>
    </row>
    <row r="2195" spans="1:35" s="370" customFormat="1" ht="31.5" customHeight="1" x14ac:dyDescent="0.45">
      <c r="A2195" s="368"/>
      <c r="B2195" s="368"/>
      <c r="C2195" s="369"/>
      <c r="D2195" s="369" t="str">
        <f>Criteria!E9</f>
        <v>ABC TRUST</v>
      </c>
      <c r="E2195" s="368"/>
      <c r="F2195" s="368"/>
      <c r="G2195" s="368"/>
      <c r="H2195" s="368"/>
      <c r="I2195" s="368"/>
      <c r="M2195" s="434"/>
      <c r="N2195" s="390"/>
      <c r="O2195" s="434" t="s">
        <v>105</v>
      </c>
      <c r="P2195" s="380"/>
      <c r="Q2195" s="370">
        <f>MAX($Q$2112:Q2194)+1</f>
        <v>2</v>
      </c>
      <c r="R2195" s="416" t="str">
        <f t="shared" si="181"/>
        <v>DELETE</v>
      </c>
      <c r="S2195" s="417"/>
      <c r="T2195" s="417"/>
      <c r="U2195" s="417"/>
      <c r="V2195" s="417"/>
      <c r="W2195" s="417"/>
      <c r="X2195" s="417"/>
      <c r="Y2195" s="418"/>
      <c r="Z2195" s="418"/>
      <c r="AA2195" s="418"/>
      <c r="AB2195" s="417"/>
      <c r="AC2195" s="417"/>
      <c r="AD2195" s="417"/>
      <c r="AE2195" s="417"/>
      <c r="AF2195" s="417"/>
      <c r="AG2195" s="417"/>
      <c r="AH2195" s="417"/>
      <c r="AI2195" s="417"/>
    </row>
    <row r="2196" spans="1:35" s="370" customFormat="1" ht="31.5" customHeight="1" x14ac:dyDescent="0.45">
      <c r="A2196" s="368"/>
      <c r="B2196" s="368"/>
      <c r="C2196" s="369"/>
      <c r="D2196" s="369" t="str">
        <f>CONCATENATE("T/A ",Criteria!E16)</f>
        <v xml:space="preserve">T/A </v>
      </c>
      <c r="E2196" s="368"/>
      <c r="F2196" s="368"/>
      <c r="G2196" s="368"/>
      <c r="H2196" s="368"/>
      <c r="I2196" s="368"/>
      <c r="M2196" s="434"/>
      <c r="N2196" s="390"/>
      <c r="O2196" s="434"/>
      <c r="P2196" s="380"/>
      <c r="Q2196" s="368"/>
      <c r="R2196" s="416" t="str">
        <f t="shared" si="181"/>
        <v>DELETE</v>
      </c>
      <c r="S2196" s="417"/>
      <c r="T2196" s="417"/>
      <c r="U2196" s="417"/>
      <c r="V2196" s="417"/>
      <c r="W2196" s="417"/>
      <c r="X2196" s="417"/>
      <c r="Y2196" s="418"/>
      <c r="Z2196" s="418"/>
      <c r="AA2196" s="418"/>
      <c r="AB2196" s="417"/>
      <c r="AC2196" s="417"/>
      <c r="AD2196" s="417"/>
      <c r="AE2196" s="417"/>
      <c r="AF2196" s="417"/>
      <c r="AG2196" s="417"/>
      <c r="AH2196" s="417"/>
      <c r="AI2196" s="417"/>
    </row>
    <row r="2197" spans="1:35" s="370" customFormat="1" ht="31.5" customHeight="1" x14ac:dyDescent="0.45">
      <c r="A2197" s="368"/>
      <c r="B2197" s="368"/>
      <c r="C2197" s="369"/>
      <c r="D2197" s="368"/>
      <c r="E2197" s="368"/>
      <c r="F2197" s="368"/>
      <c r="G2197" s="368"/>
      <c r="H2197" s="368"/>
      <c r="I2197" s="368"/>
      <c r="M2197" s="434"/>
      <c r="N2197" s="390"/>
      <c r="O2197" s="434"/>
      <c r="P2197" s="380"/>
      <c r="Q2197" s="368"/>
      <c r="R2197" s="416" t="str">
        <f t="shared" si="181"/>
        <v>DELETE</v>
      </c>
      <c r="S2197" s="417"/>
      <c r="T2197" s="417"/>
      <c r="U2197" s="417"/>
      <c r="V2197" s="417"/>
      <c r="W2197" s="417"/>
      <c r="X2197" s="417"/>
      <c r="Y2197" s="418"/>
      <c r="Z2197" s="418"/>
      <c r="AA2197" s="418"/>
      <c r="AB2197" s="417"/>
      <c r="AC2197" s="417"/>
      <c r="AD2197" s="417"/>
      <c r="AE2197" s="417"/>
      <c r="AF2197" s="417"/>
      <c r="AG2197" s="417"/>
      <c r="AH2197" s="417"/>
      <c r="AI2197" s="417"/>
    </row>
    <row r="2198" spans="1:35" s="370" customFormat="1" ht="31.5" customHeight="1" x14ac:dyDescent="0.45">
      <c r="A2198" s="368"/>
      <c r="B2198" s="368"/>
      <c r="C2198" s="369"/>
      <c r="D2198" s="369" t="s">
        <v>100</v>
      </c>
      <c r="E2198" s="368"/>
      <c r="F2198" s="368"/>
      <c r="G2198" s="368"/>
      <c r="H2198" s="368"/>
      <c r="I2198" s="368"/>
      <c r="M2198" s="434"/>
      <c r="N2198" s="390"/>
      <c r="O2198" s="434"/>
      <c r="P2198" s="380"/>
      <c r="Q2198" s="368"/>
      <c r="R2198" s="416" t="str">
        <f t="shared" si="181"/>
        <v>DELETE</v>
      </c>
      <c r="S2198" s="417"/>
      <c r="T2198" s="417"/>
      <c r="U2198" s="417"/>
      <c r="V2198" s="417"/>
      <c r="W2198" s="417"/>
      <c r="X2198" s="417"/>
      <c r="Y2198" s="418"/>
      <c r="Z2198" s="418"/>
      <c r="AA2198" s="418"/>
      <c r="AB2198" s="417"/>
      <c r="AC2198" s="417"/>
      <c r="AD2198" s="417"/>
      <c r="AE2198" s="417"/>
      <c r="AF2198" s="417"/>
      <c r="AG2198" s="417"/>
      <c r="AH2198" s="417"/>
      <c r="AI2198" s="417"/>
    </row>
    <row r="2199" spans="1:35" s="370" customFormat="1" ht="31.5" customHeight="1" x14ac:dyDescent="0.45">
      <c r="A2199" s="368"/>
      <c r="B2199" s="368"/>
      <c r="C2199" s="369"/>
      <c r="D2199" s="369" t="str">
        <f>D2116</f>
        <v>29 FEBRUARY 2024</v>
      </c>
      <c r="E2199" s="368"/>
      <c r="F2199" s="368"/>
      <c r="G2199" s="368"/>
      <c r="H2199" s="368" t="s">
        <v>111</v>
      </c>
      <c r="I2199" s="368"/>
      <c r="M2199" s="434"/>
      <c r="N2199" s="390"/>
      <c r="O2199" s="434"/>
      <c r="P2199" s="380"/>
      <c r="Q2199" s="368"/>
      <c r="R2199" s="416" t="str">
        <f t="shared" si="181"/>
        <v>DELETE</v>
      </c>
      <c r="S2199" s="417"/>
      <c r="T2199" s="417"/>
      <c r="U2199" s="417"/>
      <c r="V2199" s="417"/>
      <c r="W2199" s="417"/>
      <c r="X2199" s="417"/>
      <c r="Y2199" s="418"/>
      <c r="Z2199" s="418"/>
      <c r="AA2199" s="418"/>
      <c r="AB2199" s="417"/>
      <c r="AC2199" s="417"/>
      <c r="AD2199" s="417"/>
      <c r="AE2199" s="417"/>
      <c r="AF2199" s="417"/>
      <c r="AG2199" s="417"/>
      <c r="AH2199" s="417"/>
      <c r="AI2199" s="417"/>
    </row>
    <row r="2200" spans="1:35" s="370" customFormat="1" ht="31.5" customHeight="1" x14ac:dyDescent="0.45">
      <c r="A2200" s="368"/>
      <c r="B2200" s="368"/>
      <c r="C2200" s="369"/>
      <c r="D2200" s="368"/>
      <c r="E2200" s="368"/>
      <c r="F2200" s="368"/>
      <c r="G2200" s="368"/>
      <c r="H2200" s="368"/>
      <c r="I2200" s="368"/>
      <c r="K2200" s="403"/>
      <c r="L2200" s="403"/>
      <c r="M2200" s="438"/>
      <c r="N2200" s="392"/>
      <c r="O2200" s="438"/>
      <c r="P2200" s="380"/>
      <c r="Q2200" s="368"/>
      <c r="R2200" s="416" t="str">
        <f t="shared" si="181"/>
        <v>DELETE</v>
      </c>
      <c r="S2200" s="417"/>
      <c r="T2200" s="417"/>
      <c r="U2200" s="417"/>
      <c r="V2200" s="417"/>
      <c r="W2200" s="417"/>
      <c r="X2200" s="417"/>
      <c r="Y2200" s="418"/>
      <c r="Z2200" s="418"/>
      <c r="AA2200" s="418"/>
      <c r="AB2200" s="417"/>
      <c r="AC2200" s="417"/>
      <c r="AD2200" s="417"/>
      <c r="AE2200" s="417"/>
      <c r="AF2200" s="417"/>
      <c r="AG2200" s="417"/>
      <c r="AH2200" s="417"/>
      <c r="AI2200" s="417"/>
    </row>
    <row r="2201" spans="1:35" s="370" customFormat="1" ht="31.5" customHeight="1" x14ac:dyDescent="0.45">
      <c r="A2201" s="368"/>
      <c r="B2201" s="385"/>
      <c r="C2201" s="410"/>
      <c r="D2201" s="386"/>
      <c r="E2201" s="386"/>
      <c r="F2201" s="386"/>
      <c r="G2201" s="386"/>
      <c r="H2201" s="386"/>
      <c r="I2201" s="386"/>
      <c r="J2201" s="413"/>
      <c r="K2201" s="368"/>
      <c r="L2201" s="368"/>
      <c r="M2201" s="479"/>
      <c r="N2201" s="469"/>
      <c r="O2201" s="479"/>
      <c r="P2201" s="406"/>
      <c r="Q2201" s="387"/>
      <c r="R2201" s="416" t="str">
        <f t="shared" si="181"/>
        <v>DELETE</v>
      </c>
      <c r="S2201" s="417"/>
      <c r="T2201" s="417"/>
      <c r="U2201" s="417"/>
      <c r="V2201" s="417"/>
      <c r="W2201" s="417"/>
      <c r="X2201" s="417"/>
      <c r="Y2201" s="418"/>
      <c r="Z2201" s="418"/>
      <c r="AA2201" s="418"/>
      <c r="AB2201" s="417"/>
      <c r="AC2201" s="417"/>
      <c r="AD2201" s="417"/>
      <c r="AE2201" s="417"/>
      <c r="AF2201" s="417"/>
      <c r="AG2201" s="417"/>
      <c r="AH2201" s="417"/>
      <c r="AI2201" s="417"/>
    </row>
    <row r="2202" spans="1:35" s="370" customFormat="1" ht="31.5" customHeight="1" x14ac:dyDescent="0.45">
      <c r="A2202" s="368"/>
      <c r="B2202" s="388"/>
      <c r="C2202" s="369"/>
      <c r="D2202" s="368"/>
      <c r="E2202" s="368"/>
      <c r="F2202" s="368"/>
      <c r="G2202" s="368"/>
      <c r="H2202" s="368"/>
      <c r="I2202" s="368"/>
      <c r="L2202" s="372"/>
      <c r="M2202" s="37"/>
      <c r="O2202" s="430">
        <f>Criteria!E22</f>
        <v>2024</v>
      </c>
      <c r="P2202" s="380"/>
      <c r="Q2202" s="389"/>
      <c r="R2202" s="416" t="str">
        <f t="shared" si="181"/>
        <v>DELETE</v>
      </c>
      <c r="S2202" s="417"/>
      <c r="T2202" s="417"/>
      <c r="U2202" s="417"/>
      <c r="V2202" s="417"/>
      <c r="W2202" s="417"/>
      <c r="X2202" s="417"/>
      <c r="Y2202" s="418"/>
      <c r="Z2202" s="418"/>
      <c r="AA2202" s="418"/>
      <c r="AB2202" s="417"/>
      <c r="AC2202" s="417"/>
      <c r="AD2202" s="417"/>
      <c r="AE2202" s="417"/>
      <c r="AF2202" s="417"/>
      <c r="AG2202" s="417"/>
      <c r="AH2202" s="417"/>
      <c r="AI2202" s="417"/>
    </row>
    <row r="2203" spans="1:35" s="370" customFormat="1" ht="31.5" customHeight="1" x14ac:dyDescent="0.45">
      <c r="A2203" s="368"/>
      <c r="B2203" s="388"/>
      <c r="C2203" s="369"/>
      <c r="D2203" s="368"/>
      <c r="E2203" s="368"/>
      <c r="F2203" s="368"/>
      <c r="G2203" s="368"/>
      <c r="H2203" s="368"/>
      <c r="I2203" s="368"/>
      <c r="L2203" s="372"/>
      <c r="M2203" s="37"/>
      <c r="O2203" s="434"/>
      <c r="P2203" s="380"/>
      <c r="Q2203" s="389"/>
      <c r="R2203" s="416" t="str">
        <f t="shared" si="181"/>
        <v>DELETE</v>
      </c>
      <c r="S2203" s="417"/>
      <c r="T2203" s="417"/>
      <c r="U2203" s="417"/>
      <c r="V2203" s="417"/>
      <c r="W2203" s="417"/>
      <c r="X2203" s="417"/>
      <c r="Y2203" s="418"/>
      <c r="Z2203" s="418"/>
      <c r="AA2203" s="418"/>
      <c r="AB2203" s="417"/>
      <c r="AC2203" s="417"/>
      <c r="AD2203" s="417"/>
      <c r="AE2203" s="417"/>
      <c r="AF2203" s="417"/>
      <c r="AG2203" s="417"/>
      <c r="AH2203" s="417"/>
      <c r="AI2203" s="417"/>
    </row>
    <row r="2204" spans="1:35" s="370" customFormat="1" ht="31.5" customHeight="1" x14ac:dyDescent="0.45">
      <c r="A2204" s="368"/>
      <c r="B2204" s="388"/>
      <c r="C2204" s="411" t="str">
        <f>IF(O2204&lt;0,"OPERATING LOSS","OPERATING PROFIT")</f>
        <v>OPERATING PROFIT</v>
      </c>
      <c r="D2204" s="368"/>
      <c r="E2204" s="368"/>
      <c r="F2204" s="368"/>
      <c r="G2204" s="368"/>
      <c r="H2204" s="368"/>
      <c r="I2204" s="368"/>
      <c r="L2204" s="372"/>
      <c r="M2204" s="37"/>
      <c r="O2204" s="434">
        <f>SUM(S2121:S2185)</f>
        <v>0</v>
      </c>
      <c r="P2204" s="380"/>
      <c r="Q2204" s="389"/>
      <c r="R2204" s="416" t="str">
        <f t="shared" si="181"/>
        <v>DELETE</v>
      </c>
      <c r="S2204" s="417"/>
      <c r="T2204" s="417"/>
      <c r="U2204" s="417" t="b">
        <f>O2204=O2188</f>
        <v>1</v>
      </c>
      <c r="V2204" s="417"/>
      <c r="W2204" s="417"/>
      <c r="X2204" s="417"/>
      <c r="Y2204" s="418"/>
      <c r="Z2204" s="418"/>
      <c r="AA2204" s="418"/>
      <c r="AB2204" s="417"/>
      <c r="AC2204" s="417"/>
      <c r="AD2204" s="417"/>
      <c r="AE2204" s="417"/>
      <c r="AF2204" s="417"/>
      <c r="AG2204" s="417"/>
      <c r="AH2204" s="417"/>
      <c r="AI2204" s="417"/>
    </row>
    <row r="2205" spans="1:35" s="370" customFormat="1" ht="31.5" customHeight="1" x14ac:dyDescent="0.45">
      <c r="A2205" s="368"/>
      <c r="B2205" s="388"/>
      <c r="C2205" s="369"/>
      <c r="D2205" s="368" t="s">
        <v>258</v>
      </c>
      <c r="E2205" s="368"/>
      <c r="F2205" s="368"/>
      <c r="G2205" s="368"/>
      <c r="H2205" s="368"/>
      <c r="I2205" s="368"/>
      <c r="L2205" s="372"/>
      <c r="M2205" s="37"/>
      <c r="O2205" s="434"/>
      <c r="P2205" s="380"/>
      <c r="Q2205" s="389"/>
      <c r="R2205" s="416" t="str">
        <f t="shared" si="181"/>
        <v>DELETE</v>
      </c>
      <c r="S2205" s="417"/>
      <c r="T2205" s="417"/>
      <c r="U2205" s="417"/>
      <c r="V2205" s="417"/>
      <c r="W2205" s="417"/>
      <c r="X2205" s="417"/>
      <c r="Y2205" s="418"/>
      <c r="Z2205" s="418"/>
      <c r="AA2205" s="418"/>
      <c r="AB2205" s="417"/>
      <c r="AC2205" s="417"/>
      <c r="AD2205" s="417"/>
      <c r="AE2205" s="417"/>
      <c r="AF2205" s="417"/>
      <c r="AG2205" s="417"/>
      <c r="AH2205" s="417"/>
      <c r="AI2205" s="417"/>
    </row>
    <row r="2206" spans="1:35" s="370" customFormat="1" ht="31.5" customHeight="1" x14ac:dyDescent="0.45">
      <c r="A2206" s="368"/>
      <c r="B2206" s="388"/>
      <c r="C2206" s="369"/>
      <c r="D2206" s="368"/>
      <c r="E2206" s="368"/>
      <c r="F2206" s="368"/>
      <c r="G2206" s="368"/>
      <c r="H2206" s="368"/>
      <c r="I2206" s="368"/>
      <c r="L2206" s="372"/>
      <c r="M2206" s="37"/>
      <c r="O2206" s="434"/>
      <c r="P2206" s="380"/>
      <c r="Q2206" s="389"/>
      <c r="R2206" s="416" t="str">
        <f t="shared" si="181"/>
        <v>DELETE</v>
      </c>
      <c r="S2206" s="417"/>
      <c r="T2206" s="417"/>
      <c r="U2206" s="417"/>
      <c r="V2206" s="417"/>
      <c r="W2206" s="417"/>
      <c r="X2206" s="417"/>
      <c r="Y2206" s="418"/>
      <c r="Z2206" s="418"/>
      <c r="AA2206" s="418"/>
      <c r="AB2206" s="417"/>
      <c r="AC2206" s="417"/>
      <c r="AD2206" s="417"/>
      <c r="AE2206" s="417"/>
      <c r="AF2206" s="417"/>
      <c r="AG2206" s="417"/>
      <c r="AH2206" s="417"/>
      <c r="AI2206" s="417"/>
    </row>
    <row r="2207" spans="1:35" s="370" customFormat="1" ht="31.5" customHeight="1" x14ac:dyDescent="0.45">
      <c r="A2207" s="368"/>
      <c r="B2207" s="388"/>
      <c r="C2207" s="369" t="s">
        <v>1045</v>
      </c>
      <c r="D2207" s="368"/>
      <c r="E2207" s="368"/>
      <c r="F2207" s="368"/>
      <c r="G2207" s="368"/>
      <c r="H2207" s="368"/>
      <c r="I2207" s="368"/>
      <c r="L2207" s="372"/>
      <c r="M2207" s="37"/>
      <c r="O2207" s="434">
        <f>SUM(O2210:O2242)</f>
        <v>0</v>
      </c>
      <c r="P2207" s="380"/>
      <c r="Q2207" s="389"/>
      <c r="R2207" s="416" t="str">
        <f t="shared" ref="R2207" si="182">IF(R$2109="DELETE","DELETE",IF(O2207=0,"DELETE"," "))</f>
        <v>DELETE</v>
      </c>
      <c r="S2207" s="421">
        <f>-O2207</f>
        <v>0</v>
      </c>
      <c r="T2207" s="421"/>
      <c r="U2207" s="421"/>
      <c r="V2207" s="421"/>
      <c r="W2207" s="417"/>
      <c r="X2207" s="417"/>
      <c r="Y2207" s="418"/>
      <c r="Z2207" s="418"/>
      <c r="AA2207" s="418"/>
      <c r="AB2207" s="417"/>
      <c r="AC2207" s="417"/>
      <c r="AD2207" s="417"/>
      <c r="AE2207" s="417"/>
      <c r="AF2207" s="417"/>
      <c r="AG2207" s="417"/>
      <c r="AH2207" s="417"/>
      <c r="AI2207" s="417"/>
    </row>
    <row r="2208" spans="1:35" s="370" customFormat="1" ht="9" customHeight="1" x14ac:dyDescent="0.45">
      <c r="A2208" s="368"/>
      <c r="B2208" s="388"/>
      <c r="C2208" s="369"/>
      <c r="D2208" s="368"/>
      <c r="E2208" s="368"/>
      <c r="F2208" s="368"/>
      <c r="G2208" s="368"/>
      <c r="H2208" s="368"/>
      <c r="I2208" s="368"/>
      <c r="L2208" s="372"/>
      <c r="M2208" s="37"/>
      <c r="O2208" s="434"/>
      <c r="P2208" s="380"/>
      <c r="Q2208" s="389"/>
      <c r="R2208" s="416" t="str">
        <f>R2207</f>
        <v>DELETE</v>
      </c>
      <c r="S2208" s="417"/>
      <c r="T2208" s="417"/>
      <c r="U2208" s="417"/>
      <c r="V2208" s="417"/>
      <c r="W2208" s="417"/>
      <c r="X2208" s="417"/>
      <c r="Y2208" s="418"/>
      <c r="Z2208" s="418"/>
      <c r="AA2208" s="418"/>
      <c r="AB2208" s="417"/>
      <c r="AC2208" s="417"/>
      <c r="AD2208" s="417"/>
      <c r="AE2208" s="417"/>
      <c r="AF2208" s="417"/>
      <c r="AG2208" s="417"/>
      <c r="AH2208" s="417"/>
      <c r="AI2208" s="417"/>
    </row>
    <row r="2209" spans="1:35" s="370" customFormat="1" ht="9" customHeight="1" x14ac:dyDescent="0.45">
      <c r="A2209" s="368"/>
      <c r="B2209" s="388"/>
      <c r="C2209" s="369"/>
      <c r="D2209" s="368"/>
      <c r="E2209" s="368"/>
      <c r="F2209" s="368"/>
      <c r="G2209" s="368"/>
      <c r="H2209" s="368"/>
      <c r="I2209" s="368"/>
      <c r="L2209" s="372"/>
      <c r="M2209" s="37"/>
      <c r="O2209" s="455"/>
      <c r="P2209" s="380"/>
      <c r="Q2209" s="389"/>
      <c r="R2209" s="416" t="str">
        <f>R2208</f>
        <v>DELETE</v>
      </c>
      <c r="S2209" s="417"/>
      <c r="T2209" s="417"/>
      <c r="U2209" s="417"/>
      <c r="V2209" s="417"/>
      <c r="W2209" s="417"/>
      <c r="X2209" s="417"/>
      <c r="Y2209" s="418"/>
      <c r="Z2209" s="418"/>
      <c r="AA2209" s="418"/>
      <c r="AB2209" s="417"/>
      <c r="AC2209" s="417"/>
      <c r="AD2209" s="417"/>
      <c r="AE2209" s="417"/>
      <c r="AF2209" s="417"/>
      <c r="AG2209" s="417"/>
      <c r="AH2209" s="417"/>
      <c r="AI2209" s="417"/>
    </row>
    <row r="2210" spans="1:35" s="370" customFormat="1" ht="31.5" customHeight="1" x14ac:dyDescent="0.45">
      <c r="A2210" s="368"/>
      <c r="B2210" s="388"/>
      <c r="C2210" s="369"/>
      <c r="D2210" s="368" t="s">
        <v>218</v>
      </c>
      <c r="E2210" s="368"/>
      <c r="F2210" s="368"/>
      <c r="G2210" s="368"/>
      <c r="H2210" s="368"/>
      <c r="I2210" s="368"/>
      <c r="L2210" s="372"/>
      <c r="M2210" s="37"/>
      <c r="O2210" s="456">
        <f>SUM(TrialBalanceC!I85:I88)</f>
        <v>0</v>
      </c>
      <c r="P2210" s="380"/>
      <c r="Q2210" s="389"/>
      <c r="R2210" s="416" t="str">
        <f t="shared" ref="R2210:R2240" si="183">IF(R$2109="DELETE","DELETE",IF(O2210=0,"DELETE"," "))</f>
        <v>DELETE</v>
      </c>
      <c r="S2210" s="417"/>
      <c r="T2210" s="417"/>
      <c r="U2210" s="417"/>
      <c r="V2210" s="417"/>
      <c r="W2210" s="417"/>
      <c r="X2210" s="417"/>
      <c r="Y2210" s="418"/>
      <c r="Z2210" s="418"/>
      <c r="AA2210" s="418"/>
      <c r="AB2210" s="417"/>
      <c r="AC2210" s="417"/>
      <c r="AD2210" s="417"/>
      <c r="AE2210" s="417"/>
      <c r="AF2210" s="417"/>
      <c r="AG2210" s="417"/>
      <c r="AH2210" s="417"/>
      <c r="AI2210" s="417"/>
    </row>
    <row r="2211" spans="1:35" s="370" customFormat="1" ht="31.5" customHeight="1" x14ac:dyDescent="0.45">
      <c r="A2211" s="368"/>
      <c r="B2211" s="388"/>
      <c r="C2211" s="369"/>
      <c r="D2211" s="368" t="s">
        <v>222</v>
      </c>
      <c r="E2211" s="368"/>
      <c r="F2211" s="368"/>
      <c r="G2211" s="368"/>
      <c r="H2211" s="368"/>
      <c r="I2211" s="368"/>
      <c r="L2211" s="372"/>
      <c r="M2211" s="37"/>
      <c r="O2211" s="456">
        <f>TrialBalanceC!I90</f>
        <v>0</v>
      </c>
      <c r="P2211" s="380"/>
      <c r="Q2211" s="389"/>
      <c r="R2211" s="416" t="str">
        <f>IF(R$2109="DELETE","DELETE",IF(O2211=0,"DELETE"," "))</f>
        <v>DELETE</v>
      </c>
      <c r="S2211" s="417"/>
      <c r="T2211" s="417"/>
      <c r="U2211" s="417"/>
      <c r="V2211" s="417"/>
      <c r="W2211" s="417"/>
      <c r="X2211" s="417"/>
      <c r="Y2211" s="418"/>
      <c r="Z2211" s="418"/>
      <c r="AA2211" s="418"/>
      <c r="AB2211" s="417"/>
      <c r="AC2211" s="417"/>
      <c r="AD2211" s="417"/>
      <c r="AE2211" s="417"/>
      <c r="AF2211" s="417"/>
      <c r="AG2211" s="417"/>
      <c r="AH2211" s="417"/>
      <c r="AI2211" s="417"/>
    </row>
    <row r="2212" spans="1:35" s="370" customFormat="1" ht="31.5" customHeight="1" x14ac:dyDescent="0.45">
      <c r="A2212" s="368"/>
      <c r="B2212" s="388"/>
      <c r="C2212" s="369"/>
      <c r="D2212" s="368" t="s">
        <v>220</v>
      </c>
      <c r="E2212" s="368"/>
      <c r="F2212" s="368"/>
      <c r="G2212" s="368"/>
      <c r="H2212" s="368"/>
      <c r="I2212" s="368"/>
      <c r="L2212" s="372"/>
      <c r="M2212" s="37"/>
      <c r="O2212" s="456">
        <f>TrialBalanceC!I89</f>
        <v>0</v>
      </c>
      <c r="P2212" s="380"/>
      <c r="Q2212" s="389"/>
      <c r="R2212" s="416" t="str">
        <f>IF(R$2109="DELETE","DELETE",IF(O2212=0,"DELETE"," "))</f>
        <v>DELETE</v>
      </c>
      <c r="S2212" s="417"/>
      <c r="T2212" s="417"/>
      <c r="U2212" s="417"/>
      <c r="V2212" s="417"/>
      <c r="W2212" s="417"/>
      <c r="X2212" s="417"/>
      <c r="Y2212" s="418"/>
      <c r="Z2212" s="418"/>
      <c r="AA2212" s="418"/>
      <c r="AB2212" s="417"/>
      <c r="AC2212" s="417"/>
      <c r="AD2212" s="417"/>
      <c r="AE2212" s="417"/>
      <c r="AF2212" s="417"/>
      <c r="AG2212" s="417"/>
      <c r="AH2212" s="417"/>
      <c r="AI2212" s="417"/>
    </row>
    <row r="2213" spans="1:35" s="370" customFormat="1" ht="31.5" customHeight="1" x14ac:dyDescent="0.45">
      <c r="A2213" s="368"/>
      <c r="B2213" s="388"/>
      <c r="C2213" s="369"/>
      <c r="D2213" s="368" t="s">
        <v>259</v>
      </c>
      <c r="E2213" s="368"/>
      <c r="F2213" s="368"/>
      <c r="G2213" s="368"/>
      <c r="H2213" s="368"/>
      <c r="I2213" s="368"/>
      <c r="L2213" s="372"/>
      <c r="M2213" s="37"/>
      <c r="O2213" s="456">
        <f>TrialBalanceC!I91</f>
        <v>0</v>
      </c>
      <c r="P2213" s="380"/>
      <c r="Q2213" s="389"/>
      <c r="R2213" s="416" t="str">
        <f t="shared" si="183"/>
        <v>DELETE</v>
      </c>
      <c r="S2213" s="417"/>
      <c r="T2213" s="417"/>
      <c r="U2213" s="417"/>
      <c r="V2213" s="417"/>
      <c r="W2213" s="417"/>
      <c r="X2213" s="417"/>
      <c r="Y2213" s="418"/>
      <c r="Z2213" s="418"/>
      <c r="AA2213" s="418"/>
      <c r="AB2213" s="417"/>
      <c r="AC2213" s="417"/>
      <c r="AD2213" s="417"/>
      <c r="AE2213" s="417"/>
      <c r="AF2213" s="417"/>
      <c r="AG2213" s="417"/>
      <c r="AH2213" s="417"/>
      <c r="AI2213" s="417"/>
    </row>
    <row r="2214" spans="1:35" s="370" customFormat="1" ht="31.5" customHeight="1" x14ac:dyDescent="0.45">
      <c r="A2214" s="368"/>
      <c r="B2214" s="388"/>
      <c r="C2214" s="369"/>
      <c r="D2214" s="368" t="s">
        <v>225</v>
      </c>
      <c r="E2214" s="368"/>
      <c r="F2214" s="368"/>
      <c r="G2214" s="368"/>
      <c r="H2214" s="368"/>
      <c r="I2214" s="368"/>
      <c r="L2214" s="372"/>
      <c r="M2214" s="37"/>
      <c r="O2214" s="456">
        <f>TrialBalanceC!I92</f>
        <v>0</v>
      </c>
      <c r="P2214" s="380"/>
      <c r="Q2214" s="389"/>
      <c r="R2214" s="416" t="str">
        <f t="shared" si="183"/>
        <v>DELETE</v>
      </c>
      <c r="S2214" s="417"/>
      <c r="T2214" s="417"/>
      <c r="U2214" s="417"/>
      <c r="V2214" s="417"/>
      <c r="W2214" s="417"/>
      <c r="X2214" s="417"/>
      <c r="Y2214" s="418"/>
      <c r="Z2214" s="418"/>
      <c r="AA2214" s="418"/>
      <c r="AB2214" s="417"/>
      <c r="AC2214" s="417"/>
      <c r="AD2214" s="417"/>
      <c r="AE2214" s="417"/>
      <c r="AF2214" s="417"/>
      <c r="AG2214" s="417"/>
      <c r="AH2214" s="417"/>
      <c r="AI2214" s="417"/>
    </row>
    <row r="2215" spans="1:35" s="370" customFormat="1" ht="31.5" customHeight="1" x14ac:dyDescent="0.45">
      <c r="A2215" s="368"/>
      <c r="B2215" s="388"/>
      <c r="C2215" s="369"/>
      <c r="D2215" s="368" t="s">
        <v>735</v>
      </c>
      <c r="E2215" s="368"/>
      <c r="F2215" s="368"/>
      <c r="G2215" s="368"/>
      <c r="H2215" s="368"/>
      <c r="I2215" s="368"/>
      <c r="L2215" s="372"/>
      <c r="M2215" s="37"/>
      <c r="O2215" s="456">
        <f>TrialBalanceC!I93</f>
        <v>0</v>
      </c>
      <c r="P2215" s="380"/>
      <c r="Q2215" s="389"/>
      <c r="R2215" s="416" t="str">
        <f t="shared" si="183"/>
        <v>DELETE</v>
      </c>
      <c r="S2215" s="417"/>
      <c r="T2215" s="417"/>
      <c r="U2215" s="417"/>
      <c r="V2215" s="417"/>
      <c r="W2215" s="417"/>
      <c r="X2215" s="417"/>
      <c r="Y2215" s="418"/>
      <c r="Z2215" s="418"/>
      <c r="AA2215" s="418"/>
      <c r="AB2215" s="417"/>
      <c r="AC2215" s="417"/>
      <c r="AD2215" s="417"/>
      <c r="AE2215" s="417"/>
      <c r="AF2215" s="417"/>
      <c r="AG2215" s="417"/>
      <c r="AH2215" s="417"/>
      <c r="AI2215" s="417"/>
    </row>
    <row r="2216" spans="1:35" s="370" customFormat="1" ht="31.5" customHeight="1" x14ac:dyDescent="0.45">
      <c r="A2216" s="368"/>
      <c r="B2216" s="388"/>
      <c r="C2216" s="369"/>
      <c r="D2216" s="368" t="s">
        <v>279</v>
      </c>
      <c r="E2216" s="368"/>
      <c r="F2216" s="368"/>
      <c r="G2216" s="368"/>
      <c r="H2216" s="368"/>
      <c r="I2216" s="368"/>
      <c r="K2216" s="370">
        <f>C$745</f>
        <v>6.2999999999999989</v>
      </c>
      <c r="L2216" s="372"/>
      <c r="M2216" s="37"/>
      <c r="O2216" s="456">
        <f>SUM(TrialBalanceC!I95:I96)</f>
        <v>0</v>
      </c>
      <c r="P2216" s="380"/>
      <c r="Q2216" s="389"/>
      <c r="R2216" s="416" t="str">
        <f t="shared" si="183"/>
        <v>DELETE</v>
      </c>
      <c r="S2216" s="417"/>
      <c r="T2216" s="417"/>
      <c r="U2216" s="417"/>
      <c r="V2216" s="417"/>
      <c r="W2216" s="417"/>
      <c r="X2216" s="417"/>
      <c r="Y2216" s="418"/>
      <c r="Z2216" s="418"/>
      <c r="AA2216" s="418"/>
      <c r="AB2216" s="417"/>
      <c r="AC2216" s="417"/>
      <c r="AD2216" s="417"/>
      <c r="AE2216" s="417"/>
      <c r="AF2216" s="417"/>
      <c r="AG2216" s="417"/>
      <c r="AH2216" s="417"/>
      <c r="AI2216" s="417"/>
    </row>
    <row r="2217" spans="1:35" s="370" customFormat="1" ht="31.5" customHeight="1" x14ac:dyDescent="0.45">
      <c r="A2217" s="368"/>
      <c r="B2217" s="388"/>
      <c r="C2217" s="369"/>
      <c r="D2217" s="368" t="s">
        <v>260</v>
      </c>
      <c r="E2217" s="368"/>
      <c r="F2217" s="368"/>
      <c r="G2217" s="368"/>
      <c r="H2217" s="368"/>
      <c r="I2217" s="368"/>
      <c r="L2217" s="372"/>
      <c r="M2217" s="37"/>
      <c r="O2217" s="456">
        <f>TrialBalanceC!I103</f>
        <v>0</v>
      </c>
      <c r="P2217" s="380"/>
      <c r="Q2217" s="389"/>
      <c r="R2217" s="416" t="str">
        <f t="shared" si="183"/>
        <v>DELETE</v>
      </c>
      <c r="S2217" s="417"/>
      <c r="T2217" s="417"/>
      <c r="U2217" s="417"/>
      <c r="V2217" s="417"/>
      <c r="W2217" s="417"/>
      <c r="X2217" s="417"/>
      <c r="Y2217" s="418"/>
      <c r="Z2217" s="418"/>
      <c r="AA2217" s="418"/>
      <c r="AB2217" s="417"/>
      <c r="AC2217" s="417"/>
      <c r="AD2217" s="417"/>
      <c r="AE2217" s="417"/>
      <c r="AF2217" s="417"/>
      <c r="AG2217" s="417"/>
      <c r="AH2217" s="417"/>
      <c r="AI2217" s="417"/>
    </row>
    <row r="2218" spans="1:35" s="370" customFormat="1" ht="31.5" customHeight="1" x14ac:dyDescent="0.45">
      <c r="A2218" s="368"/>
      <c r="B2218" s="388"/>
      <c r="C2218" s="369"/>
      <c r="D2218" s="368" t="s">
        <v>375</v>
      </c>
      <c r="E2218" s="368"/>
      <c r="F2218" s="368"/>
      <c r="G2218" s="368"/>
      <c r="H2218" s="368"/>
      <c r="I2218" s="368"/>
      <c r="L2218" s="372"/>
      <c r="M2218" s="37"/>
      <c r="O2218" s="456">
        <f>TrialBalanceC!I104</f>
        <v>0</v>
      </c>
      <c r="P2218" s="380"/>
      <c r="Q2218" s="389"/>
      <c r="R2218" s="416" t="str">
        <f t="shared" si="183"/>
        <v>DELETE</v>
      </c>
      <c r="S2218" s="417"/>
      <c r="T2218" s="417"/>
      <c r="U2218" s="417"/>
      <c r="V2218" s="417"/>
      <c r="W2218" s="417"/>
      <c r="X2218" s="417"/>
      <c r="Y2218" s="418"/>
      <c r="Z2218" s="418"/>
      <c r="AA2218" s="418"/>
      <c r="AB2218" s="417"/>
      <c r="AC2218" s="417"/>
      <c r="AD2218" s="417"/>
      <c r="AE2218" s="417"/>
      <c r="AF2218" s="417"/>
      <c r="AG2218" s="417"/>
      <c r="AH2218" s="417"/>
      <c r="AI2218" s="417"/>
    </row>
    <row r="2219" spans="1:35" s="370" customFormat="1" ht="31.5" customHeight="1" x14ac:dyDescent="0.45">
      <c r="A2219" s="368"/>
      <c r="B2219" s="388"/>
      <c r="C2219" s="369"/>
      <c r="D2219" s="368" t="s">
        <v>326</v>
      </c>
      <c r="E2219" s="368"/>
      <c r="F2219" s="368"/>
      <c r="G2219" s="368"/>
      <c r="H2219" s="368"/>
      <c r="I2219" s="368"/>
      <c r="L2219" s="372"/>
      <c r="M2219" s="37"/>
      <c r="O2219" s="456">
        <f>TrialBalanceC!I105</f>
        <v>0</v>
      </c>
      <c r="P2219" s="380"/>
      <c r="Q2219" s="389"/>
      <c r="R2219" s="416" t="str">
        <f t="shared" si="183"/>
        <v>DELETE</v>
      </c>
      <c r="S2219" s="417"/>
      <c r="T2219" s="417"/>
      <c r="U2219" s="417"/>
      <c r="V2219" s="417"/>
      <c r="W2219" s="417"/>
      <c r="X2219" s="417"/>
      <c r="Y2219" s="418"/>
      <c r="Z2219" s="418"/>
      <c r="AA2219" s="418"/>
      <c r="AB2219" s="417"/>
      <c r="AC2219" s="417"/>
      <c r="AD2219" s="417"/>
      <c r="AE2219" s="417"/>
      <c r="AF2219" s="417"/>
      <c r="AG2219" s="417"/>
      <c r="AH2219" s="417"/>
      <c r="AI2219" s="417"/>
    </row>
    <row r="2220" spans="1:35" s="370" customFormat="1" ht="31.5" customHeight="1" x14ac:dyDescent="0.45">
      <c r="A2220" s="368"/>
      <c r="B2220" s="388"/>
      <c r="C2220" s="369"/>
      <c r="D2220" s="368" t="s">
        <v>377</v>
      </c>
      <c r="E2220" s="368"/>
      <c r="F2220" s="368"/>
      <c r="G2220" s="368"/>
      <c r="H2220" s="368"/>
      <c r="I2220" s="368"/>
      <c r="L2220" s="372"/>
      <c r="M2220" s="37"/>
      <c r="O2220" s="456">
        <f>TrialBalanceC!I106</f>
        <v>0</v>
      </c>
      <c r="P2220" s="380"/>
      <c r="Q2220" s="389"/>
      <c r="R2220" s="416" t="str">
        <f t="shared" si="183"/>
        <v>DELETE</v>
      </c>
      <c r="S2220" s="417"/>
      <c r="T2220" s="417"/>
      <c r="U2220" s="417"/>
      <c r="V2220" s="417"/>
      <c r="W2220" s="417"/>
      <c r="X2220" s="417"/>
      <c r="Y2220" s="418"/>
      <c r="Z2220" s="418"/>
      <c r="AA2220" s="418"/>
      <c r="AB2220" s="417"/>
      <c r="AC2220" s="417"/>
      <c r="AD2220" s="417"/>
      <c r="AE2220" s="417"/>
      <c r="AF2220" s="417"/>
      <c r="AG2220" s="417"/>
      <c r="AH2220" s="417"/>
      <c r="AI2220" s="417"/>
    </row>
    <row r="2221" spans="1:35" s="370" customFormat="1" ht="31.5" customHeight="1" x14ac:dyDescent="0.45">
      <c r="A2221" s="368"/>
      <c r="B2221" s="388"/>
      <c r="C2221" s="369"/>
      <c r="D2221" s="368" t="s">
        <v>1081</v>
      </c>
      <c r="E2221" s="368"/>
      <c r="F2221" s="368"/>
      <c r="G2221" s="368"/>
      <c r="H2221" s="368"/>
      <c r="I2221" s="368"/>
      <c r="L2221" s="372"/>
      <c r="M2221" s="37"/>
      <c r="O2221" s="456">
        <f>IF(TrialBalanceC!I141&gt;0,TrialBalanceC!I141,0)</f>
        <v>0</v>
      </c>
      <c r="P2221" s="380"/>
      <c r="Q2221" s="389"/>
      <c r="R2221" s="416" t="str">
        <f>IF(R$2109="DELETE","DELETE",IF(O2221=0,"DELETE"," "))</f>
        <v>DELETE</v>
      </c>
      <c r="S2221" s="417"/>
      <c r="T2221" s="417"/>
      <c r="U2221" s="417"/>
      <c r="V2221" s="417"/>
      <c r="W2221" s="417"/>
      <c r="X2221" s="417"/>
      <c r="Y2221" s="418"/>
      <c r="Z2221" s="418"/>
      <c r="AA2221" s="418"/>
      <c r="AB2221" s="417"/>
      <c r="AC2221" s="417"/>
      <c r="AD2221" s="417"/>
      <c r="AE2221" s="417"/>
      <c r="AF2221" s="417"/>
      <c r="AG2221" s="417"/>
      <c r="AH2221" s="417"/>
      <c r="AI2221" s="417"/>
    </row>
    <row r="2222" spans="1:35" s="370" customFormat="1" ht="31.5" customHeight="1" x14ac:dyDescent="0.45">
      <c r="A2222" s="368"/>
      <c r="B2222" s="388"/>
      <c r="C2222" s="369"/>
      <c r="D2222" s="368" t="s">
        <v>496</v>
      </c>
      <c r="E2222" s="368"/>
      <c r="F2222" s="368"/>
      <c r="G2222" s="368"/>
      <c r="H2222" s="368"/>
      <c r="I2222" s="368"/>
      <c r="L2222" s="372"/>
      <c r="M2222" s="37"/>
      <c r="O2222" s="456">
        <f>TrialBalanceC!I107+TrialBalanceC!I108</f>
        <v>0</v>
      </c>
      <c r="P2222" s="380"/>
      <c r="Q2222" s="389"/>
      <c r="R2222" s="416" t="str">
        <f t="shared" si="183"/>
        <v>DELETE</v>
      </c>
      <c r="S2222" s="417"/>
      <c r="T2222" s="417"/>
      <c r="U2222" s="417"/>
      <c r="V2222" s="417"/>
      <c r="W2222" s="417"/>
      <c r="X2222" s="417"/>
      <c r="Y2222" s="418"/>
      <c r="Z2222" s="418"/>
      <c r="AA2222" s="418"/>
      <c r="AB2222" s="417"/>
      <c r="AC2222" s="417"/>
      <c r="AD2222" s="417"/>
      <c r="AE2222" s="417"/>
      <c r="AF2222" s="417"/>
      <c r="AG2222" s="417"/>
      <c r="AH2222" s="417"/>
      <c r="AI2222" s="417"/>
    </row>
    <row r="2223" spans="1:35" s="370" customFormat="1" ht="31.5" customHeight="1" x14ac:dyDescent="0.45">
      <c r="A2223" s="368"/>
      <c r="B2223" s="388"/>
      <c r="C2223" s="369"/>
      <c r="D2223" s="368" t="s">
        <v>519</v>
      </c>
      <c r="E2223" s="368"/>
      <c r="F2223" s="368"/>
      <c r="G2223" s="368"/>
      <c r="H2223" s="368"/>
      <c r="I2223" s="368"/>
      <c r="L2223" s="372"/>
      <c r="M2223" s="37"/>
      <c r="O2223" s="456">
        <f>IF(TrialBalanceC!I81&gt;0,TrialBalanceC!I81,0)</f>
        <v>0</v>
      </c>
      <c r="P2223" s="380"/>
      <c r="Q2223" s="389"/>
      <c r="R2223" s="416" t="str">
        <f>IF(R$2109="DELETE","DELETE",IF(O2223=0,"DELETE"," "))</f>
        <v>DELETE</v>
      </c>
      <c r="S2223" s="417"/>
      <c r="T2223" s="417"/>
      <c r="U2223" s="417"/>
      <c r="V2223" s="417"/>
      <c r="W2223" s="417"/>
      <c r="X2223" s="417"/>
      <c r="Y2223" s="418"/>
      <c r="Z2223" s="418"/>
      <c r="AA2223" s="418"/>
      <c r="AB2223" s="417"/>
      <c r="AC2223" s="417"/>
      <c r="AD2223" s="417"/>
      <c r="AE2223" s="417"/>
      <c r="AF2223" s="417"/>
      <c r="AG2223" s="417"/>
      <c r="AH2223" s="417"/>
      <c r="AI2223" s="417"/>
    </row>
    <row r="2224" spans="1:35" s="370" customFormat="1" ht="31.5" customHeight="1" x14ac:dyDescent="0.45">
      <c r="A2224" s="368"/>
      <c r="B2224" s="388"/>
      <c r="C2224" s="369"/>
      <c r="D2224" s="368" t="s">
        <v>736</v>
      </c>
      <c r="E2224" s="368"/>
      <c r="F2224" s="368"/>
      <c r="G2224" s="368"/>
      <c r="H2224" s="368"/>
      <c r="I2224" s="368"/>
      <c r="L2224" s="372"/>
      <c r="M2224" s="37"/>
      <c r="O2224" s="456">
        <f>TrialBalanceC!I109</f>
        <v>0</v>
      </c>
      <c r="P2224" s="380"/>
      <c r="Q2224" s="389"/>
      <c r="R2224" s="416" t="str">
        <f>IF(R$2109="DELETE","DELETE",IF(O2224=0,"DELETE"," "))</f>
        <v>DELETE</v>
      </c>
      <c r="S2224" s="417"/>
      <c r="T2224" s="417"/>
      <c r="U2224" s="417"/>
      <c r="V2224" s="417"/>
      <c r="W2224" s="417"/>
      <c r="X2224" s="417"/>
      <c r="Y2224" s="418"/>
      <c r="Z2224" s="418"/>
      <c r="AA2224" s="418"/>
      <c r="AB2224" s="417"/>
      <c r="AC2224" s="417"/>
      <c r="AD2224" s="417"/>
      <c r="AE2224" s="417"/>
      <c r="AF2224" s="417"/>
      <c r="AG2224" s="417"/>
      <c r="AH2224" s="417"/>
      <c r="AI2224" s="417"/>
    </row>
    <row r="2225" spans="1:35" s="370" customFormat="1" ht="31.5" customHeight="1" x14ac:dyDescent="0.45">
      <c r="A2225" s="368"/>
      <c r="B2225" s="388"/>
      <c r="C2225" s="369"/>
      <c r="D2225" s="368" t="s">
        <v>261</v>
      </c>
      <c r="E2225" s="368"/>
      <c r="F2225" s="368"/>
      <c r="G2225" s="368"/>
      <c r="H2225" s="368"/>
      <c r="I2225" s="368"/>
      <c r="L2225" s="372"/>
      <c r="M2225" s="37"/>
      <c r="O2225" s="456">
        <f>TrialBalanceC!I110</f>
        <v>0</v>
      </c>
      <c r="P2225" s="380"/>
      <c r="Q2225" s="389"/>
      <c r="R2225" s="416" t="str">
        <f>IF(R$2109="DELETE","DELETE",IF(O2225=0,"DELETE"," "))</f>
        <v>DELETE</v>
      </c>
      <c r="S2225" s="417"/>
      <c r="T2225" s="417"/>
      <c r="U2225" s="417"/>
      <c r="V2225" s="417"/>
      <c r="W2225" s="417"/>
      <c r="X2225" s="417"/>
      <c r="Y2225" s="418"/>
      <c r="Z2225" s="418"/>
      <c r="AA2225" s="418"/>
      <c r="AB2225" s="417"/>
      <c r="AC2225" s="417"/>
      <c r="AD2225" s="417"/>
      <c r="AE2225" s="417"/>
      <c r="AF2225" s="417"/>
      <c r="AG2225" s="417"/>
      <c r="AH2225" s="417"/>
      <c r="AI2225" s="417"/>
    </row>
    <row r="2226" spans="1:35" s="370" customFormat="1" ht="31.5" customHeight="1" x14ac:dyDescent="0.45">
      <c r="A2226" s="368"/>
      <c r="B2226" s="388"/>
      <c r="C2226" s="369"/>
      <c r="D2226" s="368" t="s">
        <v>254</v>
      </c>
      <c r="E2226" s="368"/>
      <c r="F2226" s="368"/>
      <c r="G2226" s="368"/>
      <c r="H2226" s="368"/>
      <c r="I2226" s="368"/>
      <c r="L2226" s="372"/>
      <c r="M2226" s="37"/>
      <c r="O2226" s="456">
        <f>SUM(TrialBalanceC!I111:I112)</f>
        <v>0</v>
      </c>
      <c r="P2226" s="380"/>
      <c r="Q2226" s="389"/>
      <c r="R2226" s="416" t="str">
        <f t="shared" si="183"/>
        <v>DELETE</v>
      </c>
      <c r="S2226" s="417"/>
      <c r="T2226" s="417"/>
      <c r="U2226" s="417"/>
      <c r="V2226" s="417"/>
      <c r="W2226" s="417"/>
      <c r="X2226" s="417"/>
      <c r="Y2226" s="418"/>
      <c r="Z2226" s="418"/>
      <c r="AA2226" s="418"/>
      <c r="AB2226" s="417"/>
      <c r="AC2226" s="417"/>
      <c r="AD2226" s="417"/>
      <c r="AE2226" s="417"/>
      <c r="AF2226" s="417"/>
      <c r="AG2226" s="417"/>
      <c r="AH2226" s="417"/>
      <c r="AI2226" s="417"/>
    </row>
    <row r="2227" spans="1:35" s="370" customFormat="1" ht="31.5" customHeight="1" x14ac:dyDescent="0.45">
      <c r="A2227" s="368"/>
      <c r="B2227" s="388"/>
      <c r="C2227" s="369"/>
      <c r="D2227" s="368" t="s">
        <v>262</v>
      </c>
      <c r="E2227" s="368"/>
      <c r="F2227" s="368"/>
      <c r="G2227" s="368"/>
      <c r="H2227" s="368"/>
      <c r="I2227" s="368"/>
      <c r="L2227" s="372"/>
      <c r="M2227" s="37"/>
      <c r="O2227" s="456">
        <f>TrialBalanceC!I113</f>
        <v>0</v>
      </c>
      <c r="P2227" s="380"/>
      <c r="Q2227" s="389"/>
      <c r="R2227" s="416" t="str">
        <f t="shared" si="183"/>
        <v>DELETE</v>
      </c>
      <c r="S2227" s="417"/>
      <c r="T2227" s="417"/>
      <c r="U2227" s="417"/>
      <c r="V2227" s="417"/>
      <c r="W2227" s="417"/>
      <c r="X2227" s="417"/>
      <c r="Y2227" s="418"/>
      <c r="Z2227" s="418"/>
      <c r="AA2227" s="418"/>
      <c r="AB2227" s="417"/>
      <c r="AC2227" s="417"/>
      <c r="AD2227" s="417"/>
      <c r="AE2227" s="417"/>
      <c r="AF2227" s="417"/>
      <c r="AG2227" s="417"/>
      <c r="AH2227" s="417"/>
      <c r="AI2227" s="417"/>
    </row>
    <row r="2228" spans="1:35" s="370" customFormat="1" ht="31.5" customHeight="1" x14ac:dyDescent="0.45">
      <c r="A2228" s="368"/>
      <c r="B2228" s="388"/>
      <c r="C2228" s="369"/>
      <c r="D2228" s="368" t="s">
        <v>737</v>
      </c>
      <c r="E2228" s="368"/>
      <c r="F2228" s="368"/>
      <c r="G2228" s="368"/>
      <c r="H2228" s="368"/>
      <c r="I2228" s="368"/>
      <c r="L2228" s="372"/>
      <c r="M2228" s="37"/>
      <c r="O2228" s="456">
        <f>TrialBalanceC!I114</f>
        <v>0</v>
      </c>
      <c r="P2228" s="380"/>
      <c r="Q2228" s="389"/>
      <c r="R2228" s="416" t="str">
        <f t="shared" si="183"/>
        <v>DELETE</v>
      </c>
      <c r="S2228" s="417"/>
      <c r="T2228" s="417"/>
      <c r="U2228" s="417"/>
      <c r="V2228" s="417"/>
      <c r="W2228" s="417"/>
      <c r="X2228" s="417"/>
      <c r="Y2228" s="418"/>
      <c r="Z2228" s="418"/>
      <c r="AA2228" s="418"/>
      <c r="AB2228" s="417"/>
      <c r="AC2228" s="417"/>
      <c r="AD2228" s="417"/>
      <c r="AE2228" s="417"/>
      <c r="AF2228" s="417"/>
      <c r="AG2228" s="417"/>
      <c r="AH2228" s="417"/>
      <c r="AI2228" s="417"/>
    </row>
    <row r="2229" spans="1:35" s="370" customFormat="1" ht="31.5" customHeight="1" x14ac:dyDescent="0.45">
      <c r="A2229" s="368"/>
      <c r="B2229" s="388"/>
      <c r="C2229" s="369"/>
      <c r="D2229" s="368" t="s">
        <v>88</v>
      </c>
      <c r="E2229" s="368"/>
      <c r="F2229" s="368"/>
      <c r="G2229" s="368"/>
      <c r="H2229" s="368"/>
      <c r="I2229" s="368"/>
      <c r="L2229" s="372"/>
      <c r="M2229" s="37"/>
      <c r="O2229" s="456">
        <f>TrialBalanceC!I115</f>
        <v>0</v>
      </c>
      <c r="P2229" s="380"/>
      <c r="Q2229" s="389"/>
      <c r="R2229" s="416" t="str">
        <f t="shared" si="183"/>
        <v>DELETE</v>
      </c>
      <c r="S2229" s="417"/>
      <c r="T2229" s="417"/>
      <c r="U2229" s="417"/>
      <c r="V2229" s="417"/>
      <c r="W2229" s="417"/>
      <c r="X2229" s="417"/>
      <c r="Y2229" s="418"/>
      <c r="Z2229" s="418"/>
      <c r="AA2229" s="418"/>
      <c r="AB2229" s="417"/>
      <c r="AC2229" s="417"/>
      <c r="AD2229" s="417"/>
      <c r="AE2229" s="417"/>
      <c r="AF2229" s="417"/>
      <c r="AG2229" s="417"/>
      <c r="AH2229" s="417"/>
      <c r="AI2229" s="417"/>
    </row>
    <row r="2230" spans="1:35" s="370" customFormat="1" ht="31.5" customHeight="1" x14ac:dyDescent="0.45">
      <c r="A2230" s="368"/>
      <c r="B2230" s="388"/>
      <c r="C2230" s="369"/>
      <c r="D2230" s="368" t="str">
        <f>IF(MAX(Criteria!I38:I42)&gt;1,"Trustees' remuneration","Trustee's remuneration")</f>
        <v>Trustees' remuneration</v>
      </c>
      <c r="E2230" s="368"/>
      <c r="F2230" s="368"/>
      <c r="G2230" s="368"/>
      <c r="H2230" s="368"/>
      <c r="I2230" s="368"/>
      <c r="K2230" s="370">
        <f>C$686</f>
        <v>6.1</v>
      </c>
      <c r="L2230" s="372"/>
      <c r="M2230" s="37"/>
      <c r="O2230" s="456">
        <f>SUM(TrialBalanceC!I98:I102)</f>
        <v>0</v>
      </c>
      <c r="P2230" s="380"/>
      <c r="Q2230" s="389"/>
      <c r="R2230" s="416" t="str">
        <f t="shared" si="183"/>
        <v>DELETE</v>
      </c>
      <c r="S2230" s="417"/>
      <c r="T2230" s="417"/>
      <c r="U2230" s="417"/>
      <c r="V2230" s="417"/>
      <c r="W2230" s="417"/>
      <c r="X2230" s="417"/>
      <c r="Y2230" s="418"/>
      <c r="Z2230" s="418"/>
      <c r="AA2230" s="418"/>
      <c r="AB2230" s="417"/>
      <c r="AC2230" s="417"/>
      <c r="AD2230" s="417"/>
      <c r="AE2230" s="417"/>
      <c r="AF2230" s="417"/>
      <c r="AG2230" s="417"/>
      <c r="AH2230" s="417"/>
      <c r="AI2230" s="417"/>
    </row>
    <row r="2231" spans="1:35" s="370" customFormat="1" ht="31.5" customHeight="1" x14ac:dyDescent="0.45">
      <c r="A2231" s="368"/>
      <c r="B2231" s="388"/>
      <c r="C2231" s="369"/>
      <c r="D2231" s="368">
        <f>TrialBalanceC!C116</f>
        <v>0</v>
      </c>
      <c r="E2231" s="368"/>
      <c r="F2231" s="368"/>
      <c r="G2231" s="368"/>
      <c r="H2231" s="368"/>
      <c r="I2231" s="368"/>
      <c r="L2231" s="372"/>
      <c r="M2231" s="37"/>
      <c r="O2231" s="456">
        <f>TrialBalanceC!I116</f>
        <v>0</v>
      </c>
      <c r="P2231" s="380"/>
      <c r="Q2231" s="389"/>
      <c r="R2231" s="416" t="str">
        <f t="shared" si="183"/>
        <v>DELETE</v>
      </c>
      <c r="S2231" s="417"/>
      <c r="T2231" s="417"/>
      <c r="U2231" s="417"/>
      <c r="V2231" s="417"/>
      <c r="W2231" s="417"/>
      <c r="X2231" s="417"/>
      <c r="Y2231" s="418"/>
      <c r="Z2231" s="418"/>
      <c r="AA2231" s="418"/>
      <c r="AB2231" s="417"/>
      <c r="AC2231" s="417"/>
      <c r="AD2231" s="417"/>
      <c r="AE2231" s="417"/>
      <c r="AF2231" s="417"/>
      <c r="AG2231" s="417"/>
      <c r="AH2231" s="417"/>
      <c r="AI2231" s="417"/>
    </row>
    <row r="2232" spans="1:35" s="370" customFormat="1" ht="31.5" customHeight="1" x14ac:dyDescent="0.45">
      <c r="A2232" s="368"/>
      <c r="B2232" s="388"/>
      <c r="C2232" s="369"/>
      <c r="D2232" s="368">
        <f>TrialBalanceC!C117</f>
        <v>0</v>
      </c>
      <c r="E2232" s="368"/>
      <c r="F2232" s="368"/>
      <c r="G2232" s="368"/>
      <c r="H2232" s="368"/>
      <c r="I2232" s="368"/>
      <c r="L2232" s="372"/>
      <c r="M2232" s="37"/>
      <c r="O2232" s="456">
        <f>TrialBalanceC!I117</f>
        <v>0</v>
      </c>
      <c r="P2232" s="380"/>
      <c r="Q2232" s="389"/>
      <c r="R2232" s="416" t="str">
        <f t="shared" si="183"/>
        <v>DELETE</v>
      </c>
      <c r="S2232" s="417"/>
      <c r="T2232" s="417"/>
      <c r="U2232" s="417"/>
      <c r="V2232" s="417"/>
      <c r="W2232" s="417"/>
      <c r="X2232" s="417"/>
      <c r="Y2232" s="418"/>
      <c r="Z2232" s="418"/>
      <c r="AA2232" s="418"/>
      <c r="AB2232" s="417"/>
      <c r="AC2232" s="417"/>
      <c r="AD2232" s="417"/>
      <c r="AE2232" s="417"/>
      <c r="AF2232" s="417"/>
      <c r="AG2232" s="417"/>
      <c r="AH2232" s="417"/>
      <c r="AI2232" s="417"/>
    </row>
    <row r="2233" spans="1:35" s="370" customFormat="1" ht="31.5" customHeight="1" x14ac:dyDescent="0.45">
      <c r="A2233" s="368"/>
      <c r="B2233" s="388"/>
      <c r="C2233" s="369"/>
      <c r="D2233" s="368">
        <f>TrialBalanceC!C118</f>
        <v>0</v>
      </c>
      <c r="E2233" s="368"/>
      <c r="F2233" s="368"/>
      <c r="G2233" s="368"/>
      <c r="H2233" s="368"/>
      <c r="I2233" s="368"/>
      <c r="L2233" s="372"/>
      <c r="M2233" s="37"/>
      <c r="O2233" s="456">
        <f>TrialBalanceC!I118</f>
        <v>0</v>
      </c>
      <c r="P2233" s="380"/>
      <c r="Q2233" s="389"/>
      <c r="R2233" s="416" t="str">
        <f t="shared" si="183"/>
        <v>DELETE</v>
      </c>
      <c r="S2233" s="417"/>
      <c r="T2233" s="417"/>
      <c r="U2233" s="417"/>
      <c r="V2233" s="417"/>
      <c r="W2233" s="417"/>
      <c r="X2233" s="417"/>
      <c r="Y2233" s="418"/>
      <c r="Z2233" s="418"/>
      <c r="AA2233" s="418"/>
      <c r="AB2233" s="417"/>
      <c r="AC2233" s="417"/>
      <c r="AD2233" s="417"/>
      <c r="AE2233" s="417"/>
      <c r="AF2233" s="417"/>
      <c r="AG2233" s="417"/>
      <c r="AH2233" s="417"/>
      <c r="AI2233" s="417"/>
    </row>
    <row r="2234" spans="1:35" s="370" customFormat="1" ht="31.5" customHeight="1" x14ac:dyDescent="0.45">
      <c r="A2234" s="368"/>
      <c r="B2234" s="388"/>
      <c r="C2234" s="369"/>
      <c r="D2234" s="368">
        <f>TrialBalanceC!C119</f>
        <v>0</v>
      </c>
      <c r="E2234" s="368"/>
      <c r="F2234" s="368"/>
      <c r="G2234" s="368"/>
      <c r="H2234" s="368"/>
      <c r="I2234" s="368"/>
      <c r="L2234" s="372"/>
      <c r="M2234" s="37"/>
      <c r="O2234" s="456">
        <f>TrialBalanceC!I119</f>
        <v>0</v>
      </c>
      <c r="P2234" s="380"/>
      <c r="Q2234" s="389"/>
      <c r="R2234" s="416" t="str">
        <f t="shared" si="183"/>
        <v>DELETE</v>
      </c>
      <c r="S2234" s="417"/>
      <c r="T2234" s="417"/>
      <c r="U2234" s="417"/>
      <c r="V2234" s="417"/>
      <c r="W2234" s="417"/>
      <c r="X2234" s="417"/>
      <c r="Y2234" s="418"/>
      <c r="Z2234" s="418"/>
      <c r="AA2234" s="418"/>
      <c r="AB2234" s="417"/>
      <c r="AC2234" s="417"/>
      <c r="AD2234" s="417"/>
      <c r="AE2234" s="417"/>
      <c r="AF2234" s="417"/>
      <c r="AG2234" s="417"/>
      <c r="AH2234" s="417"/>
      <c r="AI2234" s="417"/>
    </row>
    <row r="2235" spans="1:35" s="370" customFormat="1" ht="31.5" customHeight="1" x14ac:dyDescent="0.45">
      <c r="A2235" s="368"/>
      <c r="B2235" s="388"/>
      <c r="C2235" s="369"/>
      <c r="D2235" s="368">
        <f>TrialBalanceC!C120</f>
        <v>0</v>
      </c>
      <c r="E2235" s="368"/>
      <c r="F2235" s="368"/>
      <c r="G2235" s="368"/>
      <c r="H2235" s="368"/>
      <c r="I2235" s="368"/>
      <c r="L2235" s="372"/>
      <c r="M2235" s="37"/>
      <c r="O2235" s="456">
        <f>TrialBalanceC!I120</f>
        <v>0</v>
      </c>
      <c r="P2235" s="380"/>
      <c r="Q2235" s="389"/>
      <c r="R2235" s="416" t="str">
        <f t="shared" si="183"/>
        <v>DELETE</v>
      </c>
      <c r="S2235" s="417"/>
      <c r="T2235" s="417"/>
      <c r="U2235" s="417"/>
      <c r="V2235" s="417"/>
      <c r="W2235" s="417"/>
      <c r="X2235" s="417"/>
      <c r="Y2235" s="418"/>
      <c r="Z2235" s="418"/>
      <c r="AA2235" s="418"/>
      <c r="AB2235" s="417"/>
      <c r="AC2235" s="417"/>
      <c r="AD2235" s="417"/>
      <c r="AE2235" s="417"/>
      <c r="AF2235" s="417"/>
      <c r="AG2235" s="417"/>
      <c r="AH2235" s="417"/>
      <c r="AI2235" s="417"/>
    </row>
    <row r="2236" spans="1:35" s="370" customFormat="1" ht="31.5" customHeight="1" x14ac:dyDescent="0.45">
      <c r="A2236" s="368"/>
      <c r="B2236" s="388"/>
      <c r="C2236" s="369"/>
      <c r="D2236" s="368">
        <f>TrialBalanceC!C121</f>
        <v>0</v>
      </c>
      <c r="E2236" s="368"/>
      <c r="F2236" s="368"/>
      <c r="G2236" s="368"/>
      <c r="H2236" s="368"/>
      <c r="I2236" s="368"/>
      <c r="L2236" s="372"/>
      <c r="M2236" s="37"/>
      <c r="O2236" s="456">
        <f>TrialBalanceC!I121</f>
        <v>0</v>
      </c>
      <c r="P2236" s="380"/>
      <c r="Q2236" s="389"/>
      <c r="R2236" s="416" t="str">
        <f t="shared" si="183"/>
        <v>DELETE</v>
      </c>
      <c r="S2236" s="417"/>
      <c r="T2236" s="417"/>
      <c r="U2236" s="417"/>
      <c r="V2236" s="417"/>
      <c r="W2236" s="417"/>
      <c r="X2236" s="417"/>
      <c r="Y2236" s="418"/>
      <c r="Z2236" s="418"/>
      <c r="AA2236" s="418"/>
      <c r="AB2236" s="417"/>
      <c r="AC2236" s="417"/>
      <c r="AD2236" s="417"/>
      <c r="AE2236" s="417"/>
      <c r="AF2236" s="417"/>
      <c r="AG2236" s="417"/>
      <c r="AH2236" s="417"/>
      <c r="AI2236" s="417"/>
    </row>
    <row r="2237" spans="1:35" s="370" customFormat="1" ht="31.5" customHeight="1" x14ac:dyDescent="0.45">
      <c r="A2237" s="368"/>
      <c r="B2237" s="388"/>
      <c r="C2237" s="369"/>
      <c r="D2237" s="368">
        <f>TrialBalanceC!C122</f>
        <v>0</v>
      </c>
      <c r="E2237" s="368"/>
      <c r="F2237" s="368"/>
      <c r="G2237" s="368"/>
      <c r="H2237" s="368"/>
      <c r="I2237" s="368"/>
      <c r="L2237" s="372"/>
      <c r="M2237" s="37"/>
      <c r="O2237" s="456">
        <f>TrialBalanceC!I122</f>
        <v>0</v>
      </c>
      <c r="P2237" s="380"/>
      <c r="Q2237" s="389"/>
      <c r="R2237" s="416" t="str">
        <f t="shared" si="183"/>
        <v>DELETE</v>
      </c>
      <c r="S2237" s="417"/>
      <c r="T2237" s="417"/>
      <c r="U2237" s="417"/>
      <c r="V2237" s="417"/>
      <c r="W2237" s="417"/>
      <c r="X2237" s="417"/>
      <c r="Y2237" s="418"/>
      <c r="Z2237" s="418"/>
      <c r="AA2237" s="418"/>
      <c r="AB2237" s="417"/>
      <c r="AC2237" s="417"/>
      <c r="AD2237" s="417"/>
      <c r="AE2237" s="417"/>
      <c r="AF2237" s="417"/>
      <c r="AG2237" s="417"/>
      <c r="AH2237" s="417"/>
      <c r="AI2237" s="417"/>
    </row>
    <row r="2238" spans="1:35" s="370" customFormat="1" ht="31.5" customHeight="1" x14ac:dyDescent="0.45">
      <c r="A2238" s="368"/>
      <c r="B2238" s="388"/>
      <c r="C2238" s="369"/>
      <c r="D2238" s="368">
        <f>TrialBalanceC!C123</f>
        <v>0</v>
      </c>
      <c r="E2238" s="368"/>
      <c r="F2238" s="368"/>
      <c r="G2238" s="368"/>
      <c r="H2238" s="368"/>
      <c r="I2238" s="368"/>
      <c r="L2238" s="372"/>
      <c r="M2238" s="37"/>
      <c r="O2238" s="456">
        <f>TrialBalanceC!I123</f>
        <v>0</v>
      </c>
      <c r="P2238" s="380"/>
      <c r="Q2238" s="389"/>
      <c r="R2238" s="416" t="str">
        <f t="shared" si="183"/>
        <v>DELETE</v>
      </c>
      <c r="S2238" s="417"/>
      <c r="T2238" s="417"/>
      <c r="U2238" s="417"/>
      <c r="V2238" s="417"/>
      <c r="W2238" s="417"/>
      <c r="X2238" s="417"/>
      <c r="Y2238" s="418"/>
      <c r="Z2238" s="418"/>
      <c r="AA2238" s="418"/>
      <c r="AB2238" s="417"/>
      <c r="AC2238" s="417"/>
      <c r="AD2238" s="417"/>
      <c r="AE2238" s="417"/>
      <c r="AF2238" s="417"/>
      <c r="AG2238" s="417"/>
      <c r="AH2238" s="417"/>
      <c r="AI2238" s="417"/>
    </row>
    <row r="2239" spans="1:35" s="370" customFormat="1" ht="31.5" customHeight="1" x14ac:dyDescent="0.45">
      <c r="A2239" s="368"/>
      <c r="B2239" s="388"/>
      <c r="C2239" s="369"/>
      <c r="D2239" s="368">
        <f>TrialBalanceC!C124</f>
        <v>0</v>
      </c>
      <c r="E2239" s="368"/>
      <c r="F2239" s="368"/>
      <c r="G2239" s="368"/>
      <c r="H2239" s="368"/>
      <c r="I2239" s="368"/>
      <c r="L2239" s="372"/>
      <c r="M2239" s="37"/>
      <c r="O2239" s="456">
        <f>TrialBalanceC!I124</f>
        <v>0</v>
      </c>
      <c r="P2239" s="380"/>
      <c r="Q2239" s="389"/>
      <c r="R2239" s="416" t="str">
        <f t="shared" si="183"/>
        <v>DELETE</v>
      </c>
      <c r="S2239" s="417"/>
      <c r="T2239" s="417"/>
      <c r="U2239" s="417"/>
      <c r="V2239" s="417"/>
      <c r="W2239" s="417"/>
      <c r="X2239" s="417"/>
      <c r="Y2239" s="418"/>
      <c r="Z2239" s="418"/>
      <c r="AA2239" s="418"/>
      <c r="AB2239" s="417"/>
      <c r="AC2239" s="417"/>
      <c r="AD2239" s="417"/>
      <c r="AE2239" s="417"/>
      <c r="AF2239" s="417"/>
      <c r="AG2239" s="417"/>
      <c r="AH2239" s="417"/>
      <c r="AI2239" s="417"/>
    </row>
    <row r="2240" spans="1:35" s="370" customFormat="1" ht="31.5" customHeight="1" x14ac:dyDescent="0.45">
      <c r="A2240" s="368"/>
      <c r="B2240" s="388"/>
      <c r="C2240" s="369"/>
      <c r="D2240" s="368" t="str">
        <f>TrialBalanceC!C125</f>
        <v>Amortisation of prepaid lease agreement</v>
      </c>
      <c r="E2240" s="368"/>
      <c r="F2240" s="368"/>
      <c r="G2240" s="368"/>
      <c r="H2240" s="368"/>
      <c r="I2240" s="368"/>
      <c r="L2240" s="372"/>
      <c r="M2240" s="37"/>
      <c r="O2240" s="456">
        <f>TrialBalanceC!I125</f>
        <v>0</v>
      </c>
      <c r="P2240" s="380"/>
      <c r="Q2240" s="389"/>
      <c r="R2240" s="416" t="str">
        <f t="shared" si="183"/>
        <v>DELETE</v>
      </c>
      <c r="S2240" s="417"/>
      <c r="T2240" s="417"/>
      <c r="U2240" s="417"/>
      <c r="V2240" s="417"/>
      <c r="W2240" s="417"/>
      <c r="X2240" s="417"/>
      <c r="Y2240" s="418"/>
      <c r="Z2240" s="418"/>
      <c r="AA2240" s="418"/>
      <c r="AB2240" s="417"/>
      <c r="AC2240" s="417"/>
      <c r="AD2240" s="417"/>
      <c r="AE2240" s="417"/>
      <c r="AF2240" s="417"/>
      <c r="AG2240" s="417"/>
      <c r="AH2240" s="417"/>
      <c r="AI2240" s="417"/>
    </row>
    <row r="2241" spans="1:35" s="370" customFormat="1" ht="31.5" customHeight="1" x14ac:dyDescent="0.45">
      <c r="A2241" s="368"/>
      <c r="B2241" s="388"/>
      <c r="C2241" s="369"/>
      <c r="D2241" s="368" t="str">
        <f>TrialBalanceC!C126</f>
        <v>Amortisation of goodwill</v>
      </c>
      <c r="E2241" s="368"/>
      <c r="F2241" s="368"/>
      <c r="G2241" s="368"/>
      <c r="H2241" s="368"/>
      <c r="I2241" s="368"/>
      <c r="L2241" s="372"/>
      <c r="M2241" s="37"/>
      <c r="O2241" s="456">
        <f>TrialBalanceC!I126</f>
        <v>0</v>
      </c>
      <c r="P2241" s="380"/>
      <c r="Q2241" s="389"/>
      <c r="R2241" s="416" t="str">
        <f>IF(R$2109="DELETE","DELETE",IF(O2241=0,"DELETE"," "))</f>
        <v>DELETE</v>
      </c>
      <c r="S2241" s="417"/>
      <c r="T2241" s="417"/>
      <c r="U2241" s="417"/>
      <c r="V2241" s="417"/>
      <c r="W2241" s="417"/>
      <c r="X2241" s="417"/>
      <c r="Y2241" s="418"/>
      <c r="Z2241" s="418"/>
      <c r="AA2241" s="418"/>
      <c r="AB2241" s="417"/>
      <c r="AC2241" s="417"/>
      <c r="AD2241" s="417"/>
      <c r="AE2241" s="417"/>
      <c r="AF2241" s="417"/>
      <c r="AG2241" s="417"/>
      <c r="AH2241" s="417"/>
      <c r="AI2241" s="417"/>
    </row>
    <row r="2242" spans="1:35" s="370" customFormat="1" ht="9" customHeight="1" x14ac:dyDescent="0.45">
      <c r="A2242" s="368"/>
      <c r="B2242" s="388"/>
      <c r="C2242" s="369"/>
      <c r="D2242" s="368"/>
      <c r="E2242" s="368"/>
      <c r="F2242" s="368"/>
      <c r="G2242" s="368"/>
      <c r="H2242" s="368"/>
      <c r="I2242" s="368"/>
      <c r="L2242" s="372"/>
      <c r="M2242" s="37"/>
      <c r="O2242" s="457"/>
      <c r="P2242" s="380"/>
      <c r="Q2242" s="389"/>
      <c r="R2242" s="416" t="str">
        <f>R2207</f>
        <v>DELETE</v>
      </c>
      <c r="S2242" s="417"/>
      <c r="T2242" s="417"/>
      <c r="U2242" s="417"/>
      <c r="V2242" s="417"/>
      <c r="W2242" s="417"/>
      <c r="X2242" s="417"/>
      <c r="Y2242" s="418"/>
      <c r="Z2242" s="418"/>
      <c r="AA2242" s="418"/>
      <c r="AB2242" s="417"/>
      <c r="AC2242" s="417"/>
      <c r="AD2242" s="417"/>
      <c r="AE2242" s="417"/>
      <c r="AF2242" s="417"/>
      <c r="AG2242" s="417"/>
      <c r="AH2242" s="417"/>
      <c r="AI2242" s="417"/>
    </row>
    <row r="2243" spans="1:35" s="370" customFormat="1" ht="9" customHeight="1" x14ac:dyDescent="0.45">
      <c r="A2243" s="368"/>
      <c r="B2243" s="388"/>
      <c r="C2243" s="369"/>
      <c r="D2243" s="368"/>
      <c r="E2243" s="368"/>
      <c r="F2243" s="368"/>
      <c r="G2243" s="368"/>
      <c r="H2243" s="368"/>
      <c r="I2243" s="368"/>
      <c r="L2243" s="372"/>
      <c r="M2243" s="37"/>
      <c r="O2243" s="438"/>
      <c r="P2243" s="380"/>
      <c r="Q2243" s="389"/>
      <c r="R2243" s="416" t="str">
        <f t="shared" ref="R2243:R2246" si="184">R$2109</f>
        <v>DELETE</v>
      </c>
      <c r="S2243" s="417"/>
      <c r="T2243" s="417"/>
      <c r="U2243" s="417"/>
      <c r="V2243" s="417"/>
      <c r="W2243" s="417"/>
      <c r="X2243" s="417"/>
      <c r="Y2243" s="418"/>
      <c r="Z2243" s="418"/>
      <c r="AA2243" s="418"/>
      <c r="AB2243" s="417"/>
      <c r="AC2243" s="417"/>
      <c r="AD2243" s="417"/>
      <c r="AE2243" s="417"/>
      <c r="AF2243" s="417"/>
      <c r="AG2243" s="417"/>
      <c r="AH2243" s="417"/>
      <c r="AI2243" s="417"/>
    </row>
    <row r="2244" spans="1:35" s="370" customFormat="1" ht="9" customHeight="1" x14ac:dyDescent="0.45">
      <c r="A2244" s="368"/>
      <c r="B2244" s="388"/>
      <c r="C2244" s="369"/>
      <c r="D2244" s="368"/>
      <c r="E2244" s="368"/>
      <c r="F2244" s="368"/>
      <c r="G2244" s="368"/>
      <c r="H2244" s="368"/>
      <c r="I2244" s="368"/>
      <c r="L2244" s="372"/>
      <c r="M2244" s="37"/>
      <c r="O2244" s="434"/>
      <c r="P2244" s="380"/>
      <c r="Q2244" s="389"/>
      <c r="R2244" s="416" t="str">
        <f t="shared" si="184"/>
        <v>DELETE</v>
      </c>
      <c r="S2244" s="417"/>
      <c r="T2244" s="417"/>
      <c r="U2244" s="417"/>
      <c r="V2244" s="417"/>
      <c r="W2244" s="417"/>
      <c r="X2244" s="417"/>
      <c r="Y2244" s="418"/>
      <c r="Z2244" s="418"/>
      <c r="AA2244" s="418"/>
      <c r="AB2244" s="417"/>
      <c r="AC2244" s="417"/>
      <c r="AD2244" s="417"/>
      <c r="AE2244" s="417"/>
      <c r="AF2244" s="417"/>
      <c r="AG2244" s="417"/>
      <c r="AH2244" s="417"/>
      <c r="AI2244" s="417"/>
    </row>
    <row r="2245" spans="1:35" s="370" customFormat="1" ht="31.5" customHeight="1" x14ac:dyDescent="0.45">
      <c r="A2245" s="368"/>
      <c r="B2245" s="388"/>
      <c r="C2245" s="411" t="str">
        <f>IF(O2245&lt;0,"OPERATING LOSS FOR THE YEAR","OPERATING PROFIT FOR THE YEAR")</f>
        <v>OPERATING PROFIT FOR THE YEAR</v>
      </c>
      <c r="D2245" s="368"/>
      <c r="E2245" s="368"/>
      <c r="F2245" s="368"/>
      <c r="G2245" s="368"/>
      <c r="H2245" s="368"/>
      <c r="I2245" s="368"/>
      <c r="K2245" s="370">
        <f>'FS2'!B683</f>
        <v>6</v>
      </c>
      <c r="L2245" s="372"/>
      <c r="M2245" s="37"/>
      <c r="O2245" s="434">
        <f>SUM(S2121:S2242)</f>
        <v>0</v>
      </c>
      <c r="P2245" s="380"/>
      <c r="Q2245" s="389"/>
      <c r="R2245" s="416" t="str">
        <f t="shared" si="184"/>
        <v>DELETE</v>
      </c>
      <c r="S2245" s="417"/>
      <c r="T2245" s="417"/>
      <c r="U2245" s="417"/>
      <c r="V2245" s="417"/>
      <c r="W2245" s="417"/>
      <c r="X2245" s="417"/>
      <c r="Y2245" s="418"/>
      <c r="Z2245" s="418"/>
      <c r="AA2245" s="418"/>
      <c r="AB2245" s="417"/>
      <c r="AC2245" s="417"/>
      <c r="AD2245" s="417"/>
      <c r="AE2245" s="417"/>
      <c r="AF2245" s="417"/>
      <c r="AG2245" s="417"/>
      <c r="AH2245" s="417"/>
      <c r="AI2245" s="417"/>
    </row>
    <row r="2246" spans="1:35" s="370" customFormat="1" ht="31.5" customHeight="1" x14ac:dyDescent="0.45">
      <c r="A2246" s="368"/>
      <c r="B2246" s="388"/>
      <c r="C2246" s="369"/>
      <c r="D2246" s="368"/>
      <c r="E2246" s="368"/>
      <c r="F2246" s="368"/>
      <c r="G2246" s="368"/>
      <c r="H2246" s="368"/>
      <c r="I2246" s="368"/>
      <c r="L2246" s="372"/>
      <c r="M2246" s="37"/>
      <c r="O2246" s="434"/>
      <c r="P2246" s="380"/>
      <c r="Q2246" s="389"/>
      <c r="R2246" s="416" t="str">
        <f t="shared" si="184"/>
        <v>DELETE</v>
      </c>
      <c r="S2246" s="417"/>
      <c r="T2246" s="417"/>
      <c r="U2246" s="417"/>
      <c r="V2246" s="417"/>
      <c r="W2246" s="417"/>
      <c r="X2246" s="417"/>
      <c r="Y2246" s="418"/>
      <c r="Z2246" s="418"/>
      <c r="AA2246" s="418"/>
      <c r="AB2246" s="417"/>
      <c r="AC2246" s="417"/>
      <c r="AD2246" s="417"/>
      <c r="AE2246" s="417"/>
      <c r="AF2246" s="417"/>
      <c r="AG2246" s="417"/>
      <c r="AH2246" s="417"/>
      <c r="AI2246" s="417"/>
    </row>
    <row r="2247" spans="1:35" s="370" customFormat="1" ht="31.5" customHeight="1" x14ac:dyDescent="0.45">
      <c r="A2247" s="368"/>
      <c r="B2247" s="388"/>
      <c r="C2247" s="369" t="s">
        <v>122</v>
      </c>
      <c r="D2247" s="368"/>
      <c r="E2247" s="368"/>
      <c r="F2247" s="368"/>
      <c r="G2247" s="368"/>
      <c r="H2247" s="368"/>
      <c r="I2247" s="368"/>
      <c r="L2247" s="372"/>
      <c r="M2247" s="37"/>
      <c r="O2247" s="434">
        <f>SUM(O2250:O2254)</f>
        <v>0</v>
      </c>
      <c r="P2247" s="380"/>
      <c r="Q2247" s="389"/>
      <c r="R2247" s="416" t="str">
        <f t="shared" ref="R2247" si="185">IF(R$2109="DELETE","DELETE",IF(O2247=0,"DELETE"," "))</f>
        <v>DELETE</v>
      </c>
      <c r="S2247" s="421">
        <f>O2247</f>
        <v>0</v>
      </c>
      <c r="T2247" s="421"/>
      <c r="U2247" s="421"/>
      <c r="V2247" s="421"/>
      <c r="W2247" s="417"/>
      <c r="X2247" s="417"/>
      <c r="Y2247" s="418"/>
      <c r="Z2247" s="418"/>
      <c r="AA2247" s="418"/>
      <c r="AB2247" s="417"/>
      <c r="AC2247" s="417"/>
      <c r="AD2247" s="417"/>
      <c r="AE2247" s="417"/>
      <c r="AF2247" s="417"/>
      <c r="AG2247" s="417"/>
      <c r="AH2247" s="417"/>
      <c r="AI2247" s="417"/>
    </row>
    <row r="2248" spans="1:35" s="370" customFormat="1" ht="9" customHeight="1" x14ac:dyDescent="0.45">
      <c r="A2248" s="368"/>
      <c r="B2248" s="388"/>
      <c r="C2248" s="369"/>
      <c r="D2248" s="368"/>
      <c r="E2248" s="368"/>
      <c r="F2248" s="368"/>
      <c r="G2248" s="368"/>
      <c r="H2248" s="368"/>
      <c r="I2248" s="368"/>
      <c r="L2248" s="372"/>
      <c r="M2248" s="37"/>
      <c r="O2248" s="434"/>
      <c r="P2248" s="380"/>
      <c r="Q2248" s="389"/>
      <c r="R2248" s="416" t="str">
        <f>R2247</f>
        <v>DELETE</v>
      </c>
      <c r="S2248" s="417"/>
      <c r="T2248" s="417"/>
      <c r="U2248" s="417"/>
      <c r="V2248" s="417"/>
      <c r="W2248" s="417"/>
      <c r="X2248" s="417"/>
      <c r="Y2248" s="418"/>
      <c r="Z2248" s="418"/>
      <c r="AA2248" s="418"/>
      <c r="AB2248" s="417"/>
      <c r="AC2248" s="417"/>
      <c r="AD2248" s="417"/>
      <c r="AE2248" s="417"/>
      <c r="AF2248" s="417"/>
      <c r="AG2248" s="417"/>
      <c r="AH2248" s="417"/>
      <c r="AI2248" s="417"/>
    </row>
    <row r="2249" spans="1:35" s="370" customFormat="1" ht="9" customHeight="1" x14ac:dyDescent="0.45">
      <c r="A2249" s="368"/>
      <c r="B2249" s="388"/>
      <c r="C2249" s="369"/>
      <c r="D2249" s="368"/>
      <c r="E2249" s="368"/>
      <c r="F2249" s="368"/>
      <c r="G2249" s="368"/>
      <c r="H2249" s="368"/>
      <c r="I2249" s="368"/>
      <c r="L2249" s="372"/>
      <c r="M2249" s="37"/>
      <c r="O2249" s="455"/>
      <c r="P2249" s="380"/>
      <c r="Q2249" s="389"/>
      <c r="R2249" s="416" t="str">
        <f>R2248</f>
        <v>DELETE</v>
      </c>
      <c r="S2249" s="417"/>
      <c r="T2249" s="417"/>
      <c r="U2249" s="417"/>
      <c r="V2249" s="417"/>
      <c r="W2249" s="417"/>
      <c r="X2249" s="417"/>
      <c r="Y2249" s="418"/>
      <c r="Z2249" s="418"/>
      <c r="AA2249" s="418"/>
      <c r="AB2249" s="417"/>
      <c r="AC2249" s="417"/>
      <c r="AD2249" s="417"/>
      <c r="AE2249" s="417"/>
      <c r="AF2249" s="417"/>
      <c r="AG2249" s="417"/>
      <c r="AH2249" s="417"/>
      <c r="AI2249" s="417"/>
    </row>
    <row r="2250" spans="1:35" s="370" customFormat="1" ht="31.5" customHeight="1" x14ac:dyDescent="0.45">
      <c r="A2250" s="368"/>
      <c r="B2250" s="388"/>
      <c r="C2250" s="369"/>
      <c r="D2250" s="368" t="s">
        <v>208</v>
      </c>
      <c r="E2250" s="368"/>
      <c r="F2250" s="368"/>
      <c r="G2250" s="368"/>
      <c r="H2250" s="368"/>
      <c r="I2250" s="368"/>
      <c r="L2250" s="372"/>
      <c r="M2250" s="37"/>
      <c r="O2250" s="456">
        <f>-TrialBalanceC!I82</f>
        <v>0</v>
      </c>
      <c r="P2250" s="380"/>
      <c r="Q2250" s="389"/>
      <c r="R2250" s="416" t="str">
        <f>IF(R$2109="DELETE","DELETE",IF(O2250=0,"DELETE"," "))</f>
        <v>DELETE</v>
      </c>
      <c r="S2250" s="417"/>
      <c r="T2250" s="417"/>
      <c r="U2250" s="417"/>
      <c r="V2250" s="417"/>
      <c r="W2250" s="417"/>
      <c r="X2250" s="417"/>
      <c r="Y2250" s="418"/>
      <c r="Z2250" s="418"/>
      <c r="AA2250" s="418"/>
      <c r="AB2250" s="417"/>
      <c r="AC2250" s="417"/>
      <c r="AD2250" s="417"/>
      <c r="AE2250" s="417"/>
      <c r="AF2250" s="417"/>
      <c r="AG2250" s="417"/>
      <c r="AH2250" s="417"/>
      <c r="AI2250" s="417"/>
    </row>
    <row r="2251" spans="1:35" s="370" customFormat="1" ht="31.5" customHeight="1" x14ac:dyDescent="0.45">
      <c r="A2251" s="368"/>
      <c r="B2251" s="388"/>
      <c r="C2251" s="369"/>
      <c r="D2251" s="368" t="s">
        <v>210</v>
      </c>
      <c r="E2251" s="368"/>
      <c r="F2251" s="368"/>
      <c r="G2251" s="368"/>
      <c r="H2251" s="368"/>
      <c r="I2251" s="368"/>
      <c r="L2251" s="372"/>
      <c r="M2251" s="37"/>
      <c r="O2251" s="458">
        <f>-SUM(TrialBalanceC!I83)</f>
        <v>0</v>
      </c>
      <c r="P2251" s="380"/>
      <c r="Q2251" s="389"/>
      <c r="R2251" s="416" t="str">
        <f>IF(R$2109="DELETE","DELETE",IF(O2251=0,"DELETE"," "))</f>
        <v>DELETE</v>
      </c>
      <c r="S2251" s="417"/>
      <c r="T2251" s="417"/>
      <c r="U2251" s="417"/>
      <c r="V2251" s="417"/>
      <c r="W2251" s="417"/>
      <c r="X2251" s="417"/>
      <c r="Y2251" s="418"/>
      <c r="Z2251" s="418"/>
      <c r="AA2251" s="418"/>
      <c r="AB2251" s="417"/>
      <c r="AC2251" s="417"/>
      <c r="AD2251" s="417"/>
      <c r="AE2251" s="417"/>
      <c r="AF2251" s="417"/>
      <c r="AG2251" s="417"/>
      <c r="AH2251" s="417"/>
      <c r="AI2251" s="417"/>
    </row>
    <row r="2252" spans="1:35" s="370" customFormat="1" ht="31.5" customHeight="1" x14ac:dyDescent="0.45">
      <c r="A2252" s="368"/>
      <c r="B2252" s="388"/>
      <c r="C2252" s="369"/>
      <c r="D2252" s="368" t="s">
        <v>520</v>
      </c>
      <c r="E2252" s="368"/>
      <c r="F2252" s="368"/>
      <c r="G2252" s="368"/>
      <c r="H2252" s="368"/>
      <c r="I2252" s="368"/>
      <c r="L2252" s="372"/>
      <c r="M2252" s="37"/>
      <c r="O2252" s="456">
        <f>IF(TrialBalanceC!I81&lt;0,-TrialBalanceC!I81,0)</f>
        <v>0</v>
      </c>
      <c r="P2252" s="380"/>
      <c r="Q2252" s="389"/>
      <c r="R2252" s="416" t="str">
        <f>IF(R$2109="DELETE","DELETE",IF(O2252=0,"DELETE"," "))</f>
        <v>DELETE</v>
      </c>
      <c r="S2252" s="417"/>
      <c r="T2252" s="417"/>
      <c r="U2252" s="417"/>
      <c r="V2252" s="417"/>
      <c r="W2252" s="417"/>
      <c r="X2252" s="417"/>
      <c r="Y2252" s="418"/>
      <c r="Z2252" s="418"/>
      <c r="AA2252" s="418"/>
      <c r="AB2252" s="417"/>
      <c r="AC2252" s="417"/>
      <c r="AD2252" s="417"/>
      <c r="AE2252" s="417"/>
      <c r="AF2252" s="417"/>
      <c r="AG2252" s="417"/>
      <c r="AH2252" s="417"/>
      <c r="AI2252" s="417"/>
    </row>
    <row r="2253" spans="1:35" s="370" customFormat="1" ht="31.5" customHeight="1" x14ac:dyDescent="0.45">
      <c r="A2253" s="368"/>
      <c r="B2253" s="388"/>
      <c r="C2253" s="369"/>
      <c r="D2253" s="368" t="s">
        <v>365</v>
      </c>
      <c r="E2253" s="368"/>
      <c r="F2253" s="368"/>
      <c r="G2253" s="368"/>
      <c r="H2253" s="368"/>
      <c r="I2253" s="368"/>
      <c r="L2253" s="372"/>
      <c r="M2253" s="37"/>
      <c r="O2253" s="456">
        <f>-TrialBalanceC!I80</f>
        <v>0</v>
      </c>
      <c r="P2253" s="380"/>
      <c r="Q2253" s="389"/>
      <c r="R2253" s="416" t="str">
        <f>IF(R$2109="DELETE","DELETE",IF(O2253=0,"DELETE"," "))</f>
        <v>DELETE</v>
      </c>
      <c r="S2253" s="417"/>
      <c r="T2253" s="417"/>
      <c r="U2253" s="417"/>
      <c r="V2253" s="417"/>
      <c r="W2253" s="417"/>
      <c r="X2253" s="417"/>
      <c r="Y2253" s="418"/>
      <c r="Z2253" s="418"/>
      <c r="AA2253" s="418"/>
      <c r="AB2253" s="417"/>
      <c r="AC2253" s="417"/>
      <c r="AD2253" s="417"/>
      <c r="AE2253" s="417"/>
      <c r="AF2253" s="417"/>
      <c r="AG2253" s="417"/>
      <c r="AH2253" s="417"/>
      <c r="AI2253" s="417"/>
    </row>
    <row r="2254" spans="1:35" s="370" customFormat="1" ht="9" customHeight="1" x14ac:dyDescent="0.45">
      <c r="A2254" s="368"/>
      <c r="B2254" s="388"/>
      <c r="C2254" s="369"/>
      <c r="D2254" s="368"/>
      <c r="E2254" s="368"/>
      <c r="F2254" s="368"/>
      <c r="G2254" s="368"/>
      <c r="H2254" s="368"/>
      <c r="I2254" s="368"/>
      <c r="L2254" s="372"/>
      <c r="M2254" s="37"/>
      <c r="O2254" s="457"/>
      <c r="P2254" s="380"/>
      <c r="Q2254" s="389"/>
      <c r="R2254" s="416" t="str">
        <f>R2247</f>
        <v>DELETE</v>
      </c>
      <c r="S2254" s="417"/>
      <c r="T2254" s="417"/>
      <c r="U2254" s="417"/>
      <c r="V2254" s="417"/>
      <c r="W2254" s="417"/>
      <c r="X2254" s="417"/>
      <c r="Y2254" s="418"/>
      <c r="Z2254" s="418"/>
      <c r="AA2254" s="418"/>
      <c r="AB2254" s="417"/>
      <c r="AC2254" s="417"/>
      <c r="AD2254" s="417"/>
      <c r="AE2254" s="417"/>
      <c r="AF2254" s="417"/>
      <c r="AG2254" s="417"/>
      <c r="AH2254" s="417"/>
      <c r="AI2254" s="417"/>
    </row>
    <row r="2255" spans="1:35" s="370" customFormat="1" ht="9" customHeight="1" x14ac:dyDescent="0.45">
      <c r="A2255" s="368"/>
      <c r="B2255" s="388"/>
      <c r="C2255" s="369"/>
      <c r="D2255" s="368"/>
      <c r="E2255" s="368"/>
      <c r="F2255" s="368"/>
      <c r="G2255" s="368"/>
      <c r="H2255" s="368"/>
      <c r="I2255" s="368"/>
      <c r="L2255" s="372"/>
      <c r="M2255" s="37"/>
      <c r="O2255" s="438"/>
      <c r="P2255" s="380"/>
      <c r="Q2255" s="389"/>
      <c r="R2255" s="416" t="str">
        <f>R2254</f>
        <v>DELETE</v>
      </c>
      <c r="S2255" s="417"/>
      <c r="T2255" s="417"/>
      <c r="U2255" s="417"/>
      <c r="V2255" s="417"/>
      <c r="W2255" s="417"/>
      <c r="X2255" s="417"/>
      <c r="Y2255" s="418"/>
      <c r="Z2255" s="418"/>
      <c r="AA2255" s="418"/>
      <c r="AB2255" s="417"/>
      <c r="AC2255" s="417"/>
      <c r="AD2255" s="417"/>
      <c r="AE2255" s="417"/>
      <c r="AF2255" s="417"/>
      <c r="AG2255" s="417"/>
      <c r="AH2255" s="417"/>
      <c r="AI2255" s="417"/>
    </row>
    <row r="2256" spans="1:35" s="370" customFormat="1" ht="9" customHeight="1" x14ac:dyDescent="0.45">
      <c r="A2256" s="368"/>
      <c r="B2256" s="388"/>
      <c r="C2256" s="369"/>
      <c r="D2256" s="368"/>
      <c r="E2256" s="368"/>
      <c r="F2256" s="368"/>
      <c r="G2256" s="368"/>
      <c r="H2256" s="368"/>
      <c r="I2256" s="368"/>
      <c r="L2256" s="372"/>
      <c r="M2256" s="37"/>
      <c r="O2256" s="434"/>
      <c r="P2256" s="380"/>
      <c r="Q2256" s="389"/>
      <c r="R2256" s="416" t="str">
        <f>R2255</f>
        <v>DELETE</v>
      </c>
      <c r="S2256" s="417"/>
      <c r="T2256" s="417"/>
      <c r="U2256" s="417"/>
      <c r="V2256" s="417"/>
      <c r="W2256" s="417"/>
      <c r="X2256" s="417"/>
      <c r="Y2256" s="418"/>
      <c r="Z2256" s="418"/>
      <c r="AA2256" s="418"/>
      <c r="AB2256" s="417"/>
      <c r="AC2256" s="417"/>
      <c r="AD2256" s="417"/>
      <c r="AE2256" s="417"/>
      <c r="AF2256" s="417"/>
      <c r="AG2256" s="417"/>
      <c r="AH2256" s="417"/>
      <c r="AI2256" s="417"/>
    </row>
    <row r="2257" spans="1:35" s="370" customFormat="1" ht="31.5" customHeight="1" x14ac:dyDescent="0.45">
      <c r="A2257" s="368"/>
      <c r="B2257" s="388"/>
      <c r="C2257" s="369"/>
      <c r="D2257" s="368"/>
      <c r="E2257" s="368"/>
      <c r="F2257" s="368"/>
      <c r="G2257" s="368"/>
      <c r="H2257" s="368"/>
      <c r="I2257" s="368"/>
      <c r="L2257" s="372"/>
      <c r="M2257" s="37"/>
      <c r="O2257" s="434">
        <f>SUM(S2121:S2254)</f>
        <v>0</v>
      </c>
      <c r="P2257" s="380"/>
      <c r="Q2257" s="389"/>
      <c r="R2257" s="416" t="str">
        <f>R2256</f>
        <v>DELETE</v>
      </c>
      <c r="S2257" s="417"/>
      <c r="T2257" s="417"/>
      <c r="U2257" s="417"/>
      <c r="V2257" s="417"/>
      <c r="W2257" s="417"/>
      <c r="X2257" s="417"/>
      <c r="Y2257" s="418"/>
      <c r="Z2257" s="418"/>
      <c r="AA2257" s="418"/>
      <c r="AB2257" s="417"/>
      <c r="AC2257" s="417"/>
      <c r="AD2257" s="417"/>
      <c r="AE2257" s="417"/>
      <c r="AF2257" s="417"/>
      <c r="AG2257" s="417"/>
      <c r="AH2257" s="417"/>
      <c r="AI2257" s="417"/>
    </row>
    <row r="2258" spans="1:35" s="370" customFormat="1" ht="31.5" customHeight="1" x14ac:dyDescent="0.45">
      <c r="A2258" s="368"/>
      <c r="B2258" s="388"/>
      <c r="C2258" s="369"/>
      <c r="D2258" s="368"/>
      <c r="E2258" s="368"/>
      <c r="F2258" s="368"/>
      <c r="G2258" s="368"/>
      <c r="H2258" s="368"/>
      <c r="I2258" s="368"/>
      <c r="L2258" s="372"/>
      <c r="M2258" s="37"/>
      <c r="O2258" s="434"/>
      <c r="P2258" s="380"/>
      <c r="Q2258" s="389"/>
      <c r="R2258" s="416" t="str">
        <f>R2257</f>
        <v>DELETE</v>
      </c>
      <c r="S2258" s="417"/>
      <c r="T2258" s="417"/>
      <c r="U2258" s="417"/>
      <c r="V2258" s="417"/>
      <c r="W2258" s="417"/>
      <c r="X2258" s="417"/>
      <c r="Y2258" s="418"/>
      <c r="Z2258" s="418"/>
      <c r="AA2258" s="418"/>
      <c r="AB2258" s="417"/>
      <c r="AC2258" s="417"/>
      <c r="AD2258" s="417"/>
      <c r="AE2258" s="417"/>
      <c r="AF2258" s="417"/>
      <c r="AG2258" s="417"/>
      <c r="AH2258" s="417"/>
      <c r="AI2258" s="417"/>
    </row>
    <row r="2259" spans="1:35" s="370" customFormat="1" ht="31.5" customHeight="1" x14ac:dyDescent="0.45">
      <c r="A2259" s="368"/>
      <c r="B2259" s="388"/>
      <c r="C2259" s="369" t="s">
        <v>263</v>
      </c>
      <c r="D2259" s="368"/>
      <c r="E2259" s="368"/>
      <c r="F2259" s="368"/>
      <c r="G2259" s="368"/>
      <c r="H2259" s="368"/>
      <c r="I2259" s="368"/>
      <c r="K2259" s="370">
        <f>'FS2'!B600</f>
        <v>5</v>
      </c>
      <c r="L2259" s="372"/>
      <c r="M2259" s="37"/>
      <c r="O2259" s="434">
        <f>SUM(TrialBalanceC!I129:I139)</f>
        <v>0</v>
      </c>
      <c r="P2259" s="380"/>
      <c r="Q2259" s="389"/>
      <c r="R2259" s="416" t="str">
        <f t="shared" ref="R2259" si="186">IF(R$2109="DELETE","DELETE",IF(O2259=0,"DELETE"," "))</f>
        <v>DELETE</v>
      </c>
      <c r="S2259" s="421">
        <f>-O2259</f>
        <v>0</v>
      </c>
      <c r="T2259" s="421"/>
      <c r="U2259" s="421"/>
      <c r="V2259" s="421"/>
      <c r="W2259" s="417"/>
      <c r="X2259" s="417"/>
      <c r="Y2259" s="418"/>
      <c r="Z2259" s="418"/>
      <c r="AA2259" s="418"/>
      <c r="AB2259" s="417"/>
      <c r="AC2259" s="417"/>
      <c r="AD2259" s="417"/>
      <c r="AE2259" s="417"/>
      <c r="AF2259" s="417"/>
      <c r="AG2259" s="417"/>
      <c r="AH2259" s="417"/>
      <c r="AI2259" s="417"/>
    </row>
    <row r="2260" spans="1:35" s="370" customFormat="1" ht="9" customHeight="1" x14ac:dyDescent="0.45">
      <c r="A2260" s="368"/>
      <c r="B2260" s="388"/>
      <c r="C2260" s="369"/>
      <c r="D2260" s="368"/>
      <c r="E2260" s="368"/>
      <c r="F2260" s="368"/>
      <c r="G2260" s="368"/>
      <c r="H2260" s="368"/>
      <c r="I2260" s="368"/>
      <c r="L2260" s="372"/>
      <c r="M2260" s="37"/>
      <c r="O2260" s="438"/>
      <c r="P2260" s="380"/>
      <c r="Q2260" s="389"/>
      <c r="R2260" s="416" t="str">
        <f t="shared" ref="R2260:R2268" si="187">R$2109</f>
        <v>DELETE</v>
      </c>
      <c r="S2260" s="417"/>
      <c r="T2260" s="417"/>
      <c r="U2260" s="417"/>
      <c r="V2260" s="417"/>
      <c r="W2260" s="417"/>
      <c r="X2260" s="417"/>
      <c r="Y2260" s="418"/>
      <c r="Z2260" s="418"/>
      <c r="AA2260" s="418"/>
      <c r="AB2260" s="417"/>
      <c r="AC2260" s="417"/>
      <c r="AD2260" s="417"/>
      <c r="AE2260" s="417"/>
      <c r="AF2260" s="417"/>
      <c r="AG2260" s="417"/>
      <c r="AH2260" s="417"/>
      <c r="AI2260" s="417"/>
    </row>
    <row r="2261" spans="1:35" s="370" customFormat="1" ht="9" customHeight="1" x14ac:dyDescent="0.45">
      <c r="A2261" s="368"/>
      <c r="B2261" s="388"/>
      <c r="C2261" s="369"/>
      <c r="D2261" s="368"/>
      <c r="E2261" s="368"/>
      <c r="F2261" s="368"/>
      <c r="G2261" s="368"/>
      <c r="H2261" s="368"/>
      <c r="I2261" s="368"/>
      <c r="L2261" s="372"/>
      <c r="M2261" s="37"/>
      <c r="O2261" s="434"/>
      <c r="P2261" s="380"/>
      <c r="Q2261" s="389"/>
      <c r="R2261" s="416" t="str">
        <f t="shared" si="187"/>
        <v>DELETE</v>
      </c>
      <c r="S2261" s="417"/>
      <c r="T2261" s="417"/>
      <c r="U2261" s="417"/>
      <c r="V2261" s="417"/>
      <c r="W2261" s="417"/>
      <c r="X2261" s="417"/>
      <c r="Y2261" s="418"/>
      <c r="Z2261" s="418"/>
      <c r="AA2261" s="418"/>
      <c r="AB2261" s="417"/>
      <c r="AC2261" s="417"/>
      <c r="AD2261" s="417"/>
      <c r="AE2261" s="417"/>
      <c r="AF2261" s="417"/>
      <c r="AG2261" s="417"/>
      <c r="AH2261" s="417"/>
      <c r="AI2261" s="417"/>
    </row>
    <row r="2262" spans="1:35" s="370" customFormat="1" ht="31.5" customHeight="1" x14ac:dyDescent="0.45">
      <c r="A2262" s="368"/>
      <c r="B2262" s="388"/>
      <c r="C2262" s="411" t="str">
        <f>IF(O2262&lt;0,"LOSS BEFORE TAXATION","PROFIT BEFORE TAXATION")</f>
        <v>PROFIT BEFORE TAXATION</v>
      </c>
      <c r="D2262" s="368"/>
      <c r="E2262" s="368"/>
      <c r="F2262" s="368"/>
      <c r="G2262" s="368"/>
      <c r="H2262" s="368"/>
      <c r="I2262" s="368"/>
      <c r="L2262" s="372"/>
      <c r="M2262" s="37"/>
      <c r="O2262" s="434">
        <f>SUM(S2121:S2261)</f>
        <v>0</v>
      </c>
      <c r="P2262" s="380"/>
      <c r="Q2262" s="389"/>
      <c r="R2262" s="416" t="str">
        <f t="shared" si="187"/>
        <v>DELETE</v>
      </c>
      <c r="S2262" s="417"/>
      <c r="T2262" s="417"/>
      <c r="U2262" s="417"/>
      <c r="V2262" s="417"/>
      <c r="W2262" s="417"/>
      <c r="X2262" s="417"/>
      <c r="Y2262" s="418"/>
      <c r="Z2262" s="418"/>
      <c r="AA2262" s="418"/>
      <c r="AB2262" s="417"/>
      <c r="AC2262" s="417"/>
      <c r="AD2262" s="417"/>
      <c r="AE2262" s="417"/>
      <c r="AF2262" s="417"/>
      <c r="AG2262" s="417"/>
      <c r="AH2262" s="417"/>
      <c r="AI2262" s="417"/>
    </row>
    <row r="2263" spans="1:35" s="370" customFormat="1" ht="9" customHeight="1" thickBot="1" x14ac:dyDescent="0.5">
      <c r="A2263" s="368"/>
      <c r="B2263" s="388"/>
      <c r="C2263" s="369"/>
      <c r="D2263" s="368"/>
      <c r="E2263" s="368"/>
      <c r="F2263" s="368"/>
      <c r="G2263" s="368"/>
      <c r="H2263" s="368"/>
      <c r="I2263" s="368"/>
      <c r="L2263" s="372"/>
      <c r="M2263" s="37"/>
      <c r="O2263" s="439"/>
      <c r="P2263" s="380"/>
      <c r="Q2263" s="389"/>
      <c r="R2263" s="416" t="str">
        <f t="shared" si="187"/>
        <v>DELETE</v>
      </c>
      <c r="S2263" s="417"/>
      <c r="T2263" s="417"/>
      <c r="U2263" s="417"/>
      <c r="V2263" s="417"/>
      <c r="W2263" s="417"/>
      <c r="X2263" s="417"/>
      <c r="Y2263" s="418"/>
      <c r="Z2263" s="418"/>
      <c r="AA2263" s="418"/>
      <c r="AB2263" s="417"/>
      <c r="AC2263" s="417"/>
      <c r="AD2263" s="417"/>
      <c r="AE2263" s="417"/>
      <c r="AF2263" s="417"/>
      <c r="AG2263" s="417"/>
      <c r="AH2263" s="417"/>
      <c r="AI2263" s="417"/>
    </row>
    <row r="2264" spans="1:35" s="370" customFormat="1" ht="9" customHeight="1" thickTop="1" x14ac:dyDescent="0.45">
      <c r="A2264" s="368"/>
      <c r="B2264" s="388"/>
      <c r="C2264" s="369"/>
      <c r="D2264" s="368"/>
      <c r="E2264" s="368"/>
      <c r="F2264" s="368"/>
      <c r="G2264" s="368"/>
      <c r="H2264" s="368"/>
      <c r="I2264" s="368"/>
      <c r="L2264" s="372"/>
      <c r="M2264" s="37"/>
      <c r="O2264" s="441"/>
      <c r="P2264" s="380"/>
      <c r="Q2264" s="389"/>
      <c r="R2264" s="416" t="str">
        <f t="shared" si="187"/>
        <v>DELETE</v>
      </c>
      <c r="S2264" s="417"/>
      <c r="T2264" s="417"/>
      <c r="U2264" s="417"/>
      <c r="V2264" s="417"/>
      <c r="W2264" s="417"/>
      <c r="X2264" s="417"/>
      <c r="Y2264" s="418"/>
      <c r="Z2264" s="418"/>
      <c r="AA2264" s="418"/>
      <c r="AB2264" s="417"/>
      <c r="AC2264" s="417"/>
      <c r="AD2264" s="417"/>
      <c r="AE2264" s="417"/>
      <c r="AF2264" s="417"/>
      <c r="AG2264" s="417"/>
      <c r="AH2264" s="417"/>
      <c r="AI2264" s="417"/>
    </row>
    <row r="2265" spans="1:35" s="370" customFormat="1" ht="31.5" customHeight="1" x14ac:dyDescent="0.45">
      <c r="A2265" s="368"/>
      <c r="B2265" s="388"/>
      <c r="C2265" s="369"/>
      <c r="D2265" s="368"/>
      <c r="E2265" s="368"/>
      <c r="F2265" s="368"/>
      <c r="G2265" s="368"/>
      <c r="H2265" s="368"/>
      <c r="I2265" s="368"/>
      <c r="L2265" s="372"/>
      <c r="M2265" s="37"/>
      <c r="O2265" s="434"/>
      <c r="P2265" s="380"/>
      <c r="Q2265" s="389"/>
      <c r="R2265" s="416" t="str">
        <f t="shared" si="187"/>
        <v>DELETE</v>
      </c>
      <c r="S2265" s="417"/>
      <c r="T2265" s="417"/>
      <c r="U2265" s="417"/>
      <c r="V2265" s="417"/>
      <c r="W2265" s="417"/>
      <c r="X2265" s="417"/>
      <c r="Y2265" s="418"/>
      <c r="Z2265" s="418"/>
      <c r="AA2265" s="418"/>
      <c r="AB2265" s="417"/>
      <c r="AC2265" s="417"/>
      <c r="AD2265" s="417"/>
      <c r="AE2265" s="417"/>
      <c r="AF2265" s="417"/>
      <c r="AG2265" s="417"/>
      <c r="AH2265" s="417"/>
      <c r="AI2265" s="417"/>
    </row>
    <row r="2266" spans="1:35" s="370" customFormat="1" ht="31.5" customHeight="1" x14ac:dyDescent="0.45">
      <c r="A2266" s="368"/>
      <c r="B2266" s="388"/>
      <c r="C2266" s="369"/>
      <c r="D2266" s="368"/>
      <c r="E2266" s="368"/>
      <c r="F2266" s="368"/>
      <c r="G2266" s="368"/>
      <c r="H2266" s="368"/>
      <c r="I2266" s="368"/>
      <c r="M2266" s="434"/>
      <c r="N2266" s="390"/>
      <c r="O2266" s="434"/>
      <c r="P2266" s="380"/>
      <c r="Q2266" s="389"/>
      <c r="R2266" s="416" t="str">
        <f t="shared" si="187"/>
        <v>DELETE</v>
      </c>
      <c r="S2266" s="417"/>
      <c r="T2266" s="417"/>
      <c r="U2266" s="417"/>
      <c r="V2266" s="417"/>
      <c r="W2266" s="417"/>
      <c r="X2266" s="417"/>
      <c r="Y2266" s="418"/>
      <c r="Z2266" s="418"/>
      <c r="AA2266" s="418"/>
      <c r="AB2266" s="417"/>
      <c r="AC2266" s="417"/>
      <c r="AD2266" s="417"/>
      <c r="AE2266" s="417"/>
      <c r="AF2266" s="417"/>
      <c r="AG2266" s="417"/>
      <c r="AH2266" s="417"/>
      <c r="AI2266" s="417"/>
    </row>
    <row r="2267" spans="1:35" s="370" customFormat="1" ht="31.5" customHeight="1" x14ac:dyDescent="0.45">
      <c r="A2267" s="368"/>
      <c r="B2267" s="396"/>
      <c r="C2267" s="383"/>
      <c r="D2267" s="383"/>
      <c r="E2267" s="383"/>
      <c r="F2267" s="383"/>
      <c r="G2267" s="383"/>
      <c r="H2267" s="383"/>
      <c r="I2267" s="383"/>
      <c r="J2267" s="383"/>
      <c r="K2267" s="383"/>
      <c r="L2267" s="383"/>
      <c r="M2267" s="482"/>
      <c r="N2267" s="483"/>
      <c r="O2267" s="482"/>
      <c r="P2267" s="475"/>
      <c r="Q2267" s="398"/>
      <c r="R2267" s="416" t="str">
        <f t="shared" si="187"/>
        <v>DELETE</v>
      </c>
      <c r="S2267" s="417"/>
      <c r="T2267" s="417"/>
      <c r="U2267" s="417"/>
      <c r="V2267" s="417"/>
      <c r="W2267" s="417"/>
      <c r="X2267" s="417"/>
      <c r="Y2267" s="418"/>
      <c r="Z2267" s="418"/>
      <c r="AA2267" s="418"/>
      <c r="AB2267" s="417"/>
      <c r="AC2267" s="417"/>
      <c r="AD2267" s="417"/>
      <c r="AE2267" s="417"/>
      <c r="AF2267" s="417"/>
      <c r="AG2267" s="417"/>
      <c r="AH2267" s="417"/>
      <c r="AI2267" s="417"/>
    </row>
    <row r="2268" spans="1:35" s="370" customFormat="1" ht="31.5" customHeight="1" x14ac:dyDescent="0.45">
      <c r="A2268" s="368"/>
      <c r="B2268" s="368"/>
      <c r="C2268" s="368"/>
      <c r="D2268" s="368"/>
      <c r="E2268" s="368"/>
      <c r="F2268" s="368"/>
      <c r="G2268" s="368"/>
      <c r="H2268" s="368"/>
      <c r="I2268" s="368"/>
      <c r="J2268" s="368"/>
      <c r="K2268" s="368"/>
      <c r="L2268" s="368"/>
      <c r="M2268" s="479"/>
      <c r="N2268" s="469"/>
      <c r="O2268" s="479"/>
      <c r="P2268" s="468"/>
      <c r="Q2268" s="368"/>
      <c r="R2268" s="416" t="str">
        <f t="shared" si="187"/>
        <v>DELETE</v>
      </c>
      <c r="S2268" s="417"/>
      <c r="T2268" s="417"/>
      <c r="U2268" s="417"/>
      <c r="V2268" s="417"/>
      <c r="W2268" s="417"/>
      <c r="X2268" s="417"/>
      <c r="Y2268" s="418"/>
      <c r="Z2268" s="418"/>
      <c r="AA2268" s="418"/>
      <c r="AB2268" s="417"/>
      <c r="AC2268" s="417"/>
      <c r="AD2268" s="417"/>
      <c r="AE2268" s="417"/>
      <c r="AF2268" s="417"/>
      <c r="AG2268" s="417"/>
      <c r="AH2268" s="417"/>
      <c r="AI2268" s="417"/>
    </row>
  </sheetData>
  <sheetProtection formatColumns="0" formatRows="0" insertRows="0" deleteRows="0"/>
  <mergeCells count="7">
    <mergeCell ref="D263:H263"/>
    <mergeCell ref="E267:H267"/>
    <mergeCell ref="T1:V1"/>
    <mergeCell ref="F16:M16"/>
    <mergeCell ref="F18:M18"/>
    <mergeCell ref="F20:M20"/>
    <mergeCell ref="J206:K206"/>
  </mergeCells>
  <hyperlinks>
    <hyperlink ref="D315" r:id="rId1" display="=@IF(U501+V501=1,&quot;GROSS PROFIT/(LOSS)&quot;,IF((U501+V501=2),&quot;GROSS PROFIT&quot;,&quot;GROSS LOSS&quot;))" xr:uid="{C6049C0F-C686-42F4-AE93-07D3F71AFE78}"/>
    <hyperlink ref="D326" r:id="rId2" display="=@IF(U501+V501=1,&quot;GROSS PROFIT/(LOSS)&quot;,IF((U501+V501=2),&quot;GROSS PROFIT&quot;,&quot;GROSS LOSS&quot;))" xr:uid="{159A078F-A0BD-4DDE-B902-F8C038D7FABA}"/>
    <hyperlink ref="C1518" r:id="rId3" display="=@IF(U501+V501=1,&quot;GROSS PROFIT/(LOSS)&quot;,IF((U501+V501=2),&quot;GROSS PROFIT&quot;,&quot;GROSS LOSS&quot;))" xr:uid="{05F870BD-0B00-4FBE-85F3-23B0627DCC14}"/>
    <hyperlink ref="C1567" r:id="rId4" display="=@IF(U501+V501=1,&quot;GROSS PROFIT/(LOSS)&quot;,IF((U501+V501=2),&quot;GROSS PROFIT&quot;,&quot;GROSS LOSS&quot;))" xr:uid="{8282F010-76C0-4B82-A109-E090ED3B4F55}"/>
    <hyperlink ref="C1583" r:id="rId5" display="=@IF(U501+V501=1,&quot;GROSS PROFIT/(LOSS)&quot;,IF((U501+V501=2),&quot;GROSS PROFIT&quot;,&quot;GROSS LOSS&quot;))" xr:uid="{D40CFE50-1FC6-4331-8734-15973FA114BA}"/>
    <hyperlink ref="C1625" r:id="rId6" display="=@IF(U501+V501=1,&quot;GROSS PROFIT/(LOSS)&quot;,IF((U501+V501=2),&quot;GROSS PROFIT&quot;,&quot;GROSS LOSS&quot;))" xr:uid="{8F87F019-8B17-4D76-9068-8F4F7806283D}"/>
    <hyperlink ref="C1642" r:id="rId7" display="=@IF(U501+V501=1,&quot;GROSS PROFIT/(LOSS)&quot;,IF((U501+V501=2),&quot;GROSS PROFIT&quot;,&quot;GROSS LOSS&quot;))" xr:uid="{DC149E2C-FFE1-4CF6-974B-15730C57281D}"/>
    <hyperlink ref="D395" r:id="rId8" display="=@IF(U501+V501=1,&quot;GROSS PROFIT/(LOSS)&quot;,IF((U501+V501=2),&quot;GROSS PROFIT&quot;,&quot;GROSS LOSS&quot;))" xr:uid="{CA451573-132F-4D19-A60A-B3DBC077F74F}"/>
    <hyperlink ref="D684" r:id="rId9" display="=@IF(U501+V501=1,&quot;GROSS PROFIT/(LOSS)&quot;,IF((U501+V501=2),&quot;GROSS PROFIT&quot;,&quot;GROSS LOSS&quot;))" xr:uid="{959B7E1E-9FF2-49DD-8FDF-7B038998118A}"/>
    <hyperlink ref="O395" r:id="rId10" display="-TrialBalance!A146-@sum(TrialBalance!A5:A127)" xr:uid="{8078A7B2-B8C8-4262-BD99-7D69D4D1400F}"/>
    <hyperlink ref="O323" r:id="rId11" display="-@sum(TrialBalance!A119:A125" xr:uid="{BF68108E-8D5C-45B9-BF5A-D7DB11181E0D}"/>
    <hyperlink ref="D1733" r:id="rId12" display="=@IF(U501+V501=1,&quot;GROSS PROFIT/(LOSS)&quot;,IF((U501+V501=2),&quot;GROSS PROFIT&quot;,&quot;GROSS LOSS&quot;))" xr:uid="{ED8F9A9D-FA24-41D3-B372-7F7D8E87E2A7}"/>
    <hyperlink ref="C683" r:id="rId13" display="=@IF(U501+V501=1,&quot;GROSS PROFIT/(LOSS)&quot;,IF((U501+V501=2),&quot;GROSS PROFIT&quot;,&quot;GROSS LOSS&quot;))" xr:uid="{63A5A49B-1DA8-4DBC-8B6A-1069748B7678}"/>
    <hyperlink ref="C1942" r:id="rId14" display="=@IF(U501+V501=1,&quot;GROSS PROFIT/(LOSS)&quot;,IF((U501+V501=2),&quot;GROSS PROFIT&quot;,&quot;GROSS LOSS&quot;))" xr:uid="{AB335492-C94F-4635-8C52-450906B53618}"/>
    <hyperlink ref="C1925" r:id="rId15" display="=@IF(U501+V501=1,&quot;GROSS PROFIT/(LOSS)&quot;,IF((U501+V501=2),&quot;GROSS PROFIT&quot;,&quot;GROSS LOSS&quot;))" xr:uid="{905C879D-FDA9-4DB1-979F-979F274FF278}"/>
    <hyperlink ref="C1884" r:id="rId16" display="=@IF(U501+V501=1,&quot;GROSS PROFIT/(LOSS)&quot;,IF((U501+V501=2),&quot;GROSS PROFIT&quot;,&quot;GROSS LOSS&quot;))" xr:uid="{AA7CA226-8577-4120-BCAF-FFB90DC877E7}"/>
    <hyperlink ref="C1868" r:id="rId17" display="=@IF(U501+V501=1,&quot;GROSS PROFIT/(LOSS)&quot;,IF((U501+V501=2),&quot;GROSS PROFIT&quot;,&quot;GROSS LOSS&quot;))" xr:uid="{1E8C94EF-F4B6-4951-8E74-F1308C9DBA8B}"/>
    <hyperlink ref="C1819" r:id="rId18" display="=@IF(U501+V501=1,&quot;GROSS PROFIT/(LOSS)&quot;,IF((U501+V501=2),&quot;GROSS PROFIT&quot;,&quot;GROSS LOSS&quot;))" xr:uid="{74A5E9EA-3949-45A6-8224-75111C4FBF6C}"/>
    <hyperlink ref="C2102" r:id="rId19" display="=@IF(U501+V501=1,&quot;GROSS PROFIT/(LOSS)&quot;,IF((U501+V501=2),&quot;GROSS PROFIT&quot;,&quot;GROSS LOSS&quot;))" xr:uid="{AB33BE87-081B-4DAE-B9AE-9D0C6FD3C05F}"/>
    <hyperlink ref="C2085" r:id="rId20" display="=@IF(U501+V501=1,&quot;GROSS PROFIT/(LOSS)&quot;,IF((U501+V501=2),&quot;GROSS PROFIT&quot;,&quot;GROSS LOSS&quot;))" xr:uid="{3C0C4F9F-FCC5-4D49-9357-184D6995AF39}"/>
    <hyperlink ref="C2028" r:id="rId21" display="=@IF(U501+V501=1,&quot;GROSS PROFIT/(LOSS)&quot;,IF((U501+V501=2),&quot;GROSS PROFIT&quot;,&quot;GROSS LOSS&quot;))" xr:uid="{94AEA5C3-B21D-41EE-9701-4A752F0B6FD4}"/>
    <hyperlink ref="C1979" r:id="rId22" display="=@IF(U501+V501=1,&quot;GROSS PROFIT/(LOSS)&quot;,IF((U501+V501=2),&quot;GROSS PROFIT&quot;,&quot;GROSS LOSS&quot;))" xr:uid="{3AFDBBB7-11F9-4297-A9C1-0B36D1DEF0E8}"/>
    <hyperlink ref="C2044" r:id="rId23" display="=@IF(U501+V501=1,&quot;GROSS PROFIT/(LOSS)&quot;,IF((U501+V501=2),&quot;GROSS PROFIT&quot;,&quot;GROSS LOSS&quot;))" xr:uid="{973EB773-CB0A-49FB-B593-92448EB1EEE2}"/>
    <hyperlink ref="C2139" r:id="rId24" display="=@IF(U501+V501=1,&quot;GROSS PROFIT/(LOSS)&quot;,IF((U501+V501=2),&quot;GROSS PROFIT&quot;,&quot;GROSS LOSS&quot;))" xr:uid="{46A185A3-786B-4689-A60E-A66D87D43B83}"/>
    <hyperlink ref="C2188" r:id="rId25" display="=@IF(U501+V501=1,&quot;GROSS PROFIT/(LOSS)&quot;,IF((U501+V501=2),&quot;GROSS PROFIT&quot;,&quot;GROSS LOSS&quot;))" xr:uid="{5B330A75-E07D-4D27-B33C-E06B9E7A56DC}"/>
    <hyperlink ref="C2245" r:id="rId26" display="=@IF(U501+V501=1,&quot;GROSS PROFIT/(LOSS)&quot;,IF((U501+V501=2),&quot;GROSS PROFIT&quot;,&quot;GROSS LOSS&quot;))" xr:uid="{F960E4FA-F879-4611-A4AB-EF2D6E9BB31C}"/>
    <hyperlink ref="C2262" r:id="rId27" display="=@IF(U501+V501=1,&quot;GROSS PROFIT/(LOSS)&quot;,IF((U501+V501=2),&quot;GROSS PROFIT&quot;,&quot;GROSS LOSS&quot;))" xr:uid="{1BA27073-AC4B-44E3-B6E4-8F59FE3C61E3}"/>
    <hyperlink ref="C2204" r:id="rId28" display="=@IF(U501+V501=1,&quot;GROSS PROFIT/(LOSS)&quot;,IF((U501+V501=2),&quot;GROSS PROFIT&quot;,&quot;GROSS LOSS&quot;))" xr:uid="{21D16E81-B10C-4FFE-994E-43BD03B661B7}"/>
    <hyperlink ref="D321" r:id="rId29" display="=@IF(U501+V501=1,&quot;GROSS PROFIT/(LOSS)&quot;,IF((U501+V501=2),&quot;GROSS PROFIT&quot;,&quot;GROSS LOSS&quot;))" xr:uid="{F495DA1C-5C37-4A6A-924A-1B8DF95052BE}"/>
    <hyperlink ref="D328" r:id="rId30" display="=@IF(U501+V501=1,&quot;GROSS PROFIT/(LOSS)&quot;,IF((U501+V501=2),&quot;GROSS PROFIT&quot;,&quot;GROSS LOSS&quot;))" xr:uid="{42880922-D834-47BC-98CD-14DAA9F84D52}"/>
    <hyperlink ref="D332" r:id="rId31" display="=@IF(U501+V501=1,&quot;GROSS PROFIT/(LOSS)&quot;,IF((U501+V501=2),&quot;GROSS PROFIT&quot;,&quot;GROSS LOSS&quot;))" xr:uid="{60300DA7-0BA0-47D2-80D9-DB325B048696}"/>
    <hyperlink ref="D305" r:id="rId32" display="=@IF(U501+V501=1,&quot;GROSS PROFIT/(LOSS)&quot;,IF((U501+V501=2),&quot;GROSS PROFIT&quot;,&quot;GROSS LOSS&quot;))" xr:uid="{4BAADEF0-6C3C-49D6-A88A-547C18CB7077}"/>
    <hyperlink ref="D307" r:id="rId33" display="=@IF(U501+V501=1,&quot;GROSS PROFIT/(LOSS)&quot;,IF((U501+V501=2),&quot;GROSS PROFIT&quot;,&quot;GROSS LOSS&quot;))" xr:uid="{961A9109-DBD4-4E59-B6A9-8EC684E0E48C}"/>
    <hyperlink ref="D309" r:id="rId34" display="=@IF(U501+V501=1,&quot;GROSS PROFIT/(LOSS)&quot;,IF((U501+V501=2),&quot;GROSS PROFIT&quot;,&quot;GROSS LOSS&quot;))" xr:uid="{7F0DACCD-054A-4C19-8D64-4D9380683AB4}"/>
    <hyperlink ref="D311" r:id="rId35" display="=@IF(U501+V501=1,&quot;GROSS PROFIT/(LOSS)&quot;,IF((U501+V501=2),&quot;GROSS PROFIT&quot;,&quot;GROSS LOSS&quot;))" xr:uid="{C2DCA5D8-9ACC-4B38-842A-C93F86D3334E}"/>
    <hyperlink ref="D1474" r:id="rId36" display="=@IF(U501+V501=1,&quot;GROSS PROFIT/(LOSS)&quot;,IF((U501+V501=2),&quot;GROSS PROFIT&quot;,&quot;GROSS LOSS&quot;))" xr:uid="{179311F2-15D6-4584-A4D6-9F3376AB5D10}"/>
    <hyperlink ref="D1483" r:id="rId37" display="=@IF(U501+V501=1,&quot;GROSS PROFIT/(LOSS)&quot;,IF((U501+V501=2),&quot;GROSS PROFIT&quot;,&quot;GROSS LOSS&quot;))" xr:uid="{940D1680-5612-4BC1-822E-A34F0B376337}"/>
    <hyperlink ref="C1473" r:id="rId38" display="=@IF(U501+V501=1,&quot;GROSS PROFIT/(LOSS)&quot;,IF((U501+V501=2),&quot;GROSS PROFIT&quot;,&quot;GROSS LOSS&quot;))" xr:uid="{8600B9AE-9C59-4A3A-8144-668785D288AB}"/>
  </hyperlinks>
  <pageMargins left="0.7" right="0.7" top="0.75" bottom="0.75" header="0.3" footer="0.3"/>
  <pageSetup paperSize="9" scale="43" fitToHeight="0" orientation="portrait" r:id="rId39"/>
  <headerFooter alignWithMargins="0"/>
  <drawing r:id="rId40"/>
  <picture r:id="rId4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/>
  <dimension ref="A1:U435"/>
  <sheetViews>
    <sheetView zoomScale="89" zoomScaleNormal="89"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defaultRowHeight="12.75" x14ac:dyDescent="0.2"/>
  <cols>
    <col min="1" max="1" width="15.28515625" style="12" customWidth="1"/>
    <col min="2" max="2" width="8.7109375" bestFit="1" customWidth="1"/>
    <col min="3" max="3" width="37.85546875" style="13" bestFit="1" customWidth="1"/>
    <col min="4" max="5" width="15.28515625" style="166" bestFit="1" customWidth="1"/>
    <col min="6" max="8" width="13.140625" style="14" customWidth="1"/>
    <col min="9" max="9" width="15.85546875" style="14" bestFit="1" customWidth="1"/>
    <col min="10" max="10" width="14.7109375" style="14" bestFit="1" customWidth="1"/>
    <col min="11" max="11" width="14" style="14" customWidth="1"/>
    <col min="12" max="12" width="15.85546875" style="209" bestFit="1" customWidth="1"/>
    <col min="13" max="13" width="4.85546875" style="82" customWidth="1"/>
    <col min="14" max="14" width="15.7109375" customWidth="1"/>
    <col min="15" max="15" width="4.140625" customWidth="1"/>
    <col min="16" max="16" width="16.5703125" customWidth="1"/>
    <col min="17" max="17" width="15.85546875" style="48" bestFit="1" customWidth="1"/>
    <col min="18" max="18" width="14.28515625" bestFit="1" customWidth="1"/>
    <col min="19" max="20" width="13.140625" bestFit="1" customWidth="1"/>
    <col min="21" max="21" width="13.85546875" bestFit="1" customWidth="1"/>
  </cols>
  <sheetData>
    <row r="1" spans="1:21" x14ac:dyDescent="0.2">
      <c r="A1" s="333"/>
      <c r="B1" s="334"/>
      <c r="C1" s="334"/>
      <c r="D1" s="508" t="str">
        <f>Criteria!E13</f>
        <v>RENTAL PROPERTIES</v>
      </c>
      <c r="E1" s="508"/>
      <c r="F1" s="331" t="str">
        <f>Criteria!E14</f>
        <v>SEAFRONT RESTAURANT</v>
      </c>
      <c r="G1" s="331" t="str">
        <f>Criteria!E15</f>
        <v>SURF SHOP</v>
      </c>
      <c r="H1" s="331">
        <f>Criteria!E16</f>
        <v>0</v>
      </c>
      <c r="I1" s="335"/>
      <c r="J1" s="336" t="s">
        <v>176</v>
      </c>
      <c r="K1" s="336"/>
      <c r="L1" s="337">
        <f>Criteria!E22</f>
        <v>2024</v>
      </c>
      <c r="M1" s="337"/>
      <c r="N1" s="337">
        <f>Criteria!E27</f>
        <v>2023</v>
      </c>
      <c r="O1" s="334"/>
      <c r="P1" s="510" t="s">
        <v>347</v>
      </c>
      <c r="Q1" s="510"/>
      <c r="S1" s="68"/>
    </row>
    <row r="2" spans="1:21" x14ac:dyDescent="0.2">
      <c r="A2" s="338" t="s">
        <v>1055</v>
      </c>
      <c r="B2" s="334"/>
      <c r="C2" s="334"/>
      <c r="D2" s="509">
        <f>D400-E400</f>
        <v>0</v>
      </c>
      <c r="E2" s="509"/>
      <c r="F2" s="339">
        <f>F400</f>
        <v>0</v>
      </c>
      <c r="G2" s="339">
        <f>G400</f>
        <v>0</v>
      </c>
      <c r="H2" s="339">
        <f>H400</f>
        <v>0</v>
      </c>
      <c r="I2" s="340" t="s">
        <v>450</v>
      </c>
      <c r="J2" s="335">
        <f>J400</f>
        <v>0</v>
      </c>
      <c r="K2" s="341">
        <f>D2-E2+F2+G2+H2</f>
        <v>0</v>
      </c>
      <c r="L2" s="342">
        <f>L400</f>
        <v>0</v>
      </c>
      <c r="M2" s="343"/>
      <c r="N2" s="344">
        <f>N400</f>
        <v>0</v>
      </c>
      <c r="O2" s="334"/>
      <c r="P2" s="337">
        <f>Criteria!E22</f>
        <v>2024</v>
      </c>
      <c r="Q2" s="337">
        <f>Criteria!E27</f>
        <v>2023</v>
      </c>
      <c r="S2" s="69"/>
    </row>
    <row r="3" spans="1:21" x14ac:dyDescent="0.2">
      <c r="A3" s="338" t="s">
        <v>596</v>
      </c>
      <c r="B3" s="345"/>
      <c r="C3" s="345" t="s">
        <v>233</v>
      </c>
      <c r="D3" s="338" t="s">
        <v>234</v>
      </c>
      <c r="E3" s="338" t="s">
        <v>235</v>
      </c>
      <c r="F3" s="338" t="s">
        <v>596</v>
      </c>
      <c r="G3" s="338" t="s">
        <v>596</v>
      </c>
      <c r="H3" s="338" t="s">
        <v>596</v>
      </c>
      <c r="I3" s="346" t="s">
        <v>144</v>
      </c>
      <c r="J3" s="333"/>
      <c r="K3" s="347"/>
      <c r="L3" s="327"/>
      <c r="M3" s="348"/>
      <c r="N3" s="334"/>
      <c r="O3" s="334"/>
      <c r="P3" s="344">
        <f>SUM(L6:L175)</f>
        <v>0</v>
      </c>
      <c r="Q3" s="344">
        <f>SUM(N6:N175)</f>
        <v>0</v>
      </c>
    </row>
    <row r="4" spans="1:21" x14ac:dyDescent="0.2">
      <c r="A4" s="161"/>
      <c r="B4" s="10"/>
      <c r="C4" s="61" t="s">
        <v>945</v>
      </c>
      <c r="D4" s="161"/>
      <c r="E4" s="161"/>
      <c r="F4" s="161"/>
      <c r="G4" s="161"/>
      <c r="H4" s="161"/>
      <c r="I4" s="83"/>
      <c r="J4" s="11"/>
      <c r="K4" s="140"/>
      <c r="L4" s="207"/>
      <c r="M4" s="65"/>
      <c r="P4" s="31"/>
      <c r="Q4" s="31"/>
    </row>
    <row r="5" spans="1:21" x14ac:dyDescent="0.2">
      <c r="A5" s="160"/>
      <c r="B5" s="60" t="s">
        <v>236</v>
      </c>
      <c r="C5" s="316" t="s">
        <v>237</v>
      </c>
      <c r="D5" s="208"/>
      <c r="E5" s="207"/>
      <c r="F5" s="57"/>
      <c r="G5" s="57"/>
      <c r="H5" s="57"/>
      <c r="I5" s="57"/>
      <c r="J5" s="44"/>
      <c r="K5" s="45"/>
      <c r="L5" s="207"/>
      <c r="M5" s="65"/>
      <c r="N5" s="52" t="s">
        <v>233</v>
      </c>
      <c r="Q5" s="49"/>
    </row>
    <row r="6" spans="1:21" x14ac:dyDescent="0.2">
      <c r="A6" s="315"/>
      <c r="B6" s="10" t="s">
        <v>238</v>
      </c>
      <c r="C6" s="317" t="s">
        <v>164</v>
      </c>
      <c r="D6" s="326"/>
      <c r="E6" s="327"/>
      <c r="F6" s="180"/>
      <c r="G6" s="180"/>
      <c r="H6" s="180"/>
      <c r="I6" s="86"/>
      <c r="J6" s="53">
        <f>SUMIF(Journals!D$14:D$920,TrialBalance!P6,Journals!J$14:J$920)+SUMIF(Journals!E$14:E$920,TrialBalance!P6,Journals!J$14:J$920)</f>
        <v>0</v>
      </c>
      <c r="K6" s="330"/>
      <c r="L6" s="332">
        <f t="shared" ref="L6:L7" si="0">ROUND(D6-E6+F6+G6+H6+J6+I6,0)</f>
        <v>0</v>
      </c>
      <c r="M6" s="81"/>
      <c r="N6" s="54">
        <f t="shared" ref="N6:N70" si="1">ROUND(SUM(A6),0)</f>
        <v>0</v>
      </c>
      <c r="P6" s="192" t="str">
        <f t="shared" ref="P6:P38" si="2">CONCATENATE(B6,C6)</f>
        <v>1000/001Sales</v>
      </c>
      <c r="Q6" s="76"/>
      <c r="S6" s="77"/>
      <c r="T6" s="57"/>
      <c r="U6" s="31"/>
    </row>
    <row r="7" spans="1:21" x14ac:dyDescent="0.2">
      <c r="A7" s="315"/>
      <c r="B7" s="60" t="s">
        <v>239</v>
      </c>
      <c r="C7" s="317" t="s">
        <v>240</v>
      </c>
      <c r="D7" s="327"/>
      <c r="E7" s="327"/>
      <c r="F7" s="180"/>
      <c r="G7" s="180"/>
      <c r="H7" s="180"/>
      <c r="I7" s="86"/>
      <c r="J7" s="53">
        <f>SUMIF(Journals!D$14:D$920,TrialBalance!P7,Journals!J$14:J$920)+SUMIF(Journals!E$14:E$920,TrialBalance!P7,Journals!J$14:J$920)</f>
        <v>0</v>
      </c>
      <c r="K7" s="330"/>
      <c r="L7" s="332">
        <f t="shared" si="0"/>
        <v>0</v>
      </c>
      <c r="M7" s="81"/>
      <c r="N7" s="54">
        <f t="shared" si="1"/>
        <v>0</v>
      </c>
      <c r="P7" s="192" t="str">
        <f t="shared" si="2"/>
        <v>1000/002Sales 2</v>
      </c>
      <c r="Q7" s="76"/>
      <c r="S7" s="77"/>
      <c r="T7" s="57"/>
      <c r="U7" s="31"/>
    </row>
    <row r="8" spans="1:21" x14ac:dyDescent="0.2">
      <c r="A8" s="315"/>
      <c r="B8" s="60" t="s">
        <v>241</v>
      </c>
      <c r="C8" s="318" t="s">
        <v>365</v>
      </c>
      <c r="D8" s="327"/>
      <c r="E8" s="327"/>
      <c r="F8" s="180"/>
      <c r="G8" s="180"/>
      <c r="H8" s="180"/>
      <c r="I8" s="86"/>
      <c r="J8" s="53">
        <f>SUMIF(Journals!D$14:D$920,TrialBalance!P8,Journals!J$14:J$920)+SUMIF(Journals!E$14:E$920,TrialBalance!P8,Journals!J$14:J$920)</f>
        <v>0</v>
      </c>
      <c r="K8" s="330"/>
      <c r="L8" s="332">
        <f>ROUND(D8-E8+F8+G8+H8+J8+I8,0)</f>
        <v>0</v>
      </c>
      <c r="M8" s="81"/>
      <c r="N8" s="54">
        <f t="shared" si="1"/>
        <v>0</v>
      </c>
      <c r="P8" s="192" t="str">
        <f t="shared" si="2"/>
        <v>1000/003Rent received</v>
      </c>
      <c r="Q8" s="76"/>
      <c r="S8" s="77"/>
      <c r="T8" s="57"/>
      <c r="U8" s="31"/>
    </row>
    <row r="9" spans="1:21" x14ac:dyDescent="0.2">
      <c r="A9" s="315"/>
      <c r="B9" s="60" t="s">
        <v>242</v>
      </c>
      <c r="C9" s="316" t="s">
        <v>121</v>
      </c>
      <c r="D9" s="326"/>
      <c r="E9" s="327"/>
      <c r="F9" s="180"/>
      <c r="G9" s="180"/>
      <c r="H9" s="180"/>
      <c r="I9" s="86"/>
      <c r="J9" s="53">
        <f>SUMIF(Journals!D$14:D$920,TrialBalance!P9,Journals!J$14:J$920)+SUMIF(Journals!E$14:E$920,TrialBalance!P9,Journals!J$14:J$920)</f>
        <v>0</v>
      </c>
      <c r="K9" s="330"/>
      <c r="L9" s="332">
        <f t="shared" ref="L9:L72" si="3">ROUND(D9-E9+F9+G9+H9+J9+I9,0)</f>
        <v>0</v>
      </c>
      <c r="M9" s="81"/>
      <c r="N9" s="54">
        <f t="shared" si="1"/>
        <v>0</v>
      </c>
      <c r="P9" s="192" t="str">
        <f t="shared" si="2"/>
        <v>2000/000COST OF SALES</v>
      </c>
      <c r="Q9" s="76"/>
      <c r="S9" s="77"/>
      <c r="T9" s="57"/>
      <c r="U9" s="31"/>
    </row>
    <row r="10" spans="1:21" x14ac:dyDescent="0.2">
      <c r="A10" s="315"/>
      <c r="B10" s="60" t="s">
        <v>243</v>
      </c>
      <c r="C10" s="319" t="s">
        <v>629</v>
      </c>
      <c r="D10" s="326"/>
      <c r="E10" s="327"/>
      <c r="F10" s="180"/>
      <c r="G10" s="180"/>
      <c r="H10" s="180"/>
      <c r="I10" s="86"/>
      <c r="J10" s="53">
        <f>SUMIF(Journals!D$14:D$920,TrialBalance!P10,Journals!J$14:J$920)+SUMIF(Journals!E$14:E$920,TrialBalance!P10,Journals!J$14:J$920)</f>
        <v>0</v>
      </c>
      <c r="K10" s="330"/>
      <c r="L10" s="332">
        <f t="shared" si="3"/>
        <v>0</v>
      </c>
      <c r="M10" s="81"/>
      <c r="N10" s="54">
        <f t="shared" si="1"/>
        <v>0</v>
      </c>
      <c r="P10" s="192" t="str">
        <f t="shared" si="2"/>
        <v>2000/001Opening stock - Raw materials</v>
      </c>
      <c r="Q10" s="76"/>
      <c r="S10" s="77"/>
      <c r="T10" s="57"/>
      <c r="U10" s="31"/>
    </row>
    <row r="11" spans="1:21" x14ac:dyDescent="0.2">
      <c r="A11" s="315"/>
      <c r="B11" s="60" t="s">
        <v>393</v>
      </c>
      <c r="C11" s="317" t="s">
        <v>394</v>
      </c>
      <c r="D11" s="326"/>
      <c r="E11" s="327"/>
      <c r="F11" s="180"/>
      <c r="G11" s="180"/>
      <c r="H11" s="180"/>
      <c r="I11" s="86"/>
      <c r="J11" s="53">
        <f>SUMIF(Journals!D$14:D$920,TrialBalance!P11,Journals!J$14:J$920)+SUMIF(Journals!E$14:E$920,TrialBalance!P11,Journals!J$14:J$920)</f>
        <v>0</v>
      </c>
      <c r="K11" s="330"/>
      <c r="L11" s="332">
        <f t="shared" si="3"/>
        <v>0</v>
      </c>
      <c r="M11" s="81"/>
      <c r="N11" s="54">
        <f t="shared" si="1"/>
        <v>0</v>
      </c>
      <c r="P11" s="192" t="str">
        <f t="shared" si="2"/>
        <v>2000/002Opening stock - WIP</v>
      </c>
      <c r="Q11" s="76"/>
      <c r="S11" s="77"/>
      <c r="T11" s="57"/>
      <c r="U11" s="31"/>
    </row>
    <row r="12" spans="1:21" x14ac:dyDescent="0.2">
      <c r="A12" s="315"/>
      <c r="B12" s="60" t="s">
        <v>395</v>
      </c>
      <c r="C12" s="317" t="s">
        <v>396</v>
      </c>
      <c r="D12" s="326"/>
      <c r="E12" s="327"/>
      <c r="F12" s="180"/>
      <c r="G12" s="180"/>
      <c r="H12" s="180"/>
      <c r="I12" s="86"/>
      <c r="J12" s="53">
        <f>SUMIF(Journals!D$14:D$920,TrialBalance!P12,Journals!J$14:J$920)+SUMIF(Journals!E$14:E$920,TrialBalance!P12,Journals!J$14:J$920)</f>
        <v>0</v>
      </c>
      <c r="K12" s="330"/>
      <c r="L12" s="332">
        <f t="shared" si="3"/>
        <v>0</v>
      </c>
      <c r="M12" s="81"/>
      <c r="N12" s="54">
        <f t="shared" si="1"/>
        <v>0</v>
      </c>
      <c r="P12" s="192" t="str">
        <f t="shared" si="2"/>
        <v>2000/003Opening stock - Finished goods</v>
      </c>
      <c r="Q12" s="76"/>
      <c r="S12" s="77"/>
      <c r="T12" s="57"/>
      <c r="U12" s="31"/>
    </row>
    <row r="13" spans="1:21" x14ac:dyDescent="0.2">
      <c r="A13" s="315"/>
      <c r="B13" s="60" t="s">
        <v>397</v>
      </c>
      <c r="C13" s="317" t="s">
        <v>398</v>
      </c>
      <c r="D13" s="326"/>
      <c r="E13" s="327"/>
      <c r="F13" s="180"/>
      <c r="G13" s="180"/>
      <c r="H13" s="180"/>
      <c r="I13" s="86"/>
      <c r="J13" s="53">
        <f>SUMIF(Journals!D$14:D$920,TrialBalance!P13,Journals!J$14:J$920)+SUMIF(Journals!E$14:E$920,TrialBalance!P13,Journals!J$14:J$920)</f>
        <v>0</v>
      </c>
      <c r="K13" s="330"/>
      <c r="L13" s="332">
        <f t="shared" si="3"/>
        <v>0</v>
      </c>
      <c r="M13" s="81"/>
      <c r="N13" s="54">
        <f t="shared" si="1"/>
        <v>0</v>
      </c>
      <c r="P13" s="192" t="str">
        <f t="shared" si="2"/>
        <v>2000/004Opening stock - Trading stock</v>
      </c>
      <c r="Q13" s="76"/>
      <c r="S13" s="77"/>
      <c r="T13" s="57"/>
      <c r="U13" s="31"/>
    </row>
    <row r="14" spans="1:21" x14ac:dyDescent="0.2">
      <c r="A14" s="315"/>
      <c r="B14" s="10" t="s">
        <v>399</v>
      </c>
      <c r="C14" s="317" t="s">
        <v>276</v>
      </c>
      <c r="D14" s="326"/>
      <c r="E14" s="327"/>
      <c r="F14" s="180"/>
      <c r="G14" s="180"/>
      <c r="H14" s="180"/>
      <c r="I14" s="86"/>
      <c r="J14" s="53">
        <f>SUMIF(Journals!D$14:D$920,TrialBalance!P14,Journals!J$14:J$920)+SUMIF(Journals!E$14:E$920,TrialBalance!P14,Journals!J$14:J$920)</f>
        <v>0</v>
      </c>
      <c r="K14" s="330"/>
      <c r="L14" s="332">
        <f t="shared" si="3"/>
        <v>0</v>
      </c>
      <c r="M14" s="81"/>
      <c r="N14" s="54">
        <f t="shared" si="1"/>
        <v>0</v>
      </c>
      <c r="P14" s="192" t="str">
        <f t="shared" si="2"/>
        <v>2000/010Purchases</v>
      </c>
      <c r="Q14" s="76"/>
      <c r="S14" s="77"/>
      <c r="T14" s="57"/>
      <c r="U14" s="31"/>
    </row>
    <row r="15" spans="1:21" x14ac:dyDescent="0.2">
      <c r="A15" s="315"/>
      <c r="B15" s="10" t="s">
        <v>400</v>
      </c>
      <c r="C15" s="320"/>
      <c r="D15" s="327"/>
      <c r="E15" s="327"/>
      <c r="F15" s="180"/>
      <c r="G15" s="180"/>
      <c r="H15" s="180"/>
      <c r="I15" s="86"/>
      <c r="J15" s="53">
        <f>SUMIF(Journals!D$14:D$920,TrialBalance!P15,Journals!J$14:J$920)+SUMIF(Journals!E$14:E$920,TrialBalance!P15,Journals!J$14:J$920)</f>
        <v>0</v>
      </c>
      <c r="K15" s="330"/>
      <c r="L15" s="332">
        <f t="shared" si="3"/>
        <v>0</v>
      </c>
      <c r="M15" s="81"/>
      <c r="N15" s="54">
        <f t="shared" si="1"/>
        <v>0</v>
      </c>
      <c r="P15" s="192" t="str">
        <f t="shared" si="2"/>
        <v>2000/011</v>
      </c>
      <c r="Q15" s="76"/>
      <c r="R15" s="31"/>
      <c r="S15" s="77"/>
      <c r="T15" s="57"/>
      <c r="U15" s="31"/>
    </row>
    <row r="16" spans="1:21" x14ac:dyDescent="0.2">
      <c r="A16" s="315"/>
      <c r="B16" s="60" t="s">
        <v>401</v>
      </c>
      <c r="C16" s="320"/>
      <c r="D16" s="327"/>
      <c r="E16" s="327"/>
      <c r="F16" s="180"/>
      <c r="G16" s="180"/>
      <c r="H16" s="180"/>
      <c r="I16" s="86"/>
      <c r="J16" s="53">
        <f>SUMIF(Journals!D$14:D$920,TrialBalance!P16,Journals!J$14:J$920)+SUMIF(Journals!E$14:E$920,TrialBalance!P16,Journals!J$14:J$920)</f>
        <v>0</v>
      </c>
      <c r="K16" s="330"/>
      <c r="L16" s="332">
        <f t="shared" si="3"/>
        <v>0</v>
      </c>
      <c r="M16" s="81"/>
      <c r="N16" s="54">
        <f t="shared" si="1"/>
        <v>0</v>
      </c>
      <c r="P16" s="192" t="str">
        <f t="shared" si="2"/>
        <v>2000/012</v>
      </c>
      <c r="Q16" s="76"/>
      <c r="S16" s="77"/>
      <c r="T16" s="57"/>
      <c r="U16" s="31"/>
    </row>
    <row r="17" spans="1:21" x14ac:dyDescent="0.2">
      <c r="A17" s="315"/>
      <c r="B17" s="60" t="s">
        <v>402</v>
      </c>
      <c r="C17" s="320"/>
      <c r="D17" s="327"/>
      <c r="E17" s="327"/>
      <c r="F17" s="180"/>
      <c r="G17" s="180"/>
      <c r="H17" s="180"/>
      <c r="I17" s="86"/>
      <c r="J17" s="53">
        <f>SUMIF(Journals!D$14:D$920,TrialBalance!P17,Journals!J$14:J$920)+SUMIF(Journals!E$14:E$920,TrialBalance!P17,Journals!J$14:J$920)</f>
        <v>0</v>
      </c>
      <c r="K17" s="330"/>
      <c r="L17" s="332">
        <f t="shared" si="3"/>
        <v>0</v>
      </c>
      <c r="M17" s="81"/>
      <c r="N17" s="54">
        <f t="shared" si="1"/>
        <v>0</v>
      </c>
      <c r="P17" s="192" t="str">
        <f t="shared" si="2"/>
        <v>2000/013</v>
      </c>
      <c r="Q17" s="76"/>
      <c r="S17" s="77"/>
      <c r="T17" s="57"/>
      <c r="U17" s="31"/>
    </row>
    <row r="18" spans="1:21" x14ac:dyDescent="0.2">
      <c r="A18" s="315"/>
      <c r="B18" s="60" t="s">
        <v>403</v>
      </c>
      <c r="C18" s="320"/>
      <c r="D18" s="327"/>
      <c r="E18" s="327"/>
      <c r="F18" s="180"/>
      <c r="G18" s="180"/>
      <c r="H18" s="180"/>
      <c r="I18" s="86"/>
      <c r="J18" s="53">
        <f>SUMIF(Journals!D$14:D$920,TrialBalance!P18,Journals!J$14:J$920)+SUMIF(Journals!E$14:E$920,TrialBalance!P18,Journals!J$14:J$920)</f>
        <v>0</v>
      </c>
      <c r="K18" s="330"/>
      <c r="L18" s="332">
        <f t="shared" si="3"/>
        <v>0</v>
      </c>
      <c r="M18" s="81"/>
      <c r="N18" s="54">
        <f t="shared" si="1"/>
        <v>0</v>
      </c>
      <c r="P18" s="192" t="str">
        <f t="shared" si="2"/>
        <v>2000/014</v>
      </c>
      <c r="Q18" s="76"/>
      <c r="S18" s="77"/>
      <c r="T18" s="57"/>
      <c r="U18" s="31"/>
    </row>
    <row r="19" spans="1:21" x14ac:dyDescent="0.2">
      <c r="A19" s="315"/>
      <c r="B19" s="60" t="s">
        <v>404</v>
      </c>
      <c r="C19" s="320"/>
      <c r="D19" s="327"/>
      <c r="E19" s="327"/>
      <c r="F19" s="180"/>
      <c r="G19" s="180"/>
      <c r="H19" s="180"/>
      <c r="I19" s="86"/>
      <c r="J19" s="53">
        <f>SUMIF(Journals!D$14:D$920,TrialBalance!P19,Journals!J$14:J$920)+SUMIF(Journals!E$14:E$920,TrialBalance!P19,Journals!J$14:J$920)</f>
        <v>0</v>
      </c>
      <c r="K19" s="330"/>
      <c r="L19" s="332">
        <f t="shared" si="3"/>
        <v>0</v>
      </c>
      <c r="M19" s="81"/>
      <c r="N19" s="54">
        <f t="shared" si="1"/>
        <v>0</v>
      </c>
      <c r="P19" s="192" t="str">
        <f t="shared" si="2"/>
        <v>2000/015</v>
      </c>
      <c r="Q19" s="76"/>
      <c r="S19" s="77"/>
      <c r="T19" s="57"/>
      <c r="U19" s="31"/>
    </row>
    <row r="20" spans="1:21" x14ac:dyDescent="0.2">
      <c r="A20" s="315"/>
      <c r="B20" s="60" t="s">
        <v>405</v>
      </c>
      <c r="C20" s="317" t="s">
        <v>406</v>
      </c>
      <c r="D20" s="326"/>
      <c r="E20" s="327"/>
      <c r="F20" s="180"/>
      <c r="G20" s="180"/>
      <c r="H20" s="180"/>
      <c r="I20" s="86"/>
      <c r="J20" s="53">
        <f>SUMIF(Journals!D$14:D$920,TrialBalance!P20,Journals!J$14:J$920)+SUMIF(Journals!E$14:E$920,TrialBalance!P20,Journals!J$14:J$920)</f>
        <v>0</v>
      </c>
      <c r="K20" s="330"/>
      <c r="L20" s="332">
        <f t="shared" si="3"/>
        <v>0</v>
      </c>
      <c r="M20" s="81"/>
      <c r="N20" s="54">
        <f t="shared" si="1"/>
        <v>0</v>
      </c>
      <c r="P20" s="192" t="str">
        <f t="shared" si="2"/>
        <v>2000/050Closing stock - Raw materials</v>
      </c>
      <c r="Q20" s="76"/>
      <c r="S20" s="77"/>
      <c r="T20" s="57"/>
      <c r="U20" s="31"/>
    </row>
    <row r="21" spans="1:21" x14ac:dyDescent="0.2">
      <c r="A21" s="315"/>
      <c r="B21" s="60" t="s">
        <v>407</v>
      </c>
      <c r="C21" s="317" t="s">
        <v>408</v>
      </c>
      <c r="D21" s="326"/>
      <c r="E21" s="327"/>
      <c r="F21" s="180"/>
      <c r="G21" s="180"/>
      <c r="H21" s="180"/>
      <c r="I21" s="86"/>
      <c r="J21" s="53">
        <f>SUMIF(Journals!D$14:D$920,TrialBalance!P21,Journals!J$14:J$920)+SUMIF(Journals!E$14:E$920,TrialBalance!P21,Journals!J$14:J$920)</f>
        <v>0</v>
      </c>
      <c r="K21" s="330"/>
      <c r="L21" s="332">
        <f t="shared" si="3"/>
        <v>0</v>
      </c>
      <c r="M21" s="81"/>
      <c r="N21" s="54">
        <f t="shared" si="1"/>
        <v>0</v>
      </c>
      <c r="P21" s="192" t="str">
        <f t="shared" si="2"/>
        <v>2000/051Closing stock - WIP</v>
      </c>
      <c r="Q21" s="76"/>
      <c r="S21" s="77"/>
      <c r="T21" s="57"/>
      <c r="U21" s="31"/>
    </row>
    <row r="22" spans="1:21" x14ac:dyDescent="0.2">
      <c r="A22" s="315"/>
      <c r="B22" s="60" t="s">
        <v>409</v>
      </c>
      <c r="C22" s="317" t="s">
        <v>410</v>
      </c>
      <c r="D22" s="326"/>
      <c r="E22" s="327"/>
      <c r="F22" s="180"/>
      <c r="G22" s="180"/>
      <c r="H22" s="180"/>
      <c r="I22" s="86"/>
      <c r="J22" s="53">
        <f>SUMIF(Journals!D$14:D$920,TrialBalance!P22,Journals!J$14:J$920)+SUMIF(Journals!E$14:E$920,TrialBalance!P22,Journals!J$14:J$920)</f>
        <v>0</v>
      </c>
      <c r="K22" s="330"/>
      <c r="L22" s="332">
        <f t="shared" si="3"/>
        <v>0</v>
      </c>
      <c r="M22" s="81"/>
      <c r="N22" s="54">
        <f t="shared" si="1"/>
        <v>0</v>
      </c>
      <c r="P22" s="192" t="str">
        <f t="shared" si="2"/>
        <v>2000/052Closing stock - Finished goods</v>
      </c>
      <c r="Q22" s="76"/>
      <c r="S22" s="77"/>
      <c r="T22" s="57"/>
      <c r="U22" s="31"/>
    </row>
    <row r="23" spans="1:21" x14ac:dyDescent="0.2">
      <c r="A23" s="315"/>
      <c r="B23" s="60" t="s">
        <v>411</v>
      </c>
      <c r="C23" s="317" t="s">
        <v>412</v>
      </c>
      <c r="D23" s="326"/>
      <c r="E23" s="327"/>
      <c r="F23" s="180"/>
      <c r="G23" s="180"/>
      <c r="H23" s="180"/>
      <c r="I23" s="86"/>
      <c r="J23" s="53">
        <f>SUMIF(Journals!D$14:D$920,TrialBalance!P23,Journals!J$14:J$920)+SUMIF(Journals!E$14:E$920,TrialBalance!P23,Journals!J$14:J$920)</f>
        <v>0</v>
      </c>
      <c r="K23" s="330"/>
      <c r="L23" s="332">
        <f t="shared" si="3"/>
        <v>0</v>
      </c>
      <c r="M23" s="81"/>
      <c r="N23" s="54">
        <f t="shared" si="1"/>
        <v>0</v>
      </c>
      <c r="P23" s="192" t="str">
        <f t="shared" si="2"/>
        <v>2000/053Closing stock - Trading stock</v>
      </c>
      <c r="Q23" s="76"/>
      <c r="S23" s="77"/>
      <c r="T23" s="57"/>
      <c r="U23" s="31"/>
    </row>
    <row r="24" spans="1:21" x14ac:dyDescent="0.2">
      <c r="A24" s="315"/>
      <c r="B24" s="62" t="s">
        <v>320</v>
      </c>
      <c r="C24" s="321" t="s">
        <v>319</v>
      </c>
      <c r="D24" s="327"/>
      <c r="E24" s="327"/>
      <c r="F24" s="180"/>
      <c r="G24" s="180"/>
      <c r="H24" s="180"/>
      <c r="I24" s="86"/>
      <c r="J24" s="53">
        <f>SUMIF(Journals!D$14:D$920,TrialBalance!P24,Journals!J$14:J$920)+SUMIF(Journals!E$14:E$920,TrialBalance!P24,Journals!J$14:J$920)</f>
        <v>0</v>
      </c>
      <c r="K24" s="330"/>
      <c r="L24" s="332">
        <f t="shared" si="3"/>
        <v>0</v>
      </c>
      <c r="M24" s="81"/>
      <c r="N24" s="54">
        <f t="shared" si="1"/>
        <v>0</v>
      </c>
      <c r="P24" s="192" t="str">
        <f t="shared" si="2"/>
        <v>2050/000OTHER OPERATING INCOME</v>
      </c>
      <c r="Q24" s="76"/>
      <c r="S24" s="77"/>
      <c r="T24" s="57"/>
      <c r="U24" s="31"/>
    </row>
    <row r="25" spans="1:21" x14ac:dyDescent="0.2">
      <c r="A25" s="315"/>
      <c r="B25" s="62" t="s">
        <v>321</v>
      </c>
      <c r="C25" s="318" t="str">
        <f>IF(Criteria!H13=0,"Insurance claims",IF(Criteria!H14=0,"Insurance claims",CONCATENATE("Insurance claims - ",Criteria!H13)))</f>
        <v>Insurance claims - Rental Properties</v>
      </c>
      <c r="D25" s="327"/>
      <c r="E25" s="327"/>
      <c r="F25" s="180"/>
      <c r="G25" s="180"/>
      <c r="H25" s="180"/>
      <c r="I25" s="86"/>
      <c r="J25" s="53">
        <f>SUMIF(Journals!D$14:D$920,TrialBalance!P25,Journals!J$14:J$920)+SUMIF(Journals!E$14:E$920,TrialBalance!P25,Journals!J$14:J$920)</f>
        <v>0</v>
      </c>
      <c r="K25" s="330"/>
      <c r="L25" s="332">
        <f t="shared" si="3"/>
        <v>0</v>
      </c>
      <c r="M25" s="81"/>
      <c r="N25" s="54">
        <f t="shared" si="1"/>
        <v>0</v>
      </c>
      <c r="P25" s="192" t="str">
        <f t="shared" si="2"/>
        <v>2050/001Insurance claims - Rental Properties</v>
      </c>
      <c r="Q25" s="76"/>
      <c r="S25" s="77"/>
      <c r="T25" s="57"/>
      <c r="U25" s="31"/>
    </row>
    <row r="26" spans="1:21" x14ac:dyDescent="0.2">
      <c r="A26" s="315"/>
      <c r="B26" s="62" t="s">
        <v>322</v>
      </c>
      <c r="C26" s="318" t="s">
        <v>809</v>
      </c>
      <c r="D26" s="327"/>
      <c r="E26" s="327"/>
      <c r="F26" s="180"/>
      <c r="G26" s="180"/>
      <c r="H26" s="180"/>
      <c r="I26" s="86"/>
      <c r="J26" s="53">
        <f>SUMIF(Journals!D$14:D$920,TrialBalance!P26,Journals!J$14:J$920)+SUMIF(Journals!E$14:E$920,TrialBalance!P26,Journals!J$14:J$920)</f>
        <v>0</v>
      </c>
      <c r="K26" s="330"/>
      <c r="L26" s="332">
        <f t="shared" si="3"/>
        <v>0</v>
      </c>
      <c r="M26" s="81"/>
      <c r="N26" s="54">
        <f t="shared" si="1"/>
        <v>0</v>
      </c>
      <c r="P26" s="192" t="str">
        <f t="shared" si="2"/>
        <v>2050/002Government grants received</v>
      </c>
      <c r="Q26" s="76"/>
      <c r="S26" s="77"/>
      <c r="T26" s="57"/>
      <c r="U26" s="31"/>
    </row>
    <row r="27" spans="1:21" x14ac:dyDescent="0.2">
      <c r="A27" s="315"/>
      <c r="B27" s="62" t="s">
        <v>323</v>
      </c>
      <c r="C27" s="320"/>
      <c r="D27" s="327"/>
      <c r="E27" s="327"/>
      <c r="F27" s="180"/>
      <c r="G27" s="180"/>
      <c r="H27" s="180"/>
      <c r="I27" s="86"/>
      <c r="J27" s="53">
        <f>SUMIF(Journals!D$14:D$920,TrialBalance!P27,Journals!J$14:J$920)+SUMIF(Journals!E$14:E$920,TrialBalance!P27,Journals!J$14:J$920)</f>
        <v>0</v>
      </c>
      <c r="K27" s="330"/>
      <c r="L27" s="332">
        <f t="shared" si="3"/>
        <v>0</v>
      </c>
      <c r="M27" s="81"/>
      <c r="N27" s="54">
        <f t="shared" si="1"/>
        <v>0</v>
      </c>
      <c r="P27" s="192" t="str">
        <f t="shared" si="2"/>
        <v>2050/003</v>
      </c>
      <c r="Q27" s="76"/>
      <c r="S27" s="77"/>
      <c r="T27" s="57"/>
      <c r="U27" s="31"/>
    </row>
    <row r="28" spans="1:21" x14ac:dyDescent="0.2">
      <c r="A28" s="315"/>
      <c r="B28" s="62" t="s">
        <v>324</v>
      </c>
      <c r="C28" s="320"/>
      <c r="D28" s="327"/>
      <c r="E28" s="327"/>
      <c r="F28" s="180"/>
      <c r="G28" s="180"/>
      <c r="H28" s="180"/>
      <c r="I28" s="86"/>
      <c r="J28" s="53">
        <f>SUMIF(Journals!D$14:D$920,TrialBalance!P28,Journals!J$14:J$920)+SUMIF(Journals!E$14:E$920,TrialBalance!P28,Journals!J$14:J$920)</f>
        <v>0</v>
      </c>
      <c r="K28" s="330"/>
      <c r="L28" s="332">
        <f t="shared" si="3"/>
        <v>0</v>
      </c>
      <c r="M28" s="81"/>
      <c r="N28" s="54">
        <f t="shared" si="1"/>
        <v>0</v>
      </c>
      <c r="P28" s="192" t="str">
        <f t="shared" si="2"/>
        <v>2050/004</v>
      </c>
      <c r="Q28" s="76"/>
      <c r="S28" s="77"/>
      <c r="T28" s="57"/>
      <c r="U28" s="31"/>
    </row>
    <row r="29" spans="1:21" x14ac:dyDescent="0.2">
      <c r="A29" s="315"/>
      <c r="B29" s="62" t="s">
        <v>325</v>
      </c>
      <c r="C29" s="320"/>
      <c r="D29" s="327"/>
      <c r="E29" s="327"/>
      <c r="F29" s="180"/>
      <c r="G29" s="180"/>
      <c r="H29" s="180"/>
      <c r="I29" s="86"/>
      <c r="J29" s="53">
        <f>SUMIF(Journals!D$14:D$920,TrialBalance!P29,Journals!J$14:J$920)+SUMIF(Journals!E$14:E$920,TrialBalance!P29,Journals!J$14:J$920)</f>
        <v>0</v>
      </c>
      <c r="K29" s="330"/>
      <c r="L29" s="332">
        <f t="shared" si="3"/>
        <v>0</v>
      </c>
      <c r="M29" s="81"/>
      <c r="N29" s="54">
        <f t="shared" si="1"/>
        <v>0</v>
      </c>
      <c r="P29" s="192" t="str">
        <f t="shared" si="2"/>
        <v>2050/005</v>
      </c>
      <c r="Q29" s="76"/>
      <c r="S29" s="77"/>
      <c r="T29" s="57"/>
      <c r="U29" s="31"/>
    </row>
    <row r="30" spans="1:21" x14ac:dyDescent="0.2">
      <c r="A30" s="315"/>
      <c r="B30" s="49" t="s">
        <v>1156</v>
      </c>
      <c r="C30" s="318" t="s">
        <v>1157</v>
      </c>
      <c r="D30" s="327"/>
      <c r="E30" s="327"/>
      <c r="F30" s="180"/>
      <c r="G30" s="180"/>
      <c r="H30" s="180"/>
      <c r="I30" s="86"/>
      <c r="J30" s="53">
        <f>SUMIF(Journals!D$14:D$920,TrialBalance!P30,Journals!J$14:J$920)+SUMIF(Journals!E$14:E$920,TrialBalance!P30,Journals!J$14:J$920)</f>
        <v>0</v>
      </c>
      <c r="K30" s="330"/>
      <c r="L30" s="332">
        <f t="shared" ref="L30" si="4">ROUND(D30-E30+F30+G30+H30+J30+I30,0)</f>
        <v>0</v>
      </c>
      <c r="M30" s="81"/>
      <c r="N30" s="54">
        <f t="shared" ref="N30" si="5">ROUND(SUM(A30),0)</f>
        <v>0</v>
      </c>
      <c r="P30" s="192" t="str">
        <f t="shared" ref="P30" si="6">CONCATENATE(B30,C30)</f>
        <v>2050/006Recoupment of depreciation</v>
      </c>
      <c r="Q30" s="76"/>
      <c r="S30" s="77"/>
      <c r="T30" s="57"/>
      <c r="U30" s="31"/>
    </row>
    <row r="31" spans="1:21" x14ac:dyDescent="0.2">
      <c r="A31" s="315"/>
      <c r="B31" s="49" t="s">
        <v>631</v>
      </c>
      <c r="C31" s="321" t="s">
        <v>630</v>
      </c>
      <c r="D31" s="327"/>
      <c r="E31" s="327"/>
      <c r="F31" s="180"/>
      <c r="G31" s="180"/>
      <c r="H31" s="180"/>
      <c r="I31" s="86"/>
      <c r="J31" s="53">
        <f>SUMIF(Journals!D$14:D$920,TrialBalance!P31,Journals!J$14:J$920)+SUMIF(Journals!E$14:E$920,TrialBalance!P31,Journals!J$14:J$920)</f>
        <v>0</v>
      </c>
      <c r="K31" s="330"/>
      <c r="L31" s="332">
        <f t="shared" si="3"/>
        <v>0</v>
      </c>
      <c r="M31" s="81"/>
      <c r="N31" s="54">
        <f t="shared" si="1"/>
        <v>0</v>
      </c>
      <c r="P31" s="192" t="str">
        <f t="shared" si="2"/>
        <v>2060/000NET (PROFIT)/LOSS OTHER</v>
      </c>
      <c r="Q31" s="76"/>
      <c r="S31" s="77"/>
      <c r="T31" s="57"/>
      <c r="U31" s="31"/>
    </row>
    <row r="32" spans="1:21" x14ac:dyDescent="0.2">
      <c r="A32" s="315"/>
      <c r="B32" s="49" t="s">
        <v>544</v>
      </c>
      <c r="C32" s="322" t="str">
        <f>CONCATENATE("Net (profit)/loss - ",Criteria!H14)</f>
        <v>Net (profit)/loss - Seafront Restaurant</v>
      </c>
      <c r="D32" s="327"/>
      <c r="E32" s="327"/>
      <c r="F32" s="180">
        <f>TrialBalanceA!N3</f>
        <v>0</v>
      </c>
      <c r="G32" s="180"/>
      <c r="H32" s="180"/>
      <c r="I32" s="86"/>
      <c r="J32" s="53">
        <f>SUMIF(Journals!D$14:D$920,TrialBalance!P32,Journals!J$14:J$920)+SUMIF(Journals!E$14:E$920,TrialBalance!P32,Journals!J$14:J$920)</f>
        <v>0</v>
      </c>
      <c r="K32" s="330"/>
      <c r="L32" s="332">
        <f t="shared" si="3"/>
        <v>0</v>
      </c>
      <c r="M32" s="81"/>
      <c r="N32" s="54">
        <f t="shared" si="1"/>
        <v>0</v>
      </c>
      <c r="P32" s="192" t="str">
        <f t="shared" si="2"/>
        <v>2060/001Net (profit)/loss - Seafront Restaurant</v>
      </c>
      <c r="Q32" s="76"/>
      <c r="S32" s="77"/>
      <c r="T32" s="57"/>
      <c r="U32" s="31"/>
    </row>
    <row r="33" spans="1:21" x14ac:dyDescent="0.2">
      <c r="A33" s="315"/>
      <c r="B33" s="49" t="s">
        <v>545</v>
      </c>
      <c r="C33" s="322" t="str">
        <f>CONCATENATE("Net (profit)/loss - ",Criteria!H15)</f>
        <v>Net (profit)/loss - Surf Shop</v>
      </c>
      <c r="D33" s="327"/>
      <c r="E33" s="327"/>
      <c r="F33" s="180"/>
      <c r="G33" s="180">
        <f>TrialBalanceB!N3</f>
        <v>0</v>
      </c>
      <c r="H33" s="180"/>
      <c r="I33" s="86"/>
      <c r="J33" s="53">
        <f>SUMIF(Journals!D$14:D$920,TrialBalance!P33,Journals!J$14:J$920)+SUMIF(Journals!E$14:E$920,TrialBalance!P33,Journals!J$14:J$920)</f>
        <v>0</v>
      </c>
      <c r="K33" s="330"/>
      <c r="L33" s="332">
        <f t="shared" si="3"/>
        <v>0</v>
      </c>
      <c r="M33" s="81"/>
      <c r="N33" s="54">
        <f t="shared" si="1"/>
        <v>0</v>
      </c>
      <c r="P33" s="192" t="str">
        <f t="shared" si="2"/>
        <v>2060/002Net (profit)/loss - Surf Shop</v>
      </c>
      <c r="Q33" s="76"/>
      <c r="S33" s="77"/>
      <c r="T33" s="57"/>
      <c r="U33" s="31"/>
    </row>
    <row r="34" spans="1:21" x14ac:dyDescent="0.2">
      <c r="A34" s="315"/>
      <c r="B34" s="49" t="s">
        <v>546</v>
      </c>
      <c r="C34" s="322" t="str">
        <f>CONCATENATE("Net (profit)/loss - ",Criteria!H16)</f>
        <v xml:space="preserve">Net (profit)/loss - </v>
      </c>
      <c r="D34" s="327"/>
      <c r="E34" s="327"/>
      <c r="F34" s="180"/>
      <c r="G34" s="180"/>
      <c r="H34" s="180">
        <f>TrialBalanceC!N3</f>
        <v>0</v>
      </c>
      <c r="I34" s="86"/>
      <c r="J34" s="53">
        <f>SUMIF(Journals!D$14:D$920,TrialBalance!P34,Journals!J$14:J$920)+SUMIF(Journals!E$14:E$920,TrialBalance!P34,Journals!J$14:J$920)</f>
        <v>0</v>
      </c>
      <c r="K34" s="330"/>
      <c r="L34" s="332">
        <f t="shared" si="3"/>
        <v>0</v>
      </c>
      <c r="M34" s="81"/>
      <c r="N34" s="54">
        <f t="shared" si="1"/>
        <v>0</v>
      </c>
      <c r="P34" s="192" t="str">
        <f t="shared" si="2"/>
        <v xml:space="preserve">2060/003Net (profit)/loss - </v>
      </c>
      <c r="Q34" s="76"/>
      <c r="S34" s="77"/>
      <c r="T34" s="57"/>
      <c r="U34" s="31"/>
    </row>
    <row r="35" spans="1:21" x14ac:dyDescent="0.2">
      <c r="A35" s="315"/>
      <c r="B35" s="49" t="s">
        <v>547</v>
      </c>
      <c r="C35" s="323"/>
      <c r="D35" s="327"/>
      <c r="E35" s="327"/>
      <c r="F35" s="180"/>
      <c r="G35" s="180"/>
      <c r="H35" s="180"/>
      <c r="I35" s="86"/>
      <c r="J35" s="53">
        <f>SUMIF(Journals!D$14:D$920,TrialBalance!P35,Journals!J$14:J$920)+SUMIF(Journals!E$14:E$920,TrialBalance!P35,Journals!J$14:J$920)</f>
        <v>0</v>
      </c>
      <c r="K35" s="330"/>
      <c r="L35" s="332">
        <f t="shared" si="3"/>
        <v>0</v>
      </c>
      <c r="M35" s="81"/>
      <c r="N35" s="54">
        <f t="shared" si="1"/>
        <v>0</v>
      </c>
      <c r="P35" s="192" t="str">
        <f t="shared" si="2"/>
        <v>2060/004</v>
      </c>
      <c r="Q35" s="76"/>
      <c r="S35" s="77"/>
      <c r="T35" s="57"/>
      <c r="U35" s="31"/>
    </row>
    <row r="36" spans="1:21" x14ac:dyDescent="0.2">
      <c r="A36" s="315"/>
      <c r="B36" s="60" t="s">
        <v>413</v>
      </c>
      <c r="C36" s="316" t="s">
        <v>1050</v>
      </c>
      <c r="D36" s="326"/>
      <c r="E36" s="327"/>
      <c r="F36" s="180"/>
      <c r="G36" s="180"/>
      <c r="H36" s="180"/>
      <c r="I36" s="86"/>
      <c r="J36" s="53">
        <f>SUMIF(Journals!D$14:D$920,TrialBalance!P36,Journals!J$14:J$920)+SUMIF(Journals!E$14:E$920,TrialBalance!P36,Journals!J$14:J$920)</f>
        <v>0</v>
      </c>
      <c r="K36" s="330"/>
      <c r="L36" s="332">
        <f t="shared" si="3"/>
        <v>0</v>
      </c>
      <c r="M36" s="81"/>
      <c r="N36" s="54">
        <f t="shared" si="1"/>
        <v>0</v>
      </c>
      <c r="P36" s="192" t="str">
        <f t="shared" si="2"/>
        <v>2100/000OPERATING EXPENSES</v>
      </c>
      <c r="Q36" s="76"/>
      <c r="S36" s="77"/>
      <c r="T36" s="57"/>
      <c r="U36" s="31"/>
    </row>
    <row r="37" spans="1:21" x14ac:dyDescent="0.2">
      <c r="A37" s="315"/>
      <c r="B37" s="60" t="s">
        <v>414</v>
      </c>
      <c r="C37" s="317" t="s">
        <v>277</v>
      </c>
      <c r="D37" s="326"/>
      <c r="E37" s="327"/>
      <c r="F37" s="180"/>
      <c r="G37" s="180"/>
      <c r="H37" s="180"/>
      <c r="I37" s="86"/>
      <c r="J37" s="53">
        <f>SUMIF(Journals!D$14:D$920,TrialBalance!P37,Journals!J$14:J$920)+SUMIF(Journals!E$14:E$920,TrialBalance!P37,Journals!J$14:J$920)</f>
        <v>0</v>
      </c>
      <c r="K37" s="331" t="s">
        <v>560</v>
      </c>
      <c r="L37" s="332">
        <f t="shared" si="3"/>
        <v>0</v>
      </c>
      <c r="M37" s="81"/>
      <c r="N37" s="54">
        <f t="shared" si="1"/>
        <v>0</v>
      </c>
      <c r="P37" s="192" t="str">
        <f t="shared" si="2"/>
        <v>2100/001Advertising</v>
      </c>
      <c r="Q37" s="76"/>
      <c r="S37" s="77"/>
      <c r="T37" s="57"/>
      <c r="U37" s="31"/>
    </row>
    <row r="38" spans="1:21" x14ac:dyDescent="0.2">
      <c r="A38" s="315"/>
      <c r="B38" s="60" t="s">
        <v>415</v>
      </c>
      <c r="C38" s="319" t="s">
        <v>702</v>
      </c>
      <c r="D38" s="326"/>
      <c r="E38" s="327"/>
      <c r="F38" s="180"/>
      <c r="G38" s="180"/>
      <c r="H38" s="180"/>
      <c r="I38" s="86"/>
      <c r="J38" s="53">
        <f>SUMIF(Journals!D$14:D$920,TrialBalance!P38,Journals!J$14:J$920)+SUMIF(Journals!E$14:E$920,TrialBalance!P38,Journals!J$14:J$920)</f>
        <v>0</v>
      </c>
      <c r="K38" s="330"/>
      <c r="L38" s="332">
        <f t="shared" si="3"/>
        <v>0</v>
      </c>
      <c r="M38" s="81"/>
      <c r="N38" s="54">
        <f t="shared" si="1"/>
        <v>0</v>
      </c>
      <c r="P38" s="192" t="str">
        <f t="shared" si="2"/>
        <v>2100/010Assets less than R7,000</v>
      </c>
      <c r="Q38" s="76"/>
      <c r="S38" s="77"/>
      <c r="T38" s="57"/>
      <c r="U38" s="31"/>
    </row>
    <row r="39" spans="1:21" x14ac:dyDescent="0.2">
      <c r="A39" s="315"/>
      <c r="B39" s="60" t="s">
        <v>416</v>
      </c>
      <c r="C39" s="317" t="s">
        <v>278</v>
      </c>
      <c r="D39" s="326"/>
      <c r="E39" s="327"/>
      <c r="F39" s="180"/>
      <c r="G39" s="180"/>
      <c r="H39" s="180"/>
      <c r="I39" s="86"/>
      <c r="J39" s="53">
        <f>SUMIF(Journals!D$14:D$920,TrialBalance!P39,Journals!J$14:J$920)+SUMIF(Journals!E$14:E$920,TrialBalance!P39,Journals!J$14:J$920)</f>
        <v>0</v>
      </c>
      <c r="K39" s="330"/>
      <c r="L39" s="332">
        <f t="shared" si="3"/>
        <v>0</v>
      </c>
      <c r="M39" s="81"/>
      <c r="N39" s="54">
        <f t="shared" si="1"/>
        <v>0</v>
      </c>
      <c r="P39" s="192" t="str">
        <f t="shared" ref="P39:P70" si="7">CONCATENATE(B39,C39)</f>
        <v>2100/020Consumables</v>
      </c>
      <c r="Q39" s="76"/>
      <c r="S39" s="77"/>
      <c r="T39" s="57"/>
      <c r="U39" s="31"/>
    </row>
    <row r="40" spans="1:21" x14ac:dyDescent="0.2">
      <c r="A40" s="315"/>
      <c r="B40" s="60" t="s">
        <v>417</v>
      </c>
      <c r="C40" s="316" t="s">
        <v>591</v>
      </c>
      <c r="D40" s="326"/>
      <c r="E40" s="327"/>
      <c r="F40" s="180"/>
      <c r="G40" s="180"/>
      <c r="H40" s="180"/>
      <c r="I40" s="86"/>
      <c r="J40" s="53">
        <f>SUMIF(Journals!D$14:D$920,TrialBalance!P40,Journals!J$14:J$920)+SUMIF(Journals!E$14:E$920,TrialBalance!P40,Journals!J$14:J$920)</f>
        <v>0</v>
      </c>
      <c r="K40" s="330"/>
      <c r="L40" s="332">
        <f t="shared" si="3"/>
        <v>0</v>
      </c>
      <c r="M40" s="81"/>
      <c r="N40" s="54">
        <f t="shared" si="1"/>
        <v>0</v>
      </c>
      <c r="P40" s="192" t="str">
        <f t="shared" si="7"/>
        <v>2100/030Depreciation---------------------------------</v>
      </c>
      <c r="Q40" s="76"/>
      <c r="S40" s="77"/>
      <c r="T40" s="57"/>
      <c r="U40" s="31"/>
    </row>
    <row r="41" spans="1:21" x14ac:dyDescent="0.2">
      <c r="A41" s="315"/>
      <c r="B41" s="60" t="s">
        <v>419</v>
      </c>
      <c r="C41" s="319" t="s">
        <v>1128</v>
      </c>
      <c r="D41" s="326"/>
      <c r="E41" s="327"/>
      <c r="F41" s="180"/>
      <c r="G41" s="180"/>
      <c r="H41" s="180"/>
      <c r="I41" s="86">
        <f>FARegister!W11</f>
        <v>0</v>
      </c>
      <c r="J41" s="53">
        <f>SUMIF(Journals!D$14:D$920,TrialBalance!P41,Journals!J$14:J$920)+SUMIF(Journals!E$14:E$920,TrialBalance!P41,Journals!J$14:J$920)</f>
        <v>0</v>
      </c>
      <c r="K41" s="330"/>
      <c r="L41" s="332">
        <f t="shared" si="3"/>
        <v>0</v>
      </c>
      <c r="M41" s="81"/>
      <c r="N41" s="54">
        <f t="shared" si="1"/>
        <v>0</v>
      </c>
      <c r="P41" s="192" t="str">
        <f t="shared" si="7"/>
        <v>2100/031Depr - Property</v>
      </c>
      <c r="Q41" s="76"/>
      <c r="S41" s="77"/>
      <c r="T41" s="57"/>
      <c r="U41" s="31"/>
    </row>
    <row r="42" spans="1:21" x14ac:dyDescent="0.2">
      <c r="A42" s="315"/>
      <c r="B42" s="60" t="s">
        <v>420</v>
      </c>
      <c r="C42" s="319" t="s">
        <v>762</v>
      </c>
      <c r="D42" s="326"/>
      <c r="E42" s="327"/>
      <c r="F42" s="180"/>
      <c r="G42" s="180"/>
      <c r="H42" s="180"/>
      <c r="I42" s="86">
        <f>FARegister!W12</f>
        <v>0</v>
      </c>
      <c r="J42" s="53">
        <f>SUMIF(Journals!D$14:D$920,TrialBalance!P42,Journals!J$14:J$920)+SUMIF(Journals!E$14:E$920,TrialBalance!P42,Journals!J$14:J$920)</f>
        <v>0</v>
      </c>
      <c r="K42" s="330"/>
      <c r="L42" s="332">
        <f t="shared" si="3"/>
        <v>0</v>
      </c>
      <c r="M42" s="81"/>
      <c r="N42" s="54">
        <f t="shared" si="1"/>
        <v>0</v>
      </c>
      <c r="P42" s="192" t="str">
        <f t="shared" si="7"/>
        <v>2100/032Depr - Plant and machinery</v>
      </c>
      <c r="Q42" s="76"/>
      <c r="S42" s="77"/>
      <c r="T42" s="57"/>
      <c r="U42" s="31"/>
    </row>
    <row r="43" spans="1:21" x14ac:dyDescent="0.2">
      <c r="A43" s="315"/>
      <c r="B43" s="60" t="s">
        <v>58</v>
      </c>
      <c r="C43" s="317" t="s">
        <v>59</v>
      </c>
      <c r="D43" s="326"/>
      <c r="E43" s="327"/>
      <c r="F43" s="180"/>
      <c r="G43" s="180"/>
      <c r="H43" s="180"/>
      <c r="I43" s="86">
        <f>FARegister!W13</f>
        <v>0</v>
      </c>
      <c r="J43" s="53">
        <f>SUMIF(Journals!D$14:D$920,TrialBalance!P43,Journals!J$14:J$920)+SUMIF(Journals!E$14:E$920,TrialBalance!P43,Journals!J$14:J$920)</f>
        <v>0</v>
      </c>
      <c r="K43" s="330"/>
      <c r="L43" s="332">
        <f t="shared" si="3"/>
        <v>0</v>
      </c>
      <c r="M43" s="81"/>
      <c r="N43" s="54">
        <f t="shared" si="1"/>
        <v>0</v>
      </c>
      <c r="P43" s="192" t="str">
        <f t="shared" si="7"/>
        <v>2100/033Depr - Motor vehicles</v>
      </c>
      <c r="Q43" s="76"/>
      <c r="S43" s="77"/>
      <c r="T43" s="57"/>
      <c r="U43" s="31"/>
    </row>
    <row r="44" spans="1:21" x14ac:dyDescent="0.2">
      <c r="A44" s="315"/>
      <c r="B44" s="60" t="s">
        <v>61</v>
      </c>
      <c r="C44" s="317" t="s">
        <v>62</v>
      </c>
      <c r="D44" s="326"/>
      <c r="E44" s="327"/>
      <c r="F44" s="180"/>
      <c r="G44" s="180"/>
      <c r="H44" s="180"/>
      <c r="I44" s="86"/>
      <c r="J44" s="53">
        <f>SUMIF(Journals!D$14:D$920,TrialBalance!P44,Journals!J$14:J$920)+SUMIF(Journals!E$14:E$920,TrialBalance!P44,Journals!J$14:J$920)</f>
        <v>0</v>
      </c>
      <c r="K44" s="330"/>
      <c r="L44" s="332">
        <f t="shared" si="3"/>
        <v>0</v>
      </c>
      <c r="M44" s="81"/>
      <c r="N44" s="54">
        <f t="shared" si="1"/>
        <v>0</v>
      </c>
      <c r="P44" s="192" t="str">
        <f t="shared" si="7"/>
        <v>2100/040Discounts allowed</v>
      </c>
      <c r="Q44" s="76"/>
      <c r="S44" s="77"/>
      <c r="T44" s="57"/>
      <c r="U44" s="31"/>
    </row>
    <row r="45" spans="1:21" x14ac:dyDescent="0.2">
      <c r="A45" s="315"/>
      <c r="B45" s="60" t="s">
        <v>63</v>
      </c>
      <c r="C45" s="319" t="s">
        <v>733</v>
      </c>
      <c r="D45" s="326"/>
      <c r="E45" s="327"/>
      <c r="F45" s="180"/>
      <c r="G45" s="180"/>
      <c r="H45" s="180"/>
      <c r="I45" s="86"/>
      <c r="J45" s="53">
        <f>SUMIF(Journals!D$14:D$920,TrialBalance!P45,Journals!J$14:J$920)+SUMIF(Journals!E$14:E$920,TrialBalance!P45,Journals!J$14:J$920)</f>
        <v>0</v>
      </c>
      <c r="K45" s="330"/>
      <c r="L45" s="332">
        <f t="shared" si="3"/>
        <v>0</v>
      </c>
      <c r="M45" s="81"/>
      <c r="N45" s="54">
        <f t="shared" si="1"/>
        <v>0</v>
      </c>
      <c r="P45" s="192" t="str">
        <f t="shared" si="7"/>
        <v>2100/050Electricity and water</v>
      </c>
      <c r="Q45" s="76"/>
      <c r="S45" s="77"/>
      <c r="T45" s="57"/>
      <c r="U45" s="31"/>
    </row>
    <row r="46" spans="1:21" x14ac:dyDescent="0.2">
      <c r="A46" s="315"/>
      <c r="B46" s="60" t="s">
        <v>64</v>
      </c>
      <c r="C46" s="317" t="s">
        <v>68</v>
      </c>
      <c r="D46" s="326"/>
      <c r="E46" s="327"/>
      <c r="F46" s="180"/>
      <c r="G46" s="180"/>
      <c r="H46" s="180"/>
      <c r="I46" s="86"/>
      <c r="J46" s="53">
        <f>SUMIF(Journals!D$14:D$920,TrialBalance!P46,Journals!J$14:J$920)+SUMIF(Journals!E$14:E$920,TrialBalance!P46,Journals!J$14:J$920)</f>
        <v>0</v>
      </c>
      <c r="K46" s="330"/>
      <c r="L46" s="332">
        <f t="shared" si="3"/>
        <v>0</v>
      </c>
      <c r="M46" s="81"/>
      <c r="N46" s="54">
        <f t="shared" si="1"/>
        <v>0</v>
      </c>
      <c r="P46" s="192" t="str">
        <f t="shared" si="7"/>
        <v>2100/055Equipment lease</v>
      </c>
      <c r="Q46" s="76"/>
      <c r="S46" s="77"/>
      <c r="T46" s="57"/>
      <c r="U46" s="31"/>
    </row>
    <row r="47" spans="1:21" x14ac:dyDescent="0.2">
      <c r="A47" s="315"/>
      <c r="B47" s="60" t="s">
        <v>69</v>
      </c>
      <c r="C47" s="317" t="s">
        <v>280</v>
      </c>
      <c r="D47" s="326"/>
      <c r="E47" s="327"/>
      <c r="F47" s="180"/>
      <c r="G47" s="180"/>
      <c r="H47" s="180"/>
      <c r="I47" s="86"/>
      <c r="J47" s="53">
        <f>SUMIF(Journals!D$14:D$920,TrialBalance!P47,Journals!J$14:J$920)+SUMIF(Journals!E$14:E$920,TrialBalance!P47,Journals!J$14:J$920)</f>
        <v>0</v>
      </c>
      <c r="K47" s="331" t="s">
        <v>560</v>
      </c>
      <c r="L47" s="332">
        <f t="shared" si="3"/>
        <v>0</v>
      </c>
      <c r="M47" s="81"/>
      <c r="N47" s="54">
        <f t="shared" si="1"/>
        <v>0</v>
      </c>
      <c r="P47" s="192" t="str">
        <f t="shared" si="7"/>
        <v>2100/060Insurance</v>
      </c>
      <c r="Q47" s="76"/>
      <c r="S47" s="57"/>
      <c r="T47" s="57"/>
      <c r="U47" s="31"/>
    </row>
    <row r="48" spans="1:21" x14ac:dyDescent="0.2">
      <c r="A48" s="315"/>
      <c r="B48" s="60" t="s">
        <v>451</v>
      </c>
      <c r="C48" s="317" t="s">
        <v>184</v>
      </c>
      <c r="D48" s="326"/>
      <c r="E48" s="327"/>
      <c r="F48" s="180"/>
      <c r="G48" s="180"/>
      <c r="H48" s="180"/>
      <c r="I48" s="86"/>
      <c r="J48" s="53">
        <f>SUMIF(Journals!D$14:D$920,TrialBalance!P48,Journals!J$14:J$920)+SUMIF(Journals!E$14:E$920,TrialBalance!P48,Journals!J$14:J$920)</f>
        <v>0</v>
      </c>
      <c r="K48" s="330"/>
      <c r="L48" s="332">
        <f t="shared" si="3"/>
        <v>0</v>
      </c>
      <c r="M48" s="81"/>
      <c r="N48" s="54">
        <f t="shared" si="1"/>
        <v>0</v>
      </c>
      <c r="P48" s="192" t="str">
        <f t="shared" si="7"/>
        <v>2100/071Levies - SDL</v>
      </c>
      <c r="Q48" s="76"/>
      <c r="S48" s="77"/>
      <c r="T48" s="57"/>
      <c r="U48" s="31"/>
    </row>
    <row r="49" spans="1:21" x14ac:dyDescent="0.2">
      <c r="A49" s="315"/>
      <c r="B49" s="60" t="s">
        <v>185</v>
      </c>
      <c r="C49" s="317" t="s">
        <v>186</v>
      </c>
      <c r="D49" s="326"/>
      <c r="E49" s="327"/>
      <c r="F49" s="180"/>
      <c r="G49" s="180"/>
      <c r="H49" s="180"/>
      <c r="I49" s="86"/>
      <c r="J49" s="53">
        <f>SUMIF(Journals!D$14:D$920,TrialBalance!P49,Journals!J$14:J$920)+SUMIF(Journals!E$14:E$920,TrialBalance!P49,Journals!J$14:J$920)</f>
        <v>0</v>
      </c>
      <c r="K49" s="330"/>
      <c r="L49" s="332">
        <f t="shared" si="3"/>
        <v>0</v>
      </c>
      <c r="M49" s="81"/>
      <c r="N49" s="54">
        <f t="shared" si="1"/>
        <v>0</v>
      </c>
      <c r="P49" s="192" t="str">
        <f t="shared" si="7"/>
        <v>2100/072Levies - other</v>
      </c>
      <c r="Q49" s="76"/>
      <c r="S49" s="77"/>
      <c r="T49" s="57"/>
      <c r="U49" s="31"/>
    </row>
    <row r="50" spans="1:21" x14ac:dyDescent="0.2">
      <c r="A50" s="315"/>
      <c r="B50" s="60" t="s">
        <v>187</v>
      </c>
      <c r="C50" s="323" t="s">
        <v>354</v>
      </c>
      <c r="D50" s="327"/>
      <c r="E50" s="327"/>
      <c r="F50" s="180"/>
      <c r="G50" s="180"/>
      <c r="H50" s="180"/>
      <c r="I50" s="86"/>
      <c r="J50" s="53">
        <f>SUMIF(Journals!D$14:D$920,TrialBalance!P50,Journals!J$14:J$920)+SUMIF(Journals!E$14:E$920,TrialBalance!P50,Journals!J$14:J$920)</f>
        <v>0</v>
      </c>
      <c r="K50" s="330"/>
      <c r="L50" s="332">
        <f t="shared" si="3"/>
        <v>0</v>
      </c>
      <c r="M50" s="81"/>
      <c r="N50" s="54">
        <f t="shared" si="1"/>
        <v>0</v>
      </c>
      <c r="P50" s="192" t="str">
        <f t="shared" si="7"/>
        <v>2100/080Trade licenses</v>
      </c>
      <c r="Q50" s="76"/>
      <c r="S50" s="77"/>
      <c r="T50" s="57"/>
      <c r="U50" s="31"/>
    </row>
    <row r="51" spans="1:21" x14ac:dyDescent="0.2">
      <c r="A51" s="315"/>
      <c r="B51" s="60" t="s">
        <v>188</v>
      </c>
      <c r="C51" s="316" t="s">
        <v>189</v>
      </c>
      <c r="D51" s="326"/>
      <c r="E51" s="327"/>
      <c r="F51" s="180"/>
      <c r="G51" s="180"/>
      <c r="H51" s="180"/>
      <c r="I51" s="86"/>
      <c r="J51" s="53">
        <f>SUMIF(Journals!D$14:D$920,TrialBalance!P51,Journals!J$14:J$920)+SUMIF(Journals!E$14:E$920,TrialBalance!P51,Journals!J$14:J$920)</f>
        <v>0</v>
      </c>
      <c r="K51" s="330"/>
      <c r="L51" s="332">
        <f t="shared" si="3"/>
        <v>0</v>
      </c>
      <c r="M51" s="81"/>
      <c r="N51" s="54">
        <f t="shared" si="1"/>
        <v>0</v>
      </c>
      <c r="P51" s="192" t="str">
        <f t="shared" si="7"/>
        <v>2100/090Motor vehicle expenses------------------</v>
      </c>
      <c r="Q51" s="76"/>
      <c r="S51" s="77"/>
      <c r="T51" s="57"/>
      <c r="U51" s="31"/>
    </row>
    <row r="52" spans="1:21" x14ac:dyDescent="0.2">
      <c r="A52" s="315"/>
      <c r="B52" s="60" t="s">
        <v>190</v>
      </c>
      <c r="C52" s="317" t="s">
        <v>191</v>
      </c>
      <c r="D52" s="326"/>
      <c r="E52" s="327"/>
      <c r="F52" s="180"/>
      <c r="G52" s="180"/>
      <c r="H52" s="180"/>
      <c r="I52" s="86"/>
      <c r="J52" s="53">
        <f>SUMIF(Journals!D$14:D$920,TrialBalance!P52,Journals!J$14:J$920)+SUMIF(Journals!E$14:E$920,TrialBalance!P52,Journals!J$14:J$920)</f>
        <v>0</v>
      </c>
      <c r="K52" s="330"/>
      <c r="L52" s="332">
        <f t="shared" si="3"/>
        <v>0</v>
      </c>
      <c r="M52" s="81"/>
      <c r="N52" s="54">
        <f t="shared" si="1"/>
        <v>0</v>
      </c>
      <c r="P52" s="192" t="str">
        <f t="shared" si="7"/>
        <v>2100/091Motor vehicle expenses - Petrol and oil</v>
      </c>
      <c r="Q52" s="76"/>
      <c r="S52" s="77"/>
      <c r="T52" s="57"/>
      <c r="U52" s="31"/>
    </row>
    <row r="53" spans="1:21" x14ac:dyDescent="0.2">
      <c r="A53" s="315"/>
      <c r="B53" s="60" t="s">
        <v>192</v>
      </c>
      <c r="C53" s="317" t="s">
        <v>193</v>
      </c>
      <c r="D53" s="326"/>
      <c r="E53" s="327"/>
      <c r="F53" s="180"/>
      <c r="G53" s="180"/>
      <c r="H53" s="180"/>
      <c r="I53" s="86"/>
      <c r="J53" s="53">
        <f>SUMIF(Journals!D$14:D$920,TrialBalance!P53,Journals!J$14:J$920)+SUMIF(Journals!E$14:E$920,TrialBalance!P53,Journals!J$14:J$920)</f>
        <v>0</v>
      </c>
      <c r="K53" s="330"/>
      <c r="L53" s="332">
        <f t="shared" si="3"/>
        <v>0</v>
      </c>
      <c r="M53" s="81"/>
      <c r="N53" s="54">
        <f t="shared" si="1"/>
        <v>0</v>
      </c>
      <c r="P53" s="192" t="str">
        <f t="shared" si="7"/>
        <v>2100/092Motor vehicle expenses - R&amp;M</v>
      </c>
      <c r="Q53" s="76"/>
      <c r="S53" s="77"/>
      <c r="T53" s="57"/>
      <c r="U53" s="31"/>
    </row>
    <row r="54" spans="1:21" x14ac:dyDescent="0.2">
      <c r="A54" s="315"/>
      <c r="B54" s="60" t="s">
        <v>194</v>
      </c>
      <c r="C54" s="317" t="s">
        <v>195</v>
      </c>
      <c r="D54" s="326"/>
      <c r="E54" s="327"/>
      <c r="F54" s="180"/>
      <c r="G54" s="180"/>
      <c r="H54" s="180"/>
      <c r="I54" s="86"/>
      <c r="J54" s="53">
        <f>SUMIF(Journals!D$14:D$920,TrialBalance!P54,Journals!J$14:J$920)+SUMIF(Journals!E$14:E$920,TrialBalance!P54,Journals!J$14:J$920)</f>
        <v>0</v>
      </c>
      <c r="K54" s="330"/>
      <c r="L54" s="332">
        <f t="shared" si="3"/>
        <v>0</v>
      </c>
      <c r="M54" s="81"/>
      <c r="N54" s="54">
        <f t="shared" si="1"/>
        <v>0</v>
      </c>
      <c r="P54" s="192" t="str">
        <f t="shared" si="7"/>
        <v>2100/093Motor vehicle expenses - Insurance</v>
      </c>
      <c r="Q54" s="76"/>
      <c r="S54" s="77"/>
      <c r="T54" s="57"/>
      <c r="U54" s="31"/>
    </row>
    <row r="55" spans="1:21" x14ac:dyDescent="0.2">
      <c r="A55" s="315"/>
      <c r="B55" s="60" t="s">
        <v>196</v>
      </c>
      <c r="C55" s="318" t="s">
        <v>763</v>
      </c>
      <c r="D55" s="326"/>
      <c r="E55" s="327"/>
      <c r="F55" s="180"/>
      <c r="G55" s="180"/>
      <c r="H55" s="180"/>
      <c r="I55" s="86"/>
      <c r="J55" s="53">
        <f>SUMIF(Journals!D$14:D$920,TrialBalance!P55,Journals!J$14:J$920)+SUMIF(Journals!E$14:E$920,TrialBalance!P55,Journals!J$14:J$920)</f>
        <v>0</v>
      </c>
      <c r="K55" s="330"/>
      <c r="L55" s="332">
        <f t="shared" si="3"/>
        <v>0</v>
      </c>
      <c r="M55" s="81"/>
      <c r="N55" s="54">
        <f t="shared" si="1"/>
        <v>0</v>
      </c>
      <c r="P55" s="192" t="str">
        <f t="shared" si="7"/>
        <v>2100/094Motor vehicle expenses - Licenses</v>
      </c>
      <c r="Q55" s="76"/>
      <c r="S55" s="77"/>
      <c r="T55" s="57"/>
      <c r="U55" s="31"/>
    </row>
    <row r="56" spans="1:21" x14ac:dyDescent="0.2">
      <c r="A56" s="315"/>
      <c r="B56" s="60" t="s">
        <v>197</v>
      </c>
      <c r="C56" s="319" t="s">
        <v>764</v>
      </c>
      <c r="D56" s="326"/>
      <c r="E56" s="327"/>
      <c r="F56" s="180"/>
      <c r="G56" s="180"/>
      <c r="H56" s="180"/>
      <c r="I56" s="86"/>
      <c r="J56" s="53">
        <f>SUMIF(Journals!D$14:D$920,TrialBalance!P56,Journals!J$14:J$920)+SUMIF(Journals!E$14:E$920,TrialBalance!P56,Journals!J$14:J$920)</f>
        <v>0</v>
      </c>
      <c r="K56" s="330"/>
      <c r="L56" s="332">
        <f t="shared" si="3"/>
        <v>0</v>
      </c>
      <c r="M56" s="81"/>
      <c r="N56" s="54">
        <f t="shared" si="1"/>
        <v>0</v>
      </c>
      <c r="P56" s="192" t="str">
        <f t="shared" si="7"/>
        <v>2100/095Motor vehicle expenses - General</v>
      </c>
      <c r="Q56" s="76"/>
      <c r="S56" s="77"/>
      <c r="T56" s="57"/>
      <c r="U56" s="31"/>
    </row>
    <row r="57" spans="1:21" x14ac:dyDescent="0.2">
      <c r="A57" s="315"/>
      <c r="B57" s="60" t="s">
        <v>198</v>
      </c>
      <c r="C57" s="316" t="s">
        <v>592</v>
      </c>
      <c r="D57" s="326"/>
      <c r="E57" s="327"/>
      <c r="F57" s="180"/>
      <c r="G57" s="180"/>
      <c r="H57" s="180"/>
      <c r="I57" s="86"/>
      <c r="J57" s="53">
        <f>SUMIF(Journals!D$14:D$920,TrialBalance!P57,Journals!J$14:J$920)+SUMIF(Journals!E$14:E$920,TrialBalance!P57,Journals!J$14:J$920)</f>
        <v>0</v>
      </c>
      <c r="K57" s="330"/>
      <c r="L57" s="332">
        <f t="shared" si="3"/>
        <v>0</v>
      </c>
      <c r="M57" s="81"/>
      <c r="N57" s="54">
        <f t="shared" si="1"/>
        <v>0</v>
      </c>
      <c r="P57" s="192" t="str">
        <f t="shared" si="7"/>
        <v>2100/100Rent paid-------------------------------------</v>
      </c>
      <c r="Q57" s="76"/>
      <c r="S57" s="77"/>
      <c r="T57" s="57"/>
      <c r="U57" s="31"/>
    </row>
    <row r="58" spans="1:21" x14ac:dyDescent="0.2">
      <c r="A58" s="315"/>
      <c r="B58" s="60" t="s">
        <v>200</v>
      </c>
      <c r="C58" s="320"/>
      <c r="D58" s="326"/>
      <c r="E58" s="327"/>
      <c r="F58" s="180"/>
      <c r="G58" s="180"/>
      <c r="H58" s="180"/>
      <c r="I58" s="86"/>
      <c r="J58" s="53">
        <f>SUMIF(Journals!D$14:D$920,TrialBalance!P58,Journals!J$14:J$920)+SUMIF(Journals!E$14:E$920,TrialBalance!P58,Journals!J$14:J$920)</f>
        <v>0</v>
      </c>
      <c r="K58" s="330"/>
      <c r="L58" s="332">
        <f t="shared" si="3"/>
        <v>0</v>
      </c>
      <c r="M58" s="81"/>
      <c r="N58" s="54">
        <f t="shared" si="1"/>
        <v>0</v>
      </c>
      <c r="P58" s="192" t="str">
        <f t="shared" si="7"/>
        <v>2100/101</v>
      </c>
      <c r="Q58" s="76"/>
      <c r="S58" s="77"/>
      <c r="T58" s="57"/>
      <c r="U58" s="31"/>
    </row>
    <row r="59" spans="1:21" x14ac:dyDescent="0.2">
      <c r="A59" s="315"/>
      <c r="B59" s="60" t="s">
        <v>201</v>
      </c>
      <c r="C59" s="320"/>
      <c r="D59" s="326"/>
      <c r="E59" s="327"/>
      <c r="F59" s="180"/>
      <c r="G59" s="180"/>
      <c r="H59" s="180"/>
      <c r="I59" s="86"/>
      <c r="J59" s="53">
        <f>SUMIF(Journals!D$14:D$920,TrialBalance!P59,Journals!J$14:J$920)+SUMIF(Journals!E$14:E$920,TrialBalance!P59,Journals!J$14:J$920)</f>
        <v>0</v>
      </c>
      <c r="K59" s="330"/>
      <c r="L59" s="332">
        <f t="shared" si="3"/>
        <v>0</v>
      </c>
      <c r="M59" s="81"/>
      <c r="N59" s="54">
        <f t="shared" si="1"/>
        <v>0</v>
      </c>
      <c r="P59" s="192" t="str">
        <f t="shared" si="7"/>
        <v>2100/102</v>
      </c>
      <c r="Q59" s="76"/>
      <c r="S59" s="77"/>
      <c r="T59" s="57"/>
      <c r="U59" s="31"/>
    </row>
    <row r="60" spans="1:21" x14ac:dyDescent="0.2">
      <c r="A60" s="315"/>
      <c r="B60" s="60" t="s">
        <v>202</v>
      </c>
      <c r="C60" s="324"/>
      <c r="D60" s="326"/>
      <c r="E60" s="327"/>
      <c r="F60" s="180"/>
      <c r="G60" s="180"/>
      <c r="H60" s="180"/>
      <c r="I60" s="86"/>
      <c r="J60" s="53">
        <f>SUMIF(Journals!D$14:D$920,TrialBalance!P60,Journals!J$14:J$920)+SUMIF(Journals!E$14:E$920,TrialBalance!P60,Journals!J$14:J$920)</f>
        <v>0</v>
      </c>
      <c r="K60" s="330"/>
      <c r="L60" s="332">
        <f t="shared" si="3"/>
        <v>0</v>
      </c>
      <c r="M60" s="81"/>
      <c r="N60" s="54">
        <f t="shared" si="1"/>
        <v>0</v>
      </c>
      <c r="P60" s="192" t="str">
        <f t="shared" si="7"/>
        <v>2100/103</v>
      </c>
      <c r="Q60" s="76"/>
      <c r="S60" s="77"/>
      <c r="T60" s="57"/>
      <c r="U60" s="31"/>
    </row>
    <row r="61" spans="1:21" x14ac:dyDescent="0.2">
      <c r="A61" s="315"/>
      <c r="B61" s="60" t="s">
        <v>203</v>
      </c>
      <c r="C61" s="317" t="s">
        <v>76</v>
      </c>
      <c r="D61" s="326"/>
      <c r="E61" s="327"/>
      <c r="F61" s="180"/>
      <c r="G61" s="180"/>
      <c r="H61" s="180"/>
      <c r="I61" s="86"/>
      <c r="J61" s="53">
        <f>SUMIF(Journals!D$14:D$920,TrialBalance!P61,Journals!J$14:J$920)+SUMIF(Journals!E$14:E$920,TrialBalance!P61,Journals!J$14:J$920)</f>
        <v>0</v>
      </c>
      <c r="K61" s="330"/>
      <c r="L61" s="332">
        <f t="shared" si="3"/>
        <v>0</v>
      </c>
      <c r="M61" s="81"/>
      <c r="N61" s="54">
        <f t="shared" si="1"/>
        <v>0</v>
      </c>
      <c r="P61" s="192" t="str">
        <f t="shared" si="7"/>
        <v>2100/110Repairs and maintenance</v>
      </c>
      <c r="Q61" s="76"/>
      <c r="S61" s="77"/>
      <c r="T61" s="57"/>
      <c r="U61" s="31"/>
    </row>
    <row r="62" spans="1:21" x14ac:dyDescent="0.2">
      <c r="A62" s="315"/>
      <c r="B62" s="60" t="s">
        <v>77</v>
      </c>
      <c r="C62" s="317" t="s">
        <v>78</v>
      </c>
      <c r="D62" s="326"/>
      <c r="E62" s="327"/>
      <c r="F62" s="180"/>
      <c r="G62" s="180"/>
      <c r="H62" s="180"/>
      <c r="I62" s="86"/>
      <c r="J62" s="53">
        <f>SUMIF(Journals!D$14:D$920,TrialBalance!P62,Journals!J$14:J$920)+SUMIF(Journals!E$14:E$920,TrialBalance!P62,Journals!J$14:J$920)</f>
        <v>0</v>
      </c>
      <c r="K62" s="330"/>
      <c r="L62" s="332">
        <f t="shared" si="3"/>
        <v>0</v>
      </c>
      <c r="M62" s="81"/>
      <c r="N62" s="54">
        <f t="shared" si="1"/>
        <v>0</v>
      </c>
      <c r="P62" s="192" t="str">
        <f t="shared" si="7"/>
        <v>2100/120Salaries</v>
      </c>
      <c r="Q62" s="76"/>
      <c r="S62" s="77"/>
      <c r="T62" s="57"/>
      <c r="U62" s="31"/>
    </row>
    <row r="63" spans="1:21" x14ac:dyDescent="0.2">
      <c r="A63" s="315"/>
      <c r="B63" s="60" t="s">
        <v>79</v>
      </c>
      <c r="C63" s="317" t="s">
        <v>80</v>
      </c>
      <c r="D63" s="326"/>
      <c r="E63" s="327"/>
      <c r="F63" s="180"/>
      <c r="G63" s="180"/>
      <c r="H63" s="180"/>
      <c r="I63" s="86"/>
      <c r="J63" s="53">
        <f>SUMIF(Journals!D$14:D$920,TrialBalance!P63,Journals!J$14:J$920)+SUMIF(Journals!E$14:E$920,TrialBalance!P63,Journals!J$14:J$920)</f>
        <v>0</v>
      </c>
      <c r="K63" s="330"/>
      <c r="L63" s="332">
        <f t="shared" si="3"/>
        <v>0</v>
      </c>
      <c r="M63" s="81"/>
      <c r="N63" s="54">
        <f t="shared" si="1"/>
        <v>0</v>
      </c>
      <c r="P63" s="192" t="str">
        <f t="shared" si="7"/>
        <v>2100/121UIF - Employer</v>
      </c>
      <c r="Q63" s="76"/>
      <c r="S63" s="77"/>
      <c r="T63" s="57"/>
      <c r="U63" s="31"/>
    </row>
    <row r="64" spans="1:21" x14ac:dyDescent="0.2">
      <c r="A64" s="315"/>
      <c r="B64" s="60" t="s">
        <v>81</v>
      </c>
      <c r="C64" s="317" t="s">
        <v>82</v>
      </c>
      <c r="D64" s="326"/>
      <c r="E64" s="327"/>
      <c r="F64" s="180"/>
      <c r="G64" s="180"/>
      <c r="H64" s="180"/>
      <c r="I64" s="86"/>
      <c r="J64" s="53">
        <f>SUMIF(Journals!D$14:D$920,TrialBalance!P64,Journals!J$14:J$920)+SUMIF(Journals!E$14:E$920,TrialBalance!P64,Journals!J$14:J$920)</f>
        <v>0</v>
      </c>
      <c r="K64" s="330"/>
      <c r="L64" s="332">
        <f t="shared" si="3"/>
        <v>0</v>
      </c>
      <c r="M64" s="81"/>
      <c r="N64" s="54">
        <f t="shared" si="1"/>
        <v>0</v>
      </c>
      <c r="P64" s="192" t="str">
        <f t="shared" si="7"/>
        <v>2100/122Casual wages</v>
      </c>
      <c r="Q64" s="76"/>
      <c r="S64" s="77"/>
      <c r="T64" s="57"/>
      <c r="U64" s="31"/>
    </row>
    <row r="65" spans="1:21" x14ac:dyDescent="0.2">
      <c r="A65" s="315"/>
      <c r="B65" s="60" t="s">
        <v>83</v>
      </c>
      <c r="C65" s="317" t="s">
        <v>84</v>
      </c>
      <c r="D65" s="326"/>
      <c r="E65" s="327"/>
      <c r="F65" s="180"/>
      <c r="G65" s="180"/>
      <c r="H65" s="180"/>
      <c r="I65" s="86"/>
      <c r="J65" s="53">
        <f>SUMIF(Journals!D$14:D$920,TrialBalance!P65,Journals!J$14:J$920)+SUMIF(Journals!E$14:E$920,TrialBalance!P65,Journals!J$14:J$920)</f>
        <v>0</v>
      </c>
      <c r="K65" s="330"/>
      <c r="L65" s="332">
        <f t="shared" si="3"/>
        <v>0</v>
      </c>
      <c r="M65" s="81"/>
      <c r="N65" s="54">
        <f t="shared" si="1"/>
        <v>0</v>
      </c>
      <c r="P65" s="192" t="str">
        <f t="shared" si="7"/>
        <v>2100/130Telephone</v>
      </c>
      <c r="Q65" s="76"/>
      <c r="S65" s="77"/>
      <c r="T65" s="57"/>
      <c r="U65" s="31"/>
    </row>
    <row r="66" spans="1:21" x14ac:dyDescent="0.2">
      <c r="A66" s="315"/>
      <c r="B66" s="60" t="s">
        <v>85</v>
      </c>
      <c r="C66" s="317" t="s">
        <v>479</v>
      </c>
      <c r="D66" s="326"/>
      <c r="E66" s="327"/>
      <c r="F66" s="180"/>
      <c r="G66" s="180"/>
      <c r="H66" s="180"/>
      <c r="I66" s="86"/>
      <c r="J66" s="53">
        <f>SUMIF(Journals!D$14:D$920,TrialBalance!P66,Journals!J$14:J$920)+SUMIF(Journals!E$14:E$920,TrialBalance!P66,Journals!J$14:J$920)</f>
        <v>0</v>
      </c>
      <c r="K66" s="330"/>
      <c r="L66" s="332">
        <f t="shared" si="3"/>
        <v>0</v>
      </c>
      <c r="M66" s="81"/>
      <c r="N66" s="54">
        <f t="shared" si="1"/>
        <v>0</v>
      </c>
      <c r="P66" s="192" t="str">
        <f t="shared" si="7"/>
        <v>2100/135Postage and courier</v>
      </c>
      <c r="Q66" s="76"/>
      <c r="S66" s="77"/>
      <c r="T66" s="57"/>
      <c r="U66" s="31"/>
    </row>
    <row r="67" spans="1:21" x14ac:dyDescent="0.2">
      <c r="A67" s="315"/>
      <c r="B67" s="60" t="s">
        <v>86</v>
      </c>
      <c r="C67" s="317" t="s">
        <v>255</v>
      </c>
      <c r="D67" s="326"/>
      <c r="E67" s="327"/>
      <c r="F67" s="180"/>
      <c r="G67" s="180"/>
      <c r="H67" s="180"/>
      <c r="I67" s="86"/>
      <c r="J67" s="53">
        <f>SUMIF(Journals!D$14:D$920,TrialBalance!P67,Journals!J$14:J$920)+SUMIF(Journals!E$14:E$920,TrialBalance!P67,Journals!J$14:J$920)</f>
        <v>0</v>
      </c>
      <c r="K67" s="330"/>
      <c r="L67" s="332">
        <f t="shared" si="3"/>
        <v>0</v>
      </c>
      <c r="M67" s="81"/>
      <c r="N67" s="54">
        <f t="shared" si="1"/>
        <v>0</v>
      </c>
      <c r="P67" s="192" t="str">
        <f t="shared" si="7"/>
        <v>2100/140Training</v>
      </c>
      <c r="Q67" s="76"/>
      <c r="S67" s="77"/>
      <c r="T67" s="57"/>
      <c r="U67" s="31"/>
    </row>
    <row r="68" spans="1:21" x14ac:dyDescent="0.2">
      <c r="A68" s="315"/>
      <c r="B68" s="60" t="s">
        <v>87</v>
      </c>
      <c r="C68" s="318" t="s">
        <v>805</v>
      </c>
      <c r="D68" s="327"/>
      <c r="E68" s="327"/>
      <c r="F68" s="180"/>
      <c r="G68" s="180"/>
      <c r="H68" s="180"/>
      <c r="I68" s="86"/>
      <c r="J68" s="53">
        <f>SUMIF(Journals!D$14:D$920,TrialBalance!P68,Journals!J$14:J$920)+SUMIF(Journals!E$14:E$920,TrialBalance!P68,Journals!J$14:J$920)</f>
        <v>0</v>
      </c>
      <c r="K68" s="330"/>
      <c r="L68" s="332">
        <f t="shared" si="3"/>
        <v>0</v>
      </c>
      <c r="M68" s="81"/>
      <c r="N68" s="54">
        <f t="shared" si="1"/>
        <v>0</v>
      </c>
      <c r="P68" s="192" t="str">
        <f t="shared" si="7"/>
        <v>2100/150Traveling and accommodation</v>
      </c>
      <c r="Q68" s="76"/>
      <c r="S68" s="77"/>
      <c r="T68" s="57"/>
      <c r="U68" s="31"/>
    </row>
    <row r="69" spans="1:21" x14ac:dyDescent="0.2">
      <c r="A69" s="315"/>
      <c r="B69" s="110" t="s">
        <v>597</v>
      </c>
      <c r="C69" s="320"/>
      <c r="D69" s="327"/>
      <c r="E69" s="327"/>
      <c r="F69" s="180"/>
      <c r="G69" s="180"/>
      <c r="H69" s="180"/>
      <c r="I69" s="86"/>
      <c r="J69" s="53">
        <f>SUMIF(Journals!D$14:D$920,TrialBalance!P69,Journals!J$14:J$920)+SUMIF(Journals!E$14:E$920,TrialBalance!P69,Journals!J$14:J$920)</f>
        <v>0</v>
      </c>
      <c r="K69" s="330"/>
      <c r="L69" s="332">
        <f t="shared" si="3"/>
        <v>0</v>
      </c>
      <c r="M69" s="81"/>
      <c r="N69" s="54">
        <f t="shared" si="1"/>
        <v>0</v>
      </c>
      <c r="P69" s="192" t="str">
        <f t="shared" si="7"/>
        <v>2150/001</v>
      </c>
      <c r="Q69" s="76"/>
      <c r="S69" s="77"/>
      <c r="T69" s="57"/>
      <c r="U69" s="31"/>
    </row>
    <row r="70" spans="1:21" x14ac:dyDescent="0.2">
      <c r="A70" s="315"/>
      <c r="B70" s="110" t="s">
        <v>598</v>
      </c>
      <c r="C70" s="320"/>
      <c r="D70" s="327"/>
      <c r="E70" s="327"/>
      <c r="F70" s="180"/>
      <c r="G70" s="180"/>
      <c r="H70" s="180"/>
      <c r="I70" s="86"/>
      <c r="J70" s="53">
        <f>SUMIF(Journals!D$14:D$920,TrialBalance!P70,Journals!J$14:J$920)+SUMIF(Journals!E$14:E$920,TrialBalance!P70,Journals!J$14:J$920)</f>
        <v>0</v>
      </c>
      <c r="K70" s="330"/>
      <c r="L70" s="332">
        <f t="shared" si="3"/>
        <v>0</v>
      </c>
      <c r="M70" s="81"/>
      <c r="N70" s="54">
        <f t="shared" si="1"/>
        <v>0</v>
      </c>
      <c r="P70" s="192" t="str">
        <f t="shared" si="7"/>
        <v>2150/002</v>
      </c>
      <c r="Q70" s="76"/>
      <c r="S70" s="77"/>
      <c r="T70" s="57"/>
      <c r="U70" s="31"/>
    </row>
    <row r="71" spans="1:21" x14ac:dyDescent="0.2">
      <c r="A71" s="315"/>
      <c r="B71" s="110" t="s">
        <v>599</v>
      </c>
      <c r="C71" s="320"/>
      <c r="D71" s="327"/>
      <c r="E71" s="327"/>
      <c r="F71" s="180"/>
      <c r="G71" s="180"/>
      <c r="H71" s="180"/>
      <c r="I71" s="86"/>
      <c r="J71" s="53">
        <f>SUMIF(Journals!D$14:D$920,TrialBalance!P71,Journals!J$14:J$920)+SUMIF(Journals!E$14:E$920,TrialBalance!P71,Journals!J$14:J$920)</f>
        <v>0</v>
      </c>
      <c r="K71" s="330"/>
      <c r="L71" s="332">
        <f t="shared" si="3"/>
        <v>0</v>
      </c>
      <c r="M71" s="81"/>
      <c r="N71" s="54">
        <f t="shared" ref="N71:N122" si="8">ROUND(SUM(A71),0)</f>
        <v>0</v>
      </c>
      <c r="P71" s="192" t="str">
        <f t="shared" ref="P71:P94" si="9">CONCATENATE(B71,C71)</f>
        <v>2150/003</v>
      </c>
      <c r="Q71" s="76"/>
      <c r="S71" s="77"/>
      <c r="T71" s="57"/>
      <c r="U71" s="31"/>
    </row>
    <row r="72" spans="1:21" x14ac:dyDescent="0.2">
      <c r="A72" s="315"/>
      <c r="B72" s="110" t="s">
        <v>600</v>
      </c>
      <c r="C72" s="320"/>
      <c r="D72" s="327"/>
      <c r="E72" s="327"/>
      <c r="F72" s="180"/>
      <c r="G72" s="180"/>
      <c r="H72" s="180"/>
      <c r="I72" s="86"/>
      <c r="J72" s="53">
        <f>SUMIF(Journals!D$14:D$920,TrialBalance!P72,Journals!J$14:J$920)+SUMIF(Journals!E$14:E$920,TrialBalance!P72,Journals!J$14:J$920)</f>
        <v>0</v>
      </c>
      <c r="K72" s="330"/>
      <c r="L72" s="332">
        <f t="shared" si="3"/>
        <v>0</v>
      </c>
      <c r="M72" s="81"/>
      <c r="N72" s="54">
        <f t="shared" si="8"/>
        <v>0</v>
      </c>
      <c r="P72" s="192" t="str">
        <f t="shared" si="9"/>
        <v>2150/004</v>
      </c>
      <c r="Q72" s="76"/>
      <c r="S72" s="77"/>
      <c r="T72" s="57"/>
      <c r="U72" s="31"/>
    </row>
    <row r="73" spans="1:21" x14ac:dyDescent="0.2">
      <c r="A73" s="315"/>
      <c r="B73" s="110" t="s">
        <v>601</v>
      </c>
      <c r="C73" s="320"/>
      <c r="D73" s="327"/>
      <c r="E73" s="327"/>
      <c r="F73" s="180"/>
      <c r="G73" s="180"/>
      <c r="H73" s="180"/>
      <c r="I73" s="86"/>
      <c r="J73" s="53">
        <f>SUMIF(Journals!D$14:D$920,TrialBalance!P73,Journals!J$14:J$920)+SUMIF(Journals!E$14:E$920,TrialBalance!P73,Journals!J$14:J$920)</f>
        <v>0</v>
      </c>
      <c r="K73" s="330"/>
      <c r="L73" s="332">
        <f t="shared" ref="L73:L122" si="10">ROUND(D73-E73+F73+G73+H73+J73+I73,0)</f>
        <v>0</v>
      </c>
      <c r="M73" s="81"/>
      <c r="N73" s="54">
        <f t="shared" si="8"/>
        <v>0</v>
      </c>
      <c r="P73" s="192" t="str">
        <f t="shared" si="9"/>
        <v>2150/005</v>
      </c>
      <c r="Q73" s="76"/>
      <c r="S73" s="77"/>
      <c r="T73" s="57"/>
      <c r="U73" s="31"/>
    </row>
    <row r="74" spans="1:21" x14ac:dyDescent="0.2">
      <c r="A74" s="315"/>
      <c r="B74" s="110" t="s">
        <v>602</v>
      </c>
      <c r="C74" s="320"/>
      <c r="D74" s="327"/>
      <c r="E74" s="327"/>
      <c r="F74" s="180"/>
      <c r="G74" s="180"/>
      <c r="H74" s="180"/>
      <c r="I74" s="86"/>
      <c r="J74" s="53">
        <f>SUMIF(Journals!D$14:D$920,TrialBalance!P74,Journals!J$14:J$920)+SUMIF(Journals!E$14:E$920,TrialBalance!P74,Journals!J$14:J$920)</f>
        <v>0</v>
      </c>
      <c r="K74" s="330"/>
      <c r="L74" s="332">
        <f t="shared" si="10"/>
        <v>0</v>
      </c>
      <c r="M74" s="81"/>
      <c r="N74" s="54">
        <f t="shared" si="8"/>
        <v>0</v>
      </c>
      <c r="P74" s="192" t="str">
        <f t="shared" si="9"/>
        <v>2150/006</v>
      </c>
      <c r="Q74" s="76"/>
      <c r="S74" s="77"/>
      <c r="T74" s="57"/>
      <c r="U74" s="31"/>
    </row>
    <row r="75" spans="1:21" x14ac:dyDescent="0.2">
      <c r="A75" s="315"/>
      <c r="B75" s="110" t="s">
        <v>603</v>
      </c>
      <c r="C75" s="320"/>
      <c r="D75" s="327"/>
      <c r="E75" s="327"/>
      <c r="F75" s="180"/>
      <c r="G75" s="180"/>
      <c r="H75" s="180"/>
      <c r="I75" s="86"/>
      <c r="J75" s="53">
        <f>SUMIF(Journals!D$14:D$920,TrialBalance!P75,Journals!J$14:J$920)+SUMIF(Journals!E$14:E$920,TrialBalance!P75,Journals!J$14:J$920)</f>
        <v>0</v>
      </c>
      <c r="K75" s="330"/>
      <c r="L75" s="332">
        <f t="shared" si="10"/>
        <v>0</v>
      </c>
      <c r="M75" s="81"/>
      <c r="N75" s="54">
        <f t="shared" si="8"/>
        <v>0</v>
      </c>
      <c r="P75" s="192" t="str">
        <f t="shared" si="9"/>
        <v>2150/007</v>
      </c>
      <c r="Q75" s="76"/>
      <c r="S75" s="77"/>
      <c r="T75" s="57"/>
      <c r="U75" s="31"/>
    </row>
    <row r="76" spans="1:21" x14ac:dyDescent="0.2">
      <c r="A76" s="315"/>
      <c r="B76" s="110" t="s">
        <v>604</v>
      </c>
      <c r="C76" s="320"/>
      <c r="D76" s="327"/>
      <c r="E76" s="327"/>
      <c r="F76" s="180"/>
      <c r="G76" s="180"/>
      <c r="H76" s="180"/>
      <c r="I76" s="86"/>
      <c r="J76" s="53">
        <f>SUMIF(Journals!D$14:D$920,TrialBalance!P76,Journals!J$14:J$920)+SUMIF(Journals!E$14:E$920,TrialBalance!P76,Journals!J$14:J$920)</f>
        <v>0</v>
      </c>
      <c r="K76" s="330"/>
      <c r="L76" s="332">
        <f t="shared" si="10"/>
        <v>0</v>
      </c>
      <c r="M76" s="81"/>
      <c r="N76" s="54">
        <f t="shared" si="8"/>
        <v>0</v>
      </c>
      <c r="P76" s="192" t="str">
        <f t="shared" si="9"/>
        <v>2150/008</v>
      </c>
      <c r="Q76" s="76"/>
      <c r="S76" s="77"/>
      <c r="T76" s="57"/>
      <c r="U76" s="31"/>
    </row>
    <row r="77" spans="1:21" x14ac:dyDescent="0.2">
      <c r="A77" s="315"/>
      <c r="B77" s="110" t="s">
        <v>605</v>
      </c>
      <c r="C77" s="320"/>
      <c r="D77" s="327"/>
      <c r="E77" s="327"/>
      <c r="F77" s="180"/>
      <c r="G77" s="180"/>
      <c r="H77" s="180"/>
      <c r="I77" s="86"/>
      <c r="J77" s="53">
        <f>SUMIF(Journals!D$14:D$920,TrialBalance!P77,Journals!J$14:J$920)+SUMIF(Journals!E$14:E$920,TrialBalance!P77,Journals!J$14:J$920)</f>
        <v>0</v>
      </c>
      <c r="K77" s="330"/>
      <c r="L77" s="332">
        <f t="shared" si="10"/>
        <v>0</v>
      </c>
      <c r="M77" s="81"/>
      <c r="N77" s="54">
        <f t="shared" si="8"/>
        <v>0</v>
      </c>
      <c r="P77" s="192" t="str">
        <f t="shared" si="9"/>
        <v>2150/009</v>
      </c>
      <c r="Q77" s="76"/>
      <c r="S77" s="77"/>
      <c r="T77" s="57"/>
      <c r="U77" s="31"/>
    </row>
    <row r="78" spans="1:21" x14ac:dyDescent="0.2">
      <c r="A78" s="315"/>
      <c r="B78" s="110" t="s">
        <v>606</v>
      </c>
      <c r="C78" s="320"/>
      <c r="D78" s="327"/>
      <c r="E78" s="327"/>
      <c r="F78" s="180"/>
      <c r="G78" s="180"/>
      <c r="H78" s="180"/>
      <c r="I78" s="86"/>
      <c r="J78" s="53">
        <f>SUMIF(Journals!D$14:D$920,TrialBalance!P78,Journals!J$14:J$920)+SUMIF(Journals!E$14:E$920,TrialBalance!P78,Journals!J$14:J$920)</f>
        <v>0</v>
      </c>
      <c r="K78" s="330"/>
      <c r="L78" s="332">
        <f t="shared" si="10"/>
        <v>0</v>
      </c>
      <c r="M78" s="81"/>
      <c r="N78" s="54">
        <f t="shared" si="8"/>
        <v>0</v>
      </c>
      <c r="P78" s="192" t="str">
        <f t="shared" si="9"/>
        <v>2150/010</v>
      </c>
      <c r="Q78" s="76"/>
      <c r="S78" s="77"/>
      <c r="T78" s="57"/>
      <c r="U78" s="31"/>
    </row>
    <row r="79" spans="1:21" x14ac:dyDescent="0.2">
      <c r="A79" s="315"/>
      <c r="B79" s="60" t="s">
        <v>21</v>
      </c>
      <c r="C79" s="316" t="s">
        <v>949</v>
      </c>
      <c r="D79" s="326"/>
      <c r="E79" s="327"/>
      <c r="F79" s="180"/>
      <c r="G79" s="180"/>
      <c r="H79" s="180"/>
      <c r="I79" s="86"/>
      <c r="J79" s="53">
        <f>SUMIF(Journals!D$14:D$920,TrialBalance!P79,Journals!J$14:J$920)+SUMIF(Journals!E$14:E$920,TrialBalance!P79,Journals!J$14:J$920)</f>
        <v>0</v>
      </c>
      <c r="K79" s="330"/>
      <c r="L79" s="332">
        <f t="shared" si="10"/>
        <v>0</v>
      </c>
      <c r="M79" s="81"/>
      <c r="N79" s="54">
        <f t="shared" si="8"/>
        <v>0</v>
      </c>
      <c r="P79" s="192" t="str">
        <f t="shared" si="9"/>
        <v>2500/000OTHER INCOME (TRADING ACTIVITY)</v>
      </c>
      <c r="Q79" s="76"/>
      <c r="S79" s="77"/>
      <c r="T79" s="57"/>
      <c r="U79" s="31"/>
    </row>
    <row r="80" spans="1:21" x14ac:dyDescent="0.2">
      <c r="A80" s="315"/>
      <c r="B80" s="60" t="s">
        <v>364</v>
      </c>
      <c r="C80" s="318" t="s">
        <v>765</v>
      </c>
      <c r="D80" s="327"/>
      <c r="E80" s="327"/>
      <c r="F80" s="180"/>
      <c r="G80" s="180"/>
      <c r="H80" s="180"/>
      <c r="I80" s="86"/>
      <c r="J80" s="53">
        <f>SUMIF(Journals!D$14:D$920,TrialBalance!P80,Journals!J$14:J$920)+SUMIF(Journals!E$14:E$920,TrialBalance!P80,Journals!J$14:J$920)</f>
        <v>0</v>
      </c>
      <c r="K80" s="330"/>
      <c r="L80" s="332">
        <f t="shared" si="10"/>
        <v>0</v>
      </c>
      <c r="M80" s="81"/>
      <c r="N80" s="54">
        <f t="shared" si="8"/>
        <v>0</v>
      </c>
      <c r="P80" s="192" t="str">
        <f t="shared" si="9"/>
        <v>2710/000Rent received (not main income)</v>
      </c>
      <c r="Q80" s="76"/>
      <c r="S80" s="77"/>
      <c r="T80" s="57"/>
      <c r="U80" s="31"/>
    </row>
    <row r="81" spans="1:21" x14ac:dyDescent="0.2">
      <c r="A81" s="315"/>
      <c r="B81" s="60" t="s">
        <v>206</v>
      </c>
      <c r="C81" s="319" t="s">
        <v>632</v>
      </c>
      <c r="D81" s="326"/>
      <c r="E81" s="327"/>
      <c r="F81" s="180"/>
      <c r="G81" s="180"/>
      <c r="H81" s="180"/>
      <c r="I81" s="86"/>
      <c r="J81" s="53">
        <f>SUMIF(Journals!D$14:D$920,TrialBalance!P81,Journals!J$14:J$920)+SUMIF(Journals!E$14:E$920,TrialBalance!P81,Journals!J$14:J$920)</f>
        <v>0</v>
      </c>
      <c r="K81" s="330"/>
      <c r="L81" s="332">
        <f t="shared" si="10"/>
        <v>0</v>
      </c>
      <c r="M81" s="81"/>
      <c r="N81" s="54">
        <f t="shared" si="8"/>
        <v>0</v>
      </c>
      <c r="P81" s="192" t="str">
        <f t="shared" si="9"/>
        <v>2810/000(Profit)/Loss on sale of fixed assets</v>
      </c>
      <c r="Q81" s="76"/>
      <c r="S81" s="77"/>
      <c r="T81" s="57"/>
      <c r="U81" s="31"/>
    </row>
    <row r="82" spans="1:21" x14ac:dyDescent="0.2">
      <c r="A82" s="315"/>
      <c r="B82" s="60" t="s">
        <v>207</v>
      </c>
      <c r="C82" s="317" t="s">
        <v>208</v>
      </c>
      <c r="D82" s="326"/>
      <c r="E82" s="327"/>
      <c r="F82" s="180"/>
      <c r="G82" s="180"/>
      <c r="H82" s="180"/>
      <c r="I82" s="86"/>
      <c r="J82" s="53">
        <f>SUMIF(Journals!D$14:D$920,TrialBalance!P82,Journals!J$14:J$920)+SUMIF(Journals!E$14:E$920,TrialBalance!P82,Journals!J$14:J$920)</f>
        <v>0</v>
      </c>
      <c r="K82" s="330"/>
      <c r="L82" s="332">
        <f t="shared" si="10"/>
        <v>0</v>
      </c>
      <c r="M82" s="81"/>
      <c r="N82" s="54">
        <f t="shared" si="8"/>
        <v>0</v>
      </c>
      <c r="P82" s="192" t="str">
        <f t="shared" si="9"/>
        <v>2820/000Bad debts recovered</v>
      </c>
      <c r="Q82" s="76"/>
      <c r="S82" s="77"/>
      <c r="T82" s="57"/>
      <c r="U82" s="31"/>
    </row>
    <row r="83" spans="1:21" x14ac:dyDescent="0.2">
      <c r="A83" s="315"/>
      <c r="B83" s="60" t="s">
        <v>209</v>
      </c>
      <c r="C83" s="317" t="s">
        <v>210</v>
      </c>
      <c r="D83" s="326"/>
      <c r="E83" s="327"/>
      <c r="F83" s="180"/>
      <c r="G83" s="180"/>
      <c r="H83" s="180"/>
      <c r="I83" s="86"/>
      <c r="J83" s="53">
        <f>SUMIF(Journals!D$14:D$920,TrialBalance!P83,Journals!J$14:J$920)+SUMIF(Journals!E$14:E$920,TrialBalance!P83,Journals!J$14:J$920)</f>
        <v>0</v>
      </c>
      <c r="K83" s="330"/>
      <c r="L83" s="332">
        <f t="shared" si="10"/>
        <v>0</v>
      </c>
      <c r="M83" s="81"/>
      <c r="N83" s="54">
        <f t="shared" si="8"/>
        <v>0</v>
      </c>
      <c r="P83" s="192" t="str">
        <f t="shared" si="9"/>
        <v>2830/000Other income</v>
      </c>
      <c r="Q83" s="76"/>
      <c r="S83" s="57"/>
      <c r="T83" s="57"/>
      <c r="U83" s="31"/>
    </row>
    <row r="84" spans="1:21" x14ac:dyDescent="0.2">
      <c r="A84" s="315"/>
      <c r="B84" s="60" t="s">
        <v>211</v>
      </c>
      <c r="C84" s="316" t="s">
        <v>1043</v>
      </c>
      <c r="D84" s="326"/>
      <c r="E84" s="327"/>
      <c r="F84" s="180"/>
      <c r="G84" s="180"/>
      <c r="H84" s="180"/>
      <c r="I84" s="86"/>
      <c r="J84" s="53">
        <f>SUMIF(Journals!D$14:D$920,TrialBalance!P84,Journals!J$14:J$920)+SUMIF(Journals!E$14:E$920,TrialBalance!P84,Journals!J$14:J$920)</f>
        <v>0</v>
      </c>
      <c r="K84" s="330"/>
      <c r="L84" s="332">
        <f t="shared" si="10"/>
        <v>0</v>
      </c>
      <c r="M84" s="81"/>
      <c r="N84" s="54">
        <f t="shared" si="8"/>
        <v>0</v>
      </c>
      <c r="P84" s="192" t="str">
        <f t="shared" si="9"/>
        <v>3000/000ADMINISTRATIVE EXPENSES</v>
      </c>
      <c r="Q84" s="76"/>
      <c r="S84" s="77"/>
      <c r="T84" s="57"/>
      <c r="U84" s="31"/>
    </row>
    <row r="85" spans="1:21" x14ac:dyDescent="0.2">
      <c r="A85" s="315"/>
      <c r="B85" s="60" t="s">
        <v>212</v>
      </c>
      <c r="C85" s="317" t="s">
        <v>213</v>
      </c>
      <c r="D85" s="326"/>
      <c r="E85" s="327"/>
      <c r="F85" s="180"/>
      <c r="G85" s="180"/>
      <c r="H85" s="180"/>
      <c r="I85" s="86"/>
      <c r="J85" s="53">
        <f>SUMIF(Journals!D$14:D$920,TrialBalance!P85,Journals!J$14:J$920)+SUMIF(Journals!E$14:E$920,TrialBalance!P85,Journals!J$14:J$920)</f>
        <v>0</v>
      </c>
      <c r="K85" s="330"/>
      <c r="L85" s="332">
        <f t="shared" si="10"/>
        <v>0</v>
      </c>
      <c r="M85" s="81"/>
      <c r="N85" s="54">
        <f t="shared" si="8"/>
        <v>0</v>
      </c>
      <c r="P85" s="192" t="str">
        <f t="shared" si="9"/>
        <v>3000/011Audit fees for current year</v>
      </c>
      <c r="Q85" s="76"/>
      <c r="S85" s="57"/>
      <c r="T85" s="57"/>
      <c r="U85" s="31"/>
    </row>
    <row r="86" spans="1:21" x14ac:dyDescent="0.2">
      <c r="A86" s="315"/>
      <c r="B86" s="60" t="s">
        <v>214</v>
      </c>
      <c r="C86" s="323" t="s">
        <v>353</v>
      </c>
      <c r="D86" s="327"/>
      <c r="E86" s="327"/>
      <c r="F86" s="180"/>
      <c r="G86" s="180"/>
      <c r="H86" s="180"/>
      <c r="I86" s="86"/>
      <c r="J86" s="53">
        <f>SUMIF(Journals!D$14:D$920,TrialBalance!P86,Journals!J$14:J$920)+SUMIF(Journals!E$14:E$920,TrialBalance!P86,Journals!J$14:J$920)</f>
        <v>0</v>
      </c>
      <c r="K86" s="330"/>
      <c r="L86" s="332">
        <f t="shared" si="10"/>
        <v>0</v>
      </c>
      <c r="M86" s="81"/>
      <c r="N86" s="54">
        <f t="shared" si="8"/>
        <v>0</v>
      </c>
      <c r="P86" s="192" t="str">
        <f t="shared" si="9"/>
        <v>3000/012Under provision previous year</v>
      </c>
      <c r="Q86" s="76"/>
      <c r="S86" s="77"/>
      <c r="T86" s="57"/>
      <c r="U86" s="31"/>
    </row>
    <row r="87" spans="1:21" x14ac:dyDescent="0.2">
      <c r="A87" s="315"/>
      <c r="B87" s="60" t="s">
        <v>215</v>
      </c>
      <c r="C87" s="317" t="s">
        <v>216</v>
      </c>
      <c r="D87" s="326"/>
      <c r="E87" s="327"/>
      <c r="F87" s="180"/>
      <c r="G87" s="180"/>
      <c r="H87" s="180"/>
      <c r="I87" s="86"/>
      <c r="J87" s="53">
        <f>SUMIF(Journals!D$14:D$920,TrialBalance!P87,Journals!J$14:J$920)+SUMIF(Journals!E$14:E$920,TrialBalance!P87,Journals!J$14:J$920)</f>
        <v>0</v>
      </c>
      <c r="K87" s="330"/>
      <c r="L87" s="332">
        <f t="shared" si="10"/>
        <v>0</v>
      </c>
      <c r="M87" s="81"/>
      <c r="N87" s="54">
        <f t="shared" si="8"/>
        <v>0</v>
      </c>
      <c r="P87" s="192" t="str">
        <f t="shared" si="9"/>
        <v>3000/013Overprovision previous year</v>
      </c>
      <c r="Q87" s="76"/>
      <c r="S87" s="77"/>
      <c r="T87" s="57"/>
      <c r="U87" s="31"/>
    </row>
    <row r="88" spans="1:21" x14ac:dyDescent="0.2">
      <c r="A88" s="315"/>
      <c r="B88" s="60" t="s">
        <v>217</v>
      </c>
      <c r="C88" s="317" t="s">
        <v>218</v>
      </c>
      <c r="D88" s="326"/>
      <c r="E88" s="327"/>
      <c r="F88" s="180"/>
      <c r="G88" s="180"/>
      <c r="H88" s="180"/>
      <c r="I88" s="86"/>
      <c r="J88" s="53">
        <f>SUMIF(Journals!D$14:D$920,TrialBalance!P88,Journals!J$14:J$920)+SUMIF(Journals!E$14:E$920,TrialBalance!P88,Journals!J$14:J$920)</f>
        <v>0</v>
      </c>
      <c r="K88" s="330"/>
      <c r="L88" s="332">
        <f t="shared" si="10"/>
        <v>0</v>
      </c>
      <c r="M88" s="81"/>
      <c r="N88" s="54">
        <f t="shared" si="8"/>
        <v>0</v>
      </c>
      <c r="P88" s="192" t="str">
        <f t="shared" si="9"/>
        <v>3000/014Accounting fees</v>
      </c>
      <c r="Q88" s="76"/>
      <c r="S88" s="77"/>
      <c r="T88" s="57"/>
      <c r="U88" s="31"/>
    </row>
    <row r="89" spans="1:21" x14ac:dyDescent="0.2">
      <c r="A89" s="315"/>
      <c r="B89" s="60" t="s">
        <v>219</v>
      </c>
      <c r="C89" s="317" t="s">
        <v>220</v>
      </c>
      <c r="D89" s="326"/>
      <c r="E89" s="327"/>
      <c r="F89" s="180"/>
      <c r="G89" s="180"/>
      <c r="H89" s="180"/>
      <c r="I89" s="86"/>
      <c r="J89" s="53">
        <f>SUMIF(Journals!D$14:D$920,TrialBalance!P89,Journals!J$14:J$920)+SUMIF(Journals!E$14:E$920,TrialBalance!P89,Journals!J$14:J$920)</f>
        <v>0</v>
      </c>
      <c r="K89" s="330"/>
      <c r="L89" s="332">
        <f>ROUND(D89-E89+F89+G89+H89+J89+I89,0)</f>
        <v>0</v>
      </c>
      <c r="M89" s="81"/>
      <c r="N89" s="54">
        <f t="shared" si="8"/>
        <v>0</v>
      </c>
      <c r="P89" s="192" t="str">
        <f t="shared" si="9"/>
        <v>3000/020Bank charges</v>
      </c>
      <c r="Q89" s="76"/>
      <c r="S89" s="77"/>
      <c r="T89" s="57"/>
      <c r="U89" s="31"/>
    </row>
    <row r="90" spans="1:21" x14ac:dyDescent="0.2">
      <c r="A90" s="315"/>
      <c r="B90" s="60" t="s">
        <v>221</v>
      </c>
      <c r="C90" s="317" t="s">
        <v>222</v>
      </c>
      <c r="D90" s="326"/>
      <c r="E90" s="327"/>
      <c r="F90" s="180"/>
      <c r="G90" s="180"/>
      <c r="H90" s="180"/>
      <c r="I90" s="86"/>
      <c r="J90" s="53">
        <f>SUMIF(Journals!D$14:D$920,TrialBalance!P90,Journals!J$14:J$920)+SUMIF(Journals!E$14:E$920,TrialBalance!P90,Journals!J$14:J$920)</f>
        <v>0</v>
      </c>
      <c r="K90" s="330"/>
      <c r="L90" s="332">
        <f t="shared" si="10"/>
        <v>0</v>
      </c>
      <c r="M90" s="81"/>
      <c r="N90" s="54">
        <f t="shared" si="8"/>
        <v>0</v>
      </c>
      <c r="P90" s="192" t="str">
        <f t="shared" si="9"/>
        <v>3000/030Bad debts</v>
      </c>
      <c r="Q90" s="76"/>
      <c r="S90" s="77"/>
      <c r="T90" s="57"/>
      <c r="U90" s="31"/>
    </row>
    <row r="91" spans="1:21" x14ac:dyDescent="0.2">
      <c r="A91" s="315"/>
      <c r="B91" s="60" t="s">
        <v>223</v>
      </c>
      <c r="C91" s="317" t="s">
        <v>259</v>
      </c>
      <c r="D91" s="326"/>
      <c r="E91" s="327"/>
      <c r="F91" s="180"/>
      <c r="G91" s="180"/>
      <c r="H91" s="180"/>
      <c r="I91" s="86"/>
      <c r="J91" s="53">
        <f>SUMIF(Journals!D$14:D$920,TrialBalance!P91,Journals!J$14:J$920)+SUMIF(Journals!E$14:E$920,TrialBalance!P91,Journals!J$14:J$920)</f>
        <v>0</v>
      </c>
      <c r="K91" s="330"/>
      <c r="L91" s="332">
        <f t="shared" si="10"/>
        <v>0</v>
      </c>
      <c r="M91" s="81"/>
      <c r="N91" s="54">
        <f t="shared" si="8"/>
        <v>0</v>
      </c>
      <c r="P91" s="192" t="str">
        <f t="shared" si="9"/>
        <v>3000/040Cleaning</v>
      </c>
      <c r="Q91" s="76"/>
      <c r="S91" s="77"/>
      <c r="T91" s="57"/>
      <c r="U91" s="31"/>
    </row>
    <row r="92" spans="1:21" x14ac:dyDescent="0.2">
      <c r="A92" s="315"/>
      <c r="B92" s="60" t="s">
        <v>224</v>
      </c>
      <c r="C92" s="317" t="s">
        <v>225</v>
      </c>
      <c r="D92" s="326"/>
      <c r="E92" s="327"/>
      <c r="F92" s="180"/>
      <c r="G92" s="180"/>
      <c r="H92" s="180"/>
      <c r="I92" s="86"/>
      <c r="J92" s="53">
        <f>SUMIF(Journals!D$14:D$920,TrialBalance!P92,Journals!J$14:J$920)+SUMIF(Journals!E$14:E$920,TrialBalance!P92,Journals!J$14:J$920)</f>
        <v>0</v>
      </c>
      <c r="K92" s="330"/>
      <c r="L92" s="332">
        <f t="shared" si="10"/>
        <v>0</v>
      </c>
      <c r="M92" s="81"/>
      <c r="N92" s="54">
        <f t="shared" si="8"/>
        <v>0</v>
      </c>
      <c r="P92" s="192" t="str">
        <f t="shared" si="9"/>
        <v>3000/050Computer expenses</v>
      </c>
      <c r="Q92" s="76"/>
      <c r="S92" s="77"/>
      <c r="T92" s="57"/>
      <c r="U92" s="31"/>
    </row>
    <row r="93" spans="1:21" x14ac:dyDescent="0.2">
      <c r="A93" s="315"/>
      <c r="B93" s="110" t="s">
        <v>659</v>
      </c>
      <c r="C93" s="319" t="s">
        <v>735</v>
      </c>
      <c r="D93" s="326"/>
      <c r="E93" s="327"/>
      <c r="F93" s="180"/>
      <c r="G93" s="180"/>
      <c r="H93" s="180"/>
      <c r="I93" s="86"/>
      <c r="J93" s="53">
        <f>SUMIF(Journals!D$14:D$920,TrialBalance!P93,Journals!J$14:J$920)+SUMIF(Journals!E$14:E$920,TrialBalance!P93,Journals!J$14:J$920)</f>
        <v>0</v>
      </c>
      <c r="K93" s="330"/>
      <c r="L93" s="332">
        <f t="shared" ref="L93" si="11">ROUND(D93-E93+F93+G93+H93+J93+I93,0)</f>
        <v>0</v>
      </c>
      <c r="M93" s="81"/>
      <c r="N93" s="54">
        <f t="shared" si="8"/>
        <v>0</v>
      </c>
      <c r="P93" s="192" t="str">
        <f t="shared" si="9"/>
        <v>3000/055Consulting and professional fees</v>
      </c>
      <c r="Q93" s="76"/>
      <c r="S93" s="77"/>
      <c r="T93" s="57"/>
      <c r="U93" s="31"/>
    </row>
    <row r="94" spans="1:21" x14ac:dyDescent="0.2">
      <c r="A94" s="315"/>
      <c r="B94" s="60" t="s">
        <v>226</v>
      </c>
      <c r="C94" s="316" t="s">
        <v>591</v>
      </c>
      <c r="D94" s="326"/>
      <c r="E94" s="327"/>
      <c r="F94" s="180"/>
      <c r="G94" s="180"/>
      <c r="H94" s="180"/>
      <c r="I94" s="86"/>
      <c r="J94" s="53">
        <f>SUMIF(Journals!D$14:D$920,TrialBalance!P94,Journals!J$14:J$920)+SUMIF(Journals!E$14:E$920,TrialBalance!P94,Journals!J$14:J$920)</f>
        <v>0</v>
      </c>
      <c r="K94" s="330"/>
      <c r="L94" s="332">
        <f t="shared" si="10"/>
        <v>0</v>
      </c>
      <c r="M94" s="81"/>
      <c r="N94" s="54">
        <f t="shared" si="8"/>
        <v>0</v>
      </c>
      <c r="P94" s="192" t="str">
        <f t="shared" si="9"/>
        <v>3000/060Depreciation---------------------------------</v>
      </c>
      <c r="Q94" s="76"/>
      <c r="S94" s="77"/>
      <c r="T94" s="57"/>
      <c r="U94" s="31"/>
    </row>
    <row r="95" spans="1:21" x14ac:dyDescent="0.2">
      <c r="A95" s="315"/>
      <c r="B95" s="110" t="s">
        <v>227</v>
      </c>
      <c r="C95" s="318" t="s">
        <v>60</v>
      </c>
      <c r="D95" s="327"/>
      <c r="E95" s="327"/>
      <c r="F95" s="180"/>
      <c r="G95" s="180"/>
      <c r="H95" s="180"/>
      <c r="I95" s="86">
        <f>FARegister!W14</f>
        <v>0</v>
      </c>
      <c r="J95" s="53">
        <f>SUMIF(Journals!D$14:D$920,TrialBalance!P95,Journals!J$14:J$920)+SUMIF(Journals!E$14:E$920,TrialBalance!P95,Journals!J$14:J$920)</f>
        <v>0</v>
      </c>
      <c r="K95" s="330"/>
      <c r="L95" s="332">
        <f t="shared" si="10"/>
        <v>0</v>
      </c>
      <c r="M95" s="81"/>
      <c r="N95" s="54">
        <f t="shared" si="8"/>
        <v>0</v>
      </c>
      <c r="P95" s="192" t="str">
        <f t="shared" ref="P95:P125" si="12">CONCATENATE(B95,C95)</f>
        <v>3000/061Depr - Electronic equipment</v>
      </c>
      <c r="Q95" s="76"/>
      <c r="S95" s="77"/>
      <c r="T95" s="57"/>
      <c r="U95" s="31"/>
    </row>
    <row r="96" spans="1:21" x14ac:dyDescent="0.2">
      <c r="A96" s="315"/>
      <c r="B96" s="110" t="s">
        <v>366</v>
      </c>
      <c r="C96" s="319" t="s">
        <v>770</v>
      </c>
      <c r="D96" s="326"/>
      <c r="E96" s="327"/>
      <c r="F96" s="180"/>
      <c r="G96" s="180"/>
      <c r="H96" s="180"/>
      <c r="I96" s="86">
        <f>FARegister!W15</f>
        <v>0</v>
      </c>
      <c r="J96" s="53">
        <f>SUMIF(Journals!D$14:D$920,TrialBalance!P96,Journals!J$14:J$920)+SUMIF(Journals!E$14:E$920,TrialBalance!P96,Journals!J$14:J$920)</f>
        <v>0</v>
      </c>
      <c r="K96" s="330"/>
      <c r="L96" s="332">
        <f t="shared" si="10"/>
        <v>0</v>
      </c>
      <c r="M96" s="81"/>
      <c r="N96" s="54">
        <f t="shared" si="8"/>
        <v>0</v>
      </c>
      <c r="P96" s="192" t="str">
        <f t="shared" si="12"/>
        <v>3000/063Depr - Furniture and fittings</v>
      </c>
      <c r="Q96" s="76"/>
      <c r="S96" s="77"/>
      <c r="T96" s="57"/>
      <c r="U96" s="31"/>
    </row>
    <row r="97" spans="1:21" x14ac:dyDescent="0.2">
      <c r="A97" s="315"/>
      <c r="B97" s="60" t="s">
        <v>367</v>
      </c>
      <c r="C97" s="316" t="s">
        <v>942</v>
      </c>
      <c r="D97" s="326"/>
      <c r="E97" s="327"/>
      <c r="F97" s="180"/>
      <c r="G97" s="180"/>
      <c r="H97" s="180"/>
      <c r="I97" s="86"/>
      <c r="J97" s="53">
        <f>SUMIF(Journals!D$14:D$920,TrialBalance!P97,Journals!J$14:J$920)+SUMIF(Journals!E$14:E$920,TrialBalance!P97,Journals!J$14:J$920)</f>
        <v>0</v>
      </c>
      <c r="K97" s="330"/>
      <c r="L97" s="332">
        <f t="shared" si="10"/>
        <v>0</v>
      </c>
      <c r="M97" s="81"/>
      <c r="N97" s="54">
        <f t="shared" si="8"/>
        <v>0</v>
      </c>
      <c r="P97" s="192" t="str">
        <f t="shared" si="12"/>
        <v>3000/070Trustees' remuneration-----------------</v>
      </c>
      <c r="Q97" s="76"/>
      <c r="S97" s="77"/>
      <c r="T97" s="57"/>
      <c r="U97" s="31"/>
    </row>
    <row r="98" spans="1:21" x14ac:dyDescent="0.2">
      <c r="A98" s="315"/>
      <c r="B98" s="60" t="s">
        <v>368</v>
      </c>
      <c r="C98" s="320" t="str">
        <f>Criteria!E38</f>
        <v>A Trustee</v>
      </c>
      <c r="D98" s="327"/>
      <c r="E98" s="327"/>
      <c r="F98" s="180"/>
      <c r="G98" s="180"/>
      <c r="H98" s="180"/>
      <c r="I98" s="86"/>
      <c r="J98" s="53">
        <f>SUMIF(Journals!D$14:D$920,TrialBalance!P98,Journals!J$14:J$920)+SUMIF(Journals!E$14:E$920,TrialBalance!P98,Journals!J$14:J$920)</f>
        <v>0</v>
      </c>
      <c r="K98" s="330"/>
      <c r="L98" s="332">
        <f t="shared" si="10"/>
        <v>0</v>
      </c>
      <c r="M98" s="81"/>
      <c r="N98" s="54">
        <f t="shared" si="8"/>
        <v>0</v>
      </c>
      <c r="P98" s="192" t="str">
        <f t="shared" si="12"/>
        <v>3000/071A Trustee</v>
      </c>
      <c r="Q98" s="76"/>
      <c r="S98" s="77"/>
      <c r="T98" s="57"/>
      <c r="U98" s="31"/>
    </row>
    <row r="99" spans="1:21" x14ac:dyDescent="0.2">
      <c r="A99" s="315"/>
      <c r="B99" s="60" t="s">
        <v>369</v>
      </c>
      <c r="C99" s="320" t="str">
        <f>Criteria!E39</f>
        <v>C Trustee</v>
      </c>
      <c r="D99" s="327"/>
      <c r="E99" s="327"/>
      <c r="F99" s="180"/>
      <c r="G99" s="180"/>
      <c r="H99" s="180"/>
      <c r="I99" s="86"/>
      <c r="J99" s="53">
        <f>SUMIF(Journals!D$14:D$920,TrialBalance!P99,Journals!J$14:J$920)+SUMIF(Journals!E$14:E$920,TrialBalance!P99,Journals!J$14:J$920)</f>
        <v>0</v>
      </c>
      <c r="K99" s="330"/>
      <c r="L99" s="332">
        <f t="shared" si="10"/>
        <v>0</v>
      </c>
      <c r="M99" s="81"/>
      <c r="N99" s="54">
        <f t="shared" si="8"/>
        <v>0</v>
      </c>
      <c r="P99" s="192" t="str">
        <f t="shared" si="12"/>
        <v>3000/072C Trustee</v>
      </c>
      <c r="Q99" s="76"/>
      <c r="S99" s="77"/>
      <c r="T99" s="57"/>
      <c r="U99" s="31"/>
    </row>
    <row r="100" spans="1:21" x14ac:dyDescent="0.2">
      <c r="A100" s="315"/>
      <c r="B100" s="60" t="s">
        <v>370</v>
      </c>
      <c r="C100" s="320">
        <f>Criteria!E40</f>
        <v>0</v>
      </c>
      <c r="D100" s="327"/>
      <c r="E100" s="327"/>
      <c r="F100" s="180"/>
      <c r="G100" s="180"/>
      <c r="H100" s="180"/>
      <c r="I100" s="86"/>
      <c r="J100" s="53">
        <f>SUMIF(Journals!D$14:D$920,TrialBalance!P100,Journals!J$14:J$920)+SUMIF(Journals!E$14:E$920,TrialBalance!P100,Journals!J$14:J$920)</f>
        <v>0</v>
      </c>
      <c r="K100" s="330"/>
      <c r="L100" s="332">
        <f t="shared" si="10"/>
        <v>0</v>
      </c>
      <c r="M100" s="81"/>
      <c r="N100" s="54">
        <f t="shared" si="8"/>
        <v>0</v>
      </c>
      <c r="P100" s="192" t="str">
        <f t="shared" si="12"/>
        <v>3000/0730</v>
      </c>
      <c r="Q100" s="76"/>
      <c r="S100" s="77"/>
      <c r="T100" s="57"/>
      <c r="U100" s="31"/>
    </row>
    <row r="101" spans="1:21" x14ac:dyDescent="0.2">
      <c r="A101" s="315"/>
      <c r="B101" s="60" t="s">
        <v>371</v>
      </c>
      <c r="C101" s="320">
        <f>Criteria!E41</f>
        <v>0</v>
      </c>
      <c r="D101" s="327"/>
      <c r="E101" s="327"/>
      <c r="F101" s="180"/>
      <c r="G101" s="180"/>
      <c r="H101" s="180"/>
      <c r="I101" s="86"/>
      <c r="J101" s="53">
        <f>SUMIF(Journals!D$14:D$920,TrialBalance!P101,Journals!J$14:J$920)+SUMIF(Journals!E$14:E$920,TrialBalance!P101,Journals!J$14:J$920)</f>
        <v>0</v>
      </c>
      <c r="K101" s="330"/>
      <c r="L101" s="332">
        <f t="shared" si="10"/>
        <v>0</v>
      </c>
      <c r="M101" s="81"/>
      <c r="N101" s="54">
        <f t="shared" si="8"/>
        <v>0</v>
      </c>
      <c r="P101" s="192" t="str">
        <f t="shared" si="12"/>
        <v>3000/0740</v>
      </c>
      <c r="Q101" s="76"/>
      <c r="S101" s="77"/>
      <c r="T101" s="57"/>
      <c r="U101" s="31"/>
    </row>
    <row r="102" spans="1:21" x14ac:dyDescent="0.2">
      <c r="A102" s="315"/>
      <c r="B102" s="60" t="s">
        <v>372</v>
      </c>
      <c r="C102" s="320">
        <f>Criteria!E42</f>
        <v>0</v>
      </c>
      <c r="D102" s="327"/>
      <c r="E102" s="327"/>
      <c r="F102" s="180"/>
      <c r="G102" s="180"/>
      <c r="H102" s="180"/>
      <c r="I102" s="86"/>
      <c r="J102" s="53">
        <f>SUMIF(Journals!D$14:D$920,TrialBalance!P102,Journals!J$14:J$920)+SUMIF(Journals!E$14:E$920,TrialBalance!P102,Journals!J$14:J$920)</f>
        <v>0</v>
      </c>
      <c r="K102" s="330"/>
      <c r="L102" s="332">
        <f t="shared" si="10"/>
        <v>0</v>
      </c>
      <c r="M102" s="81"/>
      <c r="N102" s="54">
        <f t="shared" si="8"/>
        <v>0</v>
      </c>
      <c r="P102" s="192" t="str">
        <f t="shared" si="12"/>
        <v>3000/0750</v>
      </c>
      <c r="Q102" s="76"/>
      <c r="S102" s="77"/>
      <c r="T102" s="57"/>
      <c r="U102" s="31"/>
    </row>
    <row r="103" spans="1:21" x14ac:dyDescent="0.2">
      <c r="A103" s="315"/>
      <c r="B103" s="60" t="s">
        <v>373</v>
      </c>
      <c r="C103" s="317" t="s">
        <v>260</v>
      </c>
      <c r="D103" s="326"/>
      <c r="E103" s="327"/>
      <c r="F103" s="180"/>
      <c r="G103" s="180"/>
      <c r="H103" s="180"/>
      <c r="I103" s="86"/>
      <c r="J103" s="53">
        <f>SUMIF(Journals!D$14:D$920,TrialBalance!P103,Journals!J$14:J$920)+SUMIF(Journals!E$14:E$920,TrialBalance!P103,Journals!J$14:J$920)</f>
        <v>0</v>
      </c>
      <c r="K103" s="330"/>
      <c r="L103" s="332">
        <f t="shared" si="10"/>
        <v>0</v>
      </c>
      <c r="M103" s="81"/>
      <c r="N103" s="54">
        <f t="shared" si="8"/>
        <v>0</v>
      </c>
      <c r="P103" s="192" t="str">
        <f t="shared" si="12"/>
        <v>3000/080Donations</v>
      </c>
      <c r="Q103" s="76"/>
      <c r="S103" s="77"/>
      <c r="T103" s="57"/>
      <c r="U103" s="31"/>
    </row>
    <row r="104" spans="1:21" x14ac:dyDescent="0.2">
      <c r="A104" s="315"/>
      <c r="B104" s="60" t="s">
        <v>374</v>
      </c>
      <c r="C104" s="317" t="s">
        <v>375</v>
      </c>
      <c r="D104" s="326"/>
      <c r="E104" s="327"/>
      <c r="F104" s="180"/>
      <c r="G104" s="180"/>
      <c r="H104" s="180"/>
      <c r="I104" s="86"/>
      <c r="J104" s="53">
        <f>SUMIF(Journals!D$14:D$920,TrialBalance!P104,Journals!J$14:J$920)+SUMIF(Journals!E$14:E$920,TrialBalance!P104,Journals!J$14:J$920)</f>
        <v>0</v>
      </c>
      <c r="K104" s="330"/>
      <c r="L104" s="332">
        <f t="shared" si="10"/>
        <v>0</v>
      </c>
      <c r="M104" s="81"/>
      <c r="N104" s="54">
        <f t="shared" si="8"/>
        <v>0</v>
      </c>
      <c r="P104" s="192" t="str">
        <f t="shared" si="12"/>
        <v>3000/090Entertainment expenses</v>
      </c>
      <c r="Q104" s="76"/>
      <c r="S104" s="77"/>
      <c r="T104" s="57"/>
      <c r="U104" s="31"/>
    </row>
    <row r="105" spans="1:21" x14ac:dyDescent="0.2">
      <c r="A105" s="315"/>
      <c r="B105" s="62" t="s">
        <v>70</v>
      </c>
      <c r="C105" s="323" t="s">
        <v>326</v>
      </c>
      <c r="D105" s="327"/>
      <c r="E105" s="327"/>
      <c r="F105" s="180"/>
      <c r="G105" s="180"/>
      <c r="H105" s="180"/>
      <c r="I105" s="86"/>
      <c r="J105" s="53">
        <f>SUMIF(Journals!D$14:D$920,TrialBalance!P105,Journals!J$14:J$920)+SUMIF(Journals!E$14:E$920,TrialBalance!P105,Journals!J$14:J$920)</f>
        <v>0</v>
      </c>
      <c r="K105" s="330"/>
      <c r="L105" s="332">
        <f t="shared" si="10"/>
        <v>0</v>
      </c>
      <c r="M105" s="81"/>
      <c r="N105" s="54">
        <f t="shared" si="8"/>
        <v>0</v>
      </c>
      <c r="P105" s="192" t="str">
        <f t="shared" si="12"/>
        <v>3000/095Fines</v>
      </c>
      <c r="Q105" s="76"/>
      <c r="S105" s="77"/>
      <c r="T105" s="57"/>
      <c r="U105" s="31"/>
    </row>
    <row r="106" spans="1:21" x14ac:dyDescent="0.2">
      <c r="A106" s="315"/>
      <c r="B106" s="60" t="s">
        <v>376</v>
      </c>
      <c r="C106" s="317" t="s">
        <v>377</v>
      </c>
      <c r="D106" s="326"/>
      <c r="E106" s="327"/>
      <c r="F106" s="180"/>
      <c r="G106" s="180"/>
      <c r="H106" s="180"/>
      <c r="I106" s="86"/>
      <c r="J106" s="53">
        <f>SUMIF(Journals!D$14:D$920,TrialBalance!P106,Journals!J$14:J$920)+SUMIF(Journals!E$14:E$920,TrialBalance!P106,Journals!J$14:J$920)</f>
        <v>0</v>
      </c>
      <c r="K106" s="330"/>
      <c r="L106" s="332">
        <f t="shared" si="10"/>
        <v>0</v>
      </c>
      <c r="M106" s="81"/>
      <c r="N106" s="54">
        <f t="shared" si="8"/>
        <v>0</v>
      </c>
      <c r="P106" s="192" t="str">
        <f t="shared" si="12"/>
        <v>3000/100General expenses</v>
      </c>
      <c r="Q106" s="76"/>
      <c r="S106" s="77"/>
      <c r="T106" s="57"/>
      <c r="U106" s="31"/>
    </row>
    <row r="107" spans="1:21" x14ac:dyDescent="0.2">
      <c r="A107" s="315"/>
      <c r="B107" s="60" t="s">
        <v>304</v>
      </c>
      <c r="C107" s="318" t="s">
        <v>767</v>
      </c>
      <c r="D107" s="327"/>
      <c r="E107" s="327"/>
      <c r="F107" s="180"/>
      <c r="G107" s="180"/>
      <c r="H107" s="180"/>
      <c r="I107" s="86"/>
      <c r="J107" s="53">
        <f>SUMIF(Journals!D$14:D$920,TrialBalance!P107,Journals!J$14:J$920)+SUMIF(Journals!E$14:E$920,TrialBalance!P107,Journals!J$14:J$920)</f>
        <v>0</v>
      </c>
      <c r="K107" s="330"/>
      <c r="L107" s="332">
        <f t="shared" si="10"/>
        <v>0</v>
      </c>
      <c r="M107" s="81"/>
      <c r="N107" s="54">
        <f t="shared" si="8"/>
        <v>0</v>
      </c>
      <c r="P107" s="192" t="str">
        <f t="shared" si="12"/>
        <v>3000/110Legal expenses - tax deductible</v>
      </c>
      <c r="Q107" s="76"/>
      <c r="S107" s="77"/>
      <c r="T107" s="57"/>
      <c r="U107" s="31"/>
    </row>
    <row r="108" spans="1:21" x14ac:dyDescent="0.2">
      <c r="A108" s="315"/>
      <c r="B108" s="60" t="s">
        <v>452</v>
      </c>
      <c r="C108" s="318" t="s">
        <v>768</v>
      </c>
      <c r="D108" s="327"/>
      <c r="E108" s="327"/>
      <c r="F108" s="180"/>
      <c r="G108" s="180"/>
      <c r="H108" s="180"/>
      <c r="I108" s="86"/>
      <c r="J108" s="53">
        <f>SUMIF(Journals!D$14:D$920,TrialBalance!P108,Journals!J$14:J$920)+SUMIF(Journals!E$14:E$920,TrialBalance!P108,Journals!J$14:J$920)</f>
        <v>0</v>
      </c>
      <c r="K108" s="330"/>
      <c r="L108" s="332">
        <f t="shared" si="10"/>
        <v>0</v>
      </c>
      <c r="M108" s="81"/>
      <c r="N108" s="54">
        <f t="shared" si="8"/>
        <v>0</v>
      </c>
      <c r="P108" s="192" t="str">
        <f t="shared" si="12"/>
        <v>3000/111Legal expenses - non deductible</v>
      </c>
      <c r="Q108" s="76"/>
      <c r="S108" s="77"/>
      <c r="T108" s="57"/>
      <c r="U108" s="31"/>
    </row>
    <row r="109" spans="1:21" x14ac:dyDescent="0.2">
      <c r="A109" s="315"/>
      <c r="B109" s="60" t="s">
        <v>305</v>
      </c>
      <c r="C109" s="317" t="s">
        <v>306</v>
      </c>
      <c r="D109" s="326"/>
      <c r="E109" s="327"/>
      <c r="F109" s="180"/>
      <c r="G109" s="180"/>
      <c r="H109" s="180"/>
      <c r="I109" s="86"/>
      <c r="J109" s="53">
        <f>SUMIF(Journals!D$14:D$920,TrialBalance!P109,Journals!J$14:J$920)+SUMIF(Journals!E$14:E$920,TrialBalance!P109,Journals!J$14:J$920)</f>
        <v>0</v>
      </c>
      <c r="K109" s="330"/>
      <c r="L109" s="332">
        <f t="shared" si="10"/>
        <v>0</v>
      </c>
      <c r="M109" s="81"/>
      <c r="N109" s="54">
        <f t="shared" si="8"/>
        <v>0</v>
      </c>
      <c r="P109" s="192" t="str">
        <f t="shared" si="12"/>
        <v>3000/120Printing and stationary</v>
      </c>
      <c r="Q109" s="76"/>
      <c r="S109" s="77"/>
      <c r="T109" s="57"/>
      <c r="U109" s="31"/>
    </row>
    <row r="110" spans="1:21" x14ac:dyDescent="0.2">
      <c r="A110" s="315"/>
      <c r="B110" s="60" t="s">
        <v>307</v>
      </c>
      <c r="C110" s="317" t="s">
        <v>261</v>
      </c>
      <c r="D110" s="326"/>
      <c r="E110" s="327"/>
      <c r="F110" s="180"/>
      <c r="G110" s="180"/>
      <c r="H110" s="180"/>
      <c r="I110" s="86"/>
      <c r="J110" s="53">
        <f>SUMIF(Journals!D$14:D$920,TrialBalance!P110,Journals!J$14:J$920)+SUMIF(Journals!E$14:E$920,TrialBalance!P110,Journals!J$14:J$920)</f>
        <v>0</v>
      </c>
      <c r="K110" s="330"/>
      <c r="L110" s="332">
        <f t="shared" si="10"/>
        <v>0</v>
      </c>
      <c r="M110" s="81"/>
      <c r="N110" s="54">
        <f t="shared" si="8"/>
        <v>0</v>
      </c>
      <c r="P110" s="192" t="str">
        <f t="shared" si="12"/>
        <v>3000/130Refreshments</v>
      </c>
      <c r="Q110" s="76"/>
      <c r="S110" s="77"/>
      <c r="T110" s="57"/>
      <c r="U110" s="31"/>
    </row>
    <row r="111" spans="1:21" x14ac:dyDescent="0.2">
      <c r="A111" s="315"/>
      <c r="B111" s="60" t="s">
        <v>308</v>
      </c>
      <c r="C111" s="317" t="s">
        <v>78</v>
      </c>
      <c r="D111" s="326"/>
      <c r="E111" s="327"/>
      <c r="F111" s="180"/>
      <c r="G111" s="180"/>
      <c r="H111" s="180"/>
      <c r="I111" s="86"/>
      <c r="J111" s="53">
        <f>SUMIF(Journals!D$14:D$920,TrialBalance!P111,Journals!J$14:J$920)+SUMIF(Journals!E$14:E$920,TrialBalance!P111,Journals!J$14:J$920)</f>
        <v>0</v>
      </c>
      <c r="K111" s="330"/>
      <c r="L111" s="332">
        <f t="shared" si="10"/>
        <v>0</v>
      </c>
      <c r="M111" s="81"/>
      <c r="N111" s="54">
        <f t="shared" si="8"/>
        <v>0</v>
      </c>
      <c r="P111" s="192" t="str">
        <f t="shared" si="12"/>
        <v>3000/140Salaries</v>
      </c>
      <c r="Q111" s="76"/>
      <c r="S111" s="77"/>
      <c r="T111" s="57"/>
      <c r="U111" s="31"/>
    </row>
    <row r="112" spans="1:21" x14ac:dyDescent="0.2">
      <c r="A112" s="315"/>
      <c r="B112" s="110" t="s">
        <v>309</v>
      </c>
      <c r="C112" s="317" t="s">
        <v>82</v>
      </c>
      <c r="D112" s="326"/>
      <c r="E112" s="327"/>
      <c r="F112" s="180"/>
      <c r="G112" s="180"/>
      <c r="H112" s="180"/>
      <c r="I112" s="86"/>
      <c r="J112" s="53">
        <f>SUMIF(Journals!D$14:D$920,TrialBalance!P112,Journals!J$14:J$920)+SUMIF(Journals!E$14:E$920,TrialBalance!P112,Journals!J$14:J$920)</f>
        <v>0</v>
      </c>
      <c r="K112" s="330"/>
      <c r="L112" s="332">
        <f t="shared" si="10"/>
        <v>0</v>
      </c>
      <c r="M112" s="81"/>
      <c r="N112" s="54">
        <f t="shared" si="8"/>
        <v>0</v>
      </c>
      <c r="P112" s="192" t="str">
        <f t="shared" si="12"/>
        <v>3000/141Casual wages</v>
      </c>
      <c r="Q112" s="76"/>
      <c r="S112" s="77"/>
      <c r="T112" s="57"/>
      <c r="U112" s="31"/>
    </row>
    <row r="113" spans="1:21" x14ac:dyDescent="0.2">
      <c r="A113" s="315"/>
      <c r="B113" s="60" t="s">
        <v>310</v>
      </c>
      <c r="C113" s="317" t="s">
        <v>262</v>
      </c>
      <c r="D113" s="326"/>
      <c r="E113" s="327"/>
      <c r="F113" s="180"/>
      <c r="G113" s="180"/>
      <c r="H113" s="180"/>
      <c r="I113" s="86"/>
      <c r="J113" s="53">
        <f>SUMIF(Journals!D$14:D$920,TrialBalance!P113,Journals!J$14:J$920)+SUMIF(Journals!E$14:E$920,TrialBalance!P113,Journals!J$14:J$920)</f>
        <v>0</v>
      </c>
      <c r="K113" s="330"/>
      <c r="L113" s="332">
        <f t="shared" si="10"/>
        <v>0</v>
      </c>
      <c r="M113" s="81"/>
      <c r="N113" s="54">
        <f t="shared" si="8"/>
        <v>0</v>
      </c>
      <c r="P113" s="192" t="str">
        <f t="shared" si="12"/>
        <v>3000/150Security</v>
      </c>
      <c r="Q113" s="76"/>
      <c r="S113" s="77"/>
      <c r="T113" s="57"/>
      <c r="U113" s="31"/>
    </row>
    <row r="114" spans="1:21" x14ac:dyDescent="0.2">
      <c r="A114" s="315"/>
      <c r="B114" s="60" t="s">
        <v>311</v>
      </c>
      <c r="C114" s="319" t="s">
        <v>737</v>
      </c>
      <c r="D114" s="326"/>
      <c r="E114" s="327"/>
      <c r="F114" s="180"/>
      <c r="G114" s="180"/>
      <c r="H114" s="180"/>
      <c r="I114" s="86"/>
      <c r="J114" s="53">
        <f>SUMIF(Journals!D$14:D$920,TrialBalance!P114,Journals!J$14:J$920)+SUMIF(Journals!E$14:E$920,TrialBalance!P114,Journals!J$14:J$920)</f>
        <v>0</v>
      </c>
      <c r="K114" s="330"/>
      <c r="L114" s="332">
        <f t="shared" si="10"/>
        <v>0</v>
      </c>
      <c r="M114" s="81"/>
      <c r="N114" s="54">
        <f t="shared" si="8"/>
        <v>0</v>
      </c>
      <c r="P114" s="192" t="str">
        <f t="shared" si="12"/>
        <v>3000/160Subscriptions and membership fees</v>
      </c>
      <c r="Q114" s="76"/>
      <c r="S114" s="77"/>
      <c r="T114" s="57"/>
      <c r="U114" s="31"/>
    </row>
    <row r="115" spans="1:21" x14ac:dyDescent="0.2">
      <c r="A115" s="315"/>
      <c r="B115" s="60" t="s">
        <v>330</v>
      </c>
      <c r="C115" s="319" t="s">
        <v>769</v>
      </c>
      <c r="D115" s="326"/>
      <c r="E115" s="327"/>
      <c r="F115" s="180"/>
      <c r="G115" s="180"/>
      <c r="H115" s="180"/>
      <c r="I115" s="86"/>
      <c r="J115" s="53">
        <f>SUMIF(Journals!D$14:D$920,TrialBalance!P115,Journals!J$14:J$920)+SUMIF(Journals!E$14:E$920,TrialBalance!P115,Journals!J$14:J$920)</f>
        <v>0</v>
      </c>
      <c r="K115" s="330"/>
      <c r="L115" s="332">
        <f t="shared" si="10"/>
        <v>0</v>
      </c>
      <c r="M115" s="81"/>
      <c r="N115" s="54">
        <f t="shared" si="8"/>
        <v>0</v>
      </c>
      <c r="P115" s="192" t="str">
        <f t="shared" si="12"/>
        <v>3000/170Penalties and interest - SARS</v>
      </c>
      <c r="Q115" s="76"/>
      <c r="S115" s="77"/>
      <c r="T115" s="57"/>
      <c r="U115" s="31"/>
    </row>
    <row r="116" spans="1:21" x14ac:dyDescent="0.2">
      <c r="A116" s="315"/>
      <c r="B116" s="60" t="s">
        <v>281</v>
      </c>
      <c r="C116" s="320"/>
      <c r="D116" s="327"/>
      <c r="E116" s="327"/>
      <c r="F116" s="180"/>
      <c r="G116" s="180"/>
      <c r="H116" s="180"/>
      <c r="I116" s="86"/>
      <c r="J116" s="53">
        <f>SUMIF(Journals!D$14:D$920,TrialBalance!P116,Journals!J$14:J$920)+SUMIF(Journals!E$14:E$920,TrialBalance!P116,Journals!J$14:J$920)</f>
        <v>0</v>
      </c>
      <c r="K116" s="330"/>
      <c r="L116" s="332">
        <f t="shared" si="10"/>
        <v>0</v>
      </c>
      <c r="M116" s="81"/>
      <c r="N116" s="54">
        <f t="shared" si="8"/>
        <v>0</v>
      </c>
      <c r="P116" s="192" t="str">
        <f t="shared" si="12"/>
        <v>3000/180</v>
      </c>
      <c r="Q116" s="76"/>
      <c r="S116" s="77"/>
      <c r="T116" s="57"/>
      <c r="U116" s="31"/>
    </row>
    <row r="117" spans="1:21" x14ac:dyDescent="0.2">
      <c r="A117" s="315"/>
      <c r="B117" s="60" t="s">
        <v>282</v>
      </c>
      <c r="C117" s="320"/>
      <c r="D117" s="327"/>
      <c r="E117" s="327"/>
      <c r="F117" s="180"/>
      <c r="G117" s="180"/>
      <c r="H117" s="180"/>
      <c r="I117" s="86"/>
      <c r="J117" s="53">
        <f>SUMIF(Journals!D$14:D$920,TrialBalance!P117,Journals!J$14:J$920)+SUMIF(Journals!E$14:E$920,TrialBalance!P117,Journals!J$14:J$920)</f>
        <v>0</v>
      </c>
      <c r="K117" s="330"/>
      <c r="L117" s="332">
        <f t="shared" si="10"/>
        <v>0</v>
      </c>
      <c r="M117" s="81"/>
      <c r="N117" s="54">
        <f t="shared" si="8"/>
        <v>0</v>
      </c>
      <c r="P117" s="192" t="str">
        <f t="shared" si="12"/>
        <v>3000/190</v>
      </c>
      <c r="Q117" s="76"/>
      <c r="S117" s="77"/>
      <c r="T117" s="57"/>
      <c r="U117" s="31"/>
    </row>
    <row r="118" spans="1:21" x14ac:dyDescent="0.2">
      <c r="A118" s="315"/>
      <c r="B118" s="60" t="s">
        <v>283</v>
      </c>
      <c r="C118" s="320"/>
      <c r="D118" s="327"/>
      <c r="E118" s="327"/>
      <c r="F118" s="180"/>
      <c r="G118" s="180"/>
      <c r="H118" s="180"/>
      <c r="I118" s="86"/>
      <c r="J118" s="53">
        <f>SUMIF(Journals!D$14:D$920,TrialBalance!P118,Journals!J$14:J$920)+SUMIF(Journals!E$14:E$920,TrialBalance!P118,Journals!J$14:J$920)</f>
        <v>0</v>
      </c>
      <c r="K118" s="330"/>
      <c r="L118" s="332">
        <f t="shared" si="10"/>
        <v>0</v>
      </c>
      <c r="M118" s="81"/>
      <c r="N118" s="54">
        <f t="shared" si="8"/>
        <v>0</v>
      </c>
      <c r="P118" s="192" t="str">
        <f t="shared" si="12"/>
        <v>3000/200</v>
      </c>
      <c r="Q118" s="76"/>
      <c r="S118" s="77"/>
      <c r="T118" s="57"/>
      <c r="U118" s="31"/>
    </row>
    <row r="119" spans="1:21" x14ac:dyDescent="0.2">
      <c r="A119" s="315"/>
      <c r="B119" s="60" t="s">
        <v>284</v>
      </c>
      <c r="C119" s="320"/>
      <c r="D119" s="327"/>
      <c r="E119" s="327"/>
      <c r="F119" s="180"/>
      <c r="G119" s="180"/>
      <c r="H119" s="180"/>
      <c r="I119" s="86"/>
      <c r="J119" s="53">
        <f>SUMIF(Journals!D$14:D$920,TrialBalance!P119,Journals!J$14:J$920)+SUMIF(Journals!E$14:E$920,TrialBalance!P119,Journals!J$14:J$920)</f>
        <v>0</v>
      </c>
      <c r="K119" s="330"/>
      <c r="L119" s="332">
        <f t="shared" si="10"/>
        <v>0</v>
      </c>
      <c r="M119" s="81"/>
      <c r="N119" s="54">
        <f t="shared" si="8"/>
        <v>0</v>
      </c>
      <c r="P119" s="192" t="str">
        <f t="shared" si="12"/>
        <v>3000/210</v>
      </c>
      <c r="Q119" s="76"/>
      <c r="S119" s="77"/>
      <c r="T119" s="57"/>
      <c r="U119" s="31"/>
    </row>
    <row r="120" spans="1:21" x14ac:dyDescent="0.2">
      <c r="A120" s="315"/>
      <c r="B120" s="60" t="s">
        <v>285</v>
      </c>
      <c r="C120" s="320"/>
      <c r="D120" s="327"/>
      <c r="E120" s="327"/>
      <c r="F120" s="180"/>
      <c r="G120" s="180"/>
      <c r="H120" s="180"/>
      <c r="I120" s="86"/>
      <c r="J120" s="53">
        <f>SUMIF(Journals!D$14:D$920,TrialBalance!P120,Journals!J$14:J$920)+SUMIF(Journals!E$14:E$920,TrialBalance!P120,Journals!J$14:J$920)</f>
        <v>0</v>
      </c>
      <c r="K120" s="330"/>
      <c r="L120" s="332">
        <f t="shared" si="10"/>
        <v>0</v>
      </c>
      <c r="M120" s="81"/>
      <c r="N120" s="54">
        <f t="shared" si="8"/>
        <v>0</v>
      </c>
      <c r="P120" s="192" t="str">
        <f t="shared" si="12"/>
        <v>3000/220</v>
      </c>
      <c r="Q120" s="76"/>
      <c r="S120" s="77"/>
      <c r="T120" s="57"/>
      <c r="U120" s="31"/>
    </row>
    <row r="121" spans="1:21" x14ac:dyDescent="0.2">
      <c r="A121" s="315"/>
      <c r="B121" s="110" t="s">
        <v>506</v>
      </c>
      <c r="C121" s="320"/>
      <c r="D121" s="327"/>
      <c r="E121" s="327"/>
      <c r="F121" s="180"/>
      <c r="G121" s="180"/>
      <c r="H121" s="180"/>
      <c r="I121" s="86"/>
      <c r="J121" s="53">
        <f>SUMIF(Journals!D$14:D$920,TrialBalance!P121,Journals!J$14:J$920)+SUMIF(Journals!E$14:E$920,TrialBalance!P121,Journals!J$14:J$920)</f>
        <v>0</v>
      </c>
      <c r="K121" s="330"/>
      <c r="L121" s="332">
        <f t="shared" si="10"/>
        <v>0</v>
      </c>
      <c r="M121" s="81"/>
      <c r="N121" s="54">
        <f t="shared" si="8"/>
        <v>0</v>
      </c>
      <c r="P121" s="192" t="str">
        <f t="shared" si="12"/>
        <v>3000/230</v>
      </c>
      <c r="Q121" s="76"/>
      <c r="S121" s="77"/>
      <c r="T121" s="57"/>
      <c r="U121" s="31"/>
    </row>
    <row r="122" spans="1:21" x14ac:dyDescent="0.2">
      <c r="A122" s="315"/>
      <c r="B122" s="110" t="s">
        <v>507</v>
      </c>
      <c r="C122" s="320"/>
      <c r="D122" s="327"/>
      <c r="E122" s="327"/>
      <c r="F122" s="180"/>
      <c r="G122" s="180"/>
      <c r="H122" s="180"/>
      <c r="I122" s="86"/>
      <c r="J122" s="53">
        <f>SUMIF(Journals!D$14:D$920,TrialBalance!P122,Journals!J$14:J$920)+SUMIF(Journals!E$14:E$920,TrialBalance!P122,Journals!J$14:J$920)</f>
        <v>0</v>
      </c>
      <c r="K122" s="330"/>
      <c r="L122" s="332">
        <f t="shared" si="10"/>
        <v>0</v>
      </c>
      <c r="M122" s="81"/>
      <c r="N122" s="54">
        <f t="shared" si="8"/>
        <v>0</v>
      </c>
      <c r="P122" s="192" t="str">
        <f t="shared" si="12"/>
        <v>3000/240</v>
      </c>
      <c r="Q122" s="76"/>
      <c r="S122" s="77"/>
      <c r="T122" s="57"/>
      <c r="U122" s="31"/>
    </row>
    <row r="123" spans="1:21" x14ac:dyDescent="0.2">
      <c r="A123" s="315"/>
      <c r="B123" s="110" t="s">
        <v>508</v>
      </c>
      <c r="C123" s="320"/>
      <c r="D123" s="327"/>
      <c r="E123" s="327"/>
      <c r="F123" s="180"/>
      <c r="G123" s="180"/>
      <c r="H123" s="180"/>
      <c r="I123" s="86"/>
      <c r="J123" s="53">
        <f>SUMIF(Journals!D$14:D$920,TrialBalance!P123,Journals!J$14:J$920)+SUMIF(Journals!E$14:E$920,TrialBalance!P123,Journals!J$14:J$920)</f>
        <v>0</v>
      </c>
      <c r="K123" s="330"/>
      <c r="L123" s="332">
        <f t="shared" ref="L123:L212" si="13">ROUND(D123-E123+F123+G123+H123+J123+I123,0)</f>
        <v>0</v>
      </c>
      <c r="M123" s="81"/>
      <c r="N123" s="54">
        <f>ROUND(SUM(A123),0)</f>
        <v>0</v>
      </c>
      <c r="P123" s="192" t="str">
        <f t="shared" si="12"/>
        <v>3000/250</v>
      </c>
      <c r="Q123" s="76"/>
      <c r="S123" s="77"/>
      <c r="T123" s="57"/>
      <c r="U123" s="31"/>
    </row>
    <row r="124" spans="1:21" x14ac:dyDescent="0.2">
      <c r="A124" s="315"/>
      <c r="B124" s="110" t="s">
        <v>509</v>
      </c>
      <c r="C124" s="320"/>
      <c r="D124" s="327"/>
      <c r="E124" s="327"/>
      <c r="F124" s="180"/>
      <c r="G124" s="180"/>
      <c r="H124" s="180"/>
      <c r="I124" s="86"/>
      <c r="J124" s="53">
        <f>SUMIF(Journals!D$14:D$920,TrialBalance!P124,Journals!J$14:J$920)+SUMIF(Journals!E$14:E$920,TrialBalance!P124,Journals!J$14:J$920)</f>
        <v>0</v>
      </c>
      <c r="K124" s="330"/>
      <c r="L124" s="332">
        <f t="shared" si="13"/>
        <v>0</v>
      </c>
      <c r="M124" s="81"/>
      <c r="N124" s="54">
        <f>ROUND(SUM(A124),0)</f>
        <v>0</v>
      </c>
      <c r="P124" s="192" t="str">
        <f t="shared" si="12"/>
        <v>3000/260</v>
      </c>
      <c r="Q124" s="76"/>
      <c r="S124" s="77"/>
      <c r="T124" s="57"/>
      <c r="U124" s="31"/>
    </row>
    <row r="125" spans="1:21" x14ac:dyDescent="0.2">
      <c r="A125" s="315"/>
      <c r="B125" s="110" t="s">
        <v>510</v>
      </c>
      <c r="C125" s="318" t="s">
        <v>1056</v>
      </c>
      <c r="D125" s="327"/>
      <c r="E125" s="327"/>
      <c r="F125" s="180"/>
      <c r="G125" s="180"/>
      <c r="H125" s="180"/>
      <c r="I125" s="86"/>
      <c r="J125" s="53">
        <f>SUMIF(Journals!D$14:D$920,TrialBalance!P125,Journals!J$14:J$920)+SUMIF(Journals!E$14:E$920,TrialBalance!P125,Journals!J$14:J$920)</f>
        <v>0</v>
      </c>
      <c r="K125" s="330"/>
      <c r="L125" s="332">
        <f>ROUND(D125-E125+F125+G125+H125+J125+I125,0)</f>
        <v>0</v>
      </c>
      <c r="M125" s="81"/>
      <c r="N125" s="54">
        <f>ROUND(SUM(A125),0)</f>
        <v>0</v>
      </c>
      <c r="P125" s="192" t="str">
        <f t="shared" si="12"/>
        <v>3000/270Amortisation of prepaid lease agreement</v>
      </c>
      <c r="Q125" s="76"/>
      <c r="S125" s="77"/>
      <c r="T125" s="57"/>
      <c r="U125" s="31"/>
    </row>
    <row r="126" spans="1:21" x14ac:dyDescent="0.2">
      <c r="A126" s="315"/>
      <c r="B126" s="110" t="s">
        <v>1082</v>
      </c>
      <c r="C126" s="319" t="s">
        <v>1083</v>
      </c>
      <c r="D126" s="327"/>
      <c r="E126" s="327"/>
      <c r="F126" s="180"/>
      <c r="G126" s="180"/>
      <c r="H126" s="180"/>
      <c r="I126" s="86"/>
      <c r="J126" s="53">
        <f>SUMIF(Journals!D$14:D$920,TrialBalance!P126,Journals!J$14:J$920)+SUMIF(Journals!E$14:E$920,TrialBalance!P126,Journals!J$14:J$920)</f>
        <v>0</v>
      </c>
      <c r="K126" s="330"/>
      <c r="L126" s="332">
        <f>ROUND(D126-E126+F126+G126+H126+J126+I126,0)</f>
        <v>0</v>
      </c>
      <c r="M126" s="81"/>
      <c r="N126" s="54">
        <f>ROUND(SUM(A126),0)</f>
        <v>0</v>
      </c>
      <c r="P126" s="192" t="str">
        <f t="shared" ref="P126" si="14">CONCATENATE(B126,C126)</f>
        <v>3000/280Amortisation of goodwill</v>
      </c>
      <c r="Q126" s="76"/>
      <c r="S126" s="77"/>
      <c r="T126" s="57"/>
      <c r="U126" s="31"/>
    </row>
    <row r="127" spans="1:21" x14ac:dyDescent="0.2">
      <c r="A127" s="315"/>
      <c r="B127" s="110" t="s">
        <v>967</v>
      </c>
      <c r="C127" s="316" t="s">
        <v>123</v>
      </c>
      <c r="D127" s="326"/>
      <c r="E127" s="327"/>
      <c r="F127" s="180"/>
      <c r="G127" s="180"/>
      <c r="H127" s="180"/>
      <c r="I127" s="86"/>
      <c r="J127" s="53">
        <f>SUMIF(Journals!D$14:D$920,TrialBalance!P127,Journals!J$14:J$920)+SUMIF(Journals!E$14:E$920,TrialBalance!P127,Journals!J$14:J$920)</f>
        <v>0</v>
      </c>
      <c r="K127" s="330"/>
      <c r="L127" s="332">
        <f>ROUND(D127-E127+F127+G127+H127+J127+I127,0)</f>
        <v>0</v>
      </c>
      <c r="M127" s="81"/>
      <c r="N127" s="54">
        <f>ROUND(SUM(A127),0)</f>
        <v>0</v>
      </c>
      <c r="P127" s="192" t="str">
        <f>CONCATENATE(B127,C127)</f>
        <v>3500/000FINANCE COSTS</v>
      </c>
      <c r="Q127" s="76"/>
      <c r="S127" s="77"/>
      <c r="T127" s="57"/>
      <c r="U127" s="31"/>
    </row>
    <row r="128" spans="1:21" x14ac:dyDescent="0.2">
      <c r="A128" s="315"/>
      <c r="B128" s="110" t="s">
        <v>968</v>
      </c>
      <c r="C128" s="316" t="s">
        <v>594</v>
      </c>
      <c r="D128" s="326"/>
      <c r="E128" s="327"/>
      <c r="F128" s="180"/>
      <c r="G128" s="180"/>
      <c r="H128" s="180"/>
      <c r="I128" s="86"/>
      <c r="J128" s="53">
        <f>SUMIF(Journals!D$14:D$920,TrialBalance!P128,Journals!J$14:J$920)+SUMIF(Journals!E$14:E$920,TrialBalance!P128,Journals!J$14:J$920)</f>
        <v>0</v>
      </c>
      <c r="K128" s="330"/>
      <c r="L128" s="332">
        <f t="shared" ref="L128:L140" si="15">ROUND(D128-E128+F128+G128+H128+J128+I128,0)</f>
        <v>0</v>
      </c>
      <c r="M128" s="81"/>
      <c r="N128" s="54">
        <f t="shared" ref="N128:N140" si="16">ROUND(SUM(A128),0)</f>
        <v>0</v>
      </c>
      <c r="P128" s="192" t="str">
        <f t="shared" ref="P128:P140" si="17">CONCATENATE(B128,C128)</f>
        <v>3500/010Interest paid--------------------------------</v>
      </c>
      <c r="Q128" s="76"/>
      <c r="S128" s="77"/>
      <c r="T128" s="57"/>
      <c r="U128" s="31"/>
    </row>
    <row r="129" spans="1:21" x14ac:dyDescent="0.2">
      <c r="A129" s="315"/>
      <c r="B129" s="110" t="s">
        <v>969</v>
      </c>
      <c r="C129" s="320"/>
      <c r="D129" s="326"/>
      <c r="E129" s="327"/>
      <c r="F129" s="180"/>
      <c r="G129" s="180"/>
      <c r="H129" s="180"/>
      <c r="I129" s="86"/>
      <c r="J129" s="53">
        <f>SUMIF(Journals!D$14:D$920,TrialBalance!P129,Journals!J$14:J$920)+SUMIF(Journals!E$14:E$920,TrialBalance!P129,Journals!J$14:J$920)</f>
        <v>0</v>
      </c>
      <c r="K129" s="330"/>
      <c r="L129" s="332">
        <f t="shared" si="15"/>
        <v>0</v>
      </c>
      <c r="M129" s="81"/>
      <c r="N129" s="54">
        <f t="shared" si="16"/>
        <v>0</v>
      </c>
      <c r="P129" s="192" t="str">
        <f t="shared" si="17"/>
        <v>3500/011</v>
      </c>
      <c r="Q129" s="76"/>
      <c r="S129" s="77"/>
      <c r="T129" s="57"/>
      <c r="U129" s="31"/>
    </row>
    <row r="130" spans="1:21" x14ac:dyDescent="0.2">
      <c r="A130" s="315"/>
      <c r="B130" s="110" t="s">
        <v>970</v>
      </c>
      <c r="C130" s="320"/>
      <c r="D130" s="327"/>
      <c r="E130" s="327"/>
      <c r="F130" s="180"/>
      <c r="G130" s="180"/>
      <c r="H130" s="180"/>
      <c r="I130" s="86"/>
      <c r="J130" s="53">
        <f>SUMIF(Journals!D$14:D$920,TrialBalance!P130,Journals!J$14:J$920)+SUMIF(Journals!E$14:E$920,TrialBalance!P130,Journals!J$14:J$920)</f>
        <v>0</v>
      </c>
      <c r="K130" s="330"/>
      <c r="L130" s="332">
        <f t="shared" si="15"/>
        <v>0</v>
      </c>
      <c r="M130" s="81"/>
      <c r="N130" s="54">
        <f t="shared" si="16"/>
        <v>0</v>
      </c>
      <c r="P130" s="192" t="str">
        <f t="shared" si="17"/>
        <v>3500/012</v>
      </c>
      <c r="Q130" s="76"/>
      <c r="S130" s="77"/>
      <c r="T130" s="57"/>
      <c r="U130" s="31"/>
    </row>
    <row r="131" spans="1:21" x14ac:dyDescent="0.2">
      <c r="A131" s="315"/>
      <c r="B131" s="110" t="s">
        <v>971</v>
      </c>
      <c r="C131" s="320"/>
      <c r="D131" s="327"/>
      <c r="E131" s="327"/>
      <c r="F131" s="180"/>
      <c r="G131" s="180"/>
      <c r="H131" s="180"/>
      <c r="I131" s="86"/>
      <c r="J131" s="53">
        <f>SUMIF(Journals!D$14:D$920,TrialBalance!P131,Journals!J$14:J$920)+SUMIF(Journals!E$14:E$920,TrialBalance!P131,Journals!J$14:J$920)</f>
        <v>0</v>
      </c>
      <c r="K131" s="330"/>
      <c r="L131" s="332">
        <f t="shared" si="15"/>
        <v>0</v>
      </c>
      <c r="M131" s="81"/>
      <c r="N131" s="54">
        <f t="shared" si="16"/>
        <v>0</v>
      </c>
      <c r="P131" s="192" t="str">
        <f t="shared" si="17"/>
        <v>3500/013</v>
      </c>
      <c r="Q131" s="76"/>
      <c r="S131" s="77"/>
      <c r="T131" s="57"/>
      <c r="U131" s="31"/>
    </row>
    <row r="132" spans="1:21" x14ac:dyDescent="0.2">
      <c r="A132" s="315"/>
      <c r="B132" s="110" t="s">
        <v>972</v>
      </c>
      <c r="C132" s="320"/>
      <c r="D132" s="327"/>
      <c r="E132" s="327"/>
      <c r="F132" s="180"/>
      <c r="G132" s="180"/>
      <c r="H132" s="180"/>
      <c r="I132" s="86"/>
      <c r="J132" s="53">
        <f>SUMIF(Journals!D$14:D$920,TrialBalance!P132,Journals!J$14:J$920)+SUMIF(Journals!E$14:E$920,TrialBalance!P132,Journals!J$14:J$920)</f>
        <v>0</v>
      </c>
      <c r="K132" s="330"/>
      <c r="L132" s="332">
        <f t="shared" si="15"/>
        <v>0</v>
      </c>
      <c r="M132" s="81"/>
      <c r="N132" s="54">
        <f t="shared" si="16"/>
        <v>0</v>
      </c>
      <c r="P132" s="192" t="str">
        <f t="shared" si="17"/>
        <v>3500/014</v>
      </c>
      <c r="Q132" s="76"/>
      <c r="S132" s="77"/>
      <c r="T132" s="57"/>
      <c r="U132" s="31"/>
    </row>
    <row r="133" spans="1:21" x14ac:dyDescent="0.2">
      <c r="A133" s="315"/>
      <c r="B133" s="110" t="s">
        <v>973</v>
      </c>
      <c r="C133" s="320"/>
      <c r="D133" s="327"/>
      <c r="E133" s="327"/>
      <c r="F133" s="180"/>
      <c r="G133" s="180"/>
      <c r="H133" s="180"/>
      <c r="I133" s="86"/>
      <c r="J133" s="53">
        <f>SUMIF(Journals!D$14:D$920,TrialBalance!P133,Journals!J$14:J$920)+SUMIF(Journals!E$14:E$920,TrialBalance!P133,Journals!J$14:J$920)</f>
        <v>0</v>
      </c>
      <c r="K133" s="330"/>
      <c r="L133" s="332">
        <f t="shared" si="15"/>
        <v>0</v>
      </c>
      <c r="M133" s="81"/>
      <c r="N133" s="54">
        <f t="shared" si="16"/>
        <v>0</v>
      </c>
      <c r="P133" s="192" t="str">
        <f t="shared" si="17"/>
        <v>3500/015</v>
      </c>
      <c r="Q133" s="76"/>
      <c r="S133" s="77"/>
      <c r="T133" s="57"/>
      <c r="U133" s="31"/>
    </row>
    <row r="134" spans="1:21" x14ac:dyDescent="0.2">
      <c r="A134" s="315"/>
      <c r="B134" s="110" t="s">
        <v>974</v>
      </c>
      <c r="C134" s="320"/>
      <c r="D134" s="327"/>
      <c r="E134" s="327"/>
      <c r="F134" s="180"/>
      <c r="G134" s="180"/>
      <c r="H134" s="180"/>
      <c r="I134" s="86"/>
      <c r="J134" s="53">
        <f>SUMIF(Journals!D$14:D$920,TrialBalance!P134,Journals!J$14:J$920)+SUMIF(Journals!E$14:E$920,TrialBalance!P134,Journals!J$14:J$920)</f>
        <v>0</v>
      </c>
      <c r="K134" s="330"/>
      <c r="L134" s="332">
        <f t="shared" si="15"/>
        <v>0</v>
      </c>
      <c r="M134" s="81"/>
      <c r="N134" s="54">
        <f t="shared" si="16"/>
        <v>0</v>
      </c>
      <c r="P134" s="192" t="str">
        <f t="shared" si="17"/>
        <v>3500/016</v>
      </c>
      <c r="Q134" s="76"/>
      <c r="S134" s="77"/>
      <c r="T134" s="57"/>
      <c r="U134" s="31"/>
    </row>
    <row r="135" spans="1:21" x14ac:dyDescent="0.2">
      <c r="A135" s="315"/>
      <c r="B135" s="110" t="s">
        <v>975</v>
      </c>
      <c r="C135" s="320"/>
      <c r="D135" s="327"/>
      <c r="E135" s="327"/>
      <c r="F135" s="180"/>
      <c r="G135" s="180"/>
      <c r="H135" s="180"/>
      <c r="I135" s="86"/>
      <c r="J135" s="53">
        <f>SUMIF(Journals!D$14:D$920,TrialBalance!P135,Journals!J$14:J$920)+SUMIF(Journals!E$14:E$920,TrialBalance!P135,Journals!J$14:J$920)</f>
        <v>0</v>
      </c>
      <c r="K135" s="330"/>
      <c r="L135" s="332">
        <f t="shared" si="15"/>
        <v>0</v>
      </c>
      <c r="M135" s="81"/>
      <c r="N135" s="54">
        <f t="shared" si="16"/>
        <v>0</v>
      </c>
      <c r="P135" s="192" t="str">
        <f t="shared" si="17"/>
        <v>3500/017</v>
      </c>
      <c r="Q135" s="76"/>
      <c r="S135" s="77"/>
      <c r="T135" s="57"/>
      <c r="U135" s="31"/>
    </row>
    <row r="136" spans="1:21" x14ac:dyDescent="0.2">
      <c r="A136" s="315"/>
      <c r="B136" s="110" t="s">
        <v>976</v>
      </c>
      <c r="C136" s="320"/>
      <c r="D136" s="327"/>
      <c r="E136" s="327"/>
      <c r="F136" s="180"/>
      <c r="G136" s="180"/>
      <c r="H136" s="180"/>
      <c r="I136" s="86"/>
      <c r="J136" s="53">
        <f>SUMIF(Journals!D$14:D$920,TrialBalance!P136,Journals!J$14:J$920)+SUMIF(Journals!E$14:E$920,TrialBalance!P136,Journals!J$14:J$920)</f>
        <v>0</v>
      </c>
      <c r="K136" s="330"/>
      <c r="L136" s="332">
        <f t="shared" si="15"/>
        <v>0</v>
      </c>
      <c r="M136" s="81"/>
      <c r="N136" s="54">
        <f t="shared" si="16"/>
        <v>0</v>
      </c>
      <c r="P136" s="192" t="str">
        <f t="shared" si="17"/>
        <v>3500/018</v>
      </c>
      <c r="Q136" s="76"/>
      <c r="S136" s="77"/>
      <c r="T136" s="57"/>
      <c r="U136" s="31"/>
    </row>
    <row r="137" spans="1:21" x14ac:dyDescent="0.2">
      <c r="A137" s="315"/>
      <c r="B137" s="110" t="s">
        <v>977</v>
      </c>
      <c r="C137" s="320"/>
      <c r="D137" s="327"/>
      <c r="E137" s="327"/>
      <c r="F137" s="180"/>
      <c r="G137" s="180"/>
      <c r="H137" s="180"/>
      <c r="I137" s="86"/>
      <c r="J137" s="53">
        <f>SUMIF(Journals!D$14:D$920,TrialBalance!P137,Journals!J$14:J$920)+SUMIF(Journals!E$14:E$920,TrialBalance!P137,Journals!J$14:J$920)</f>
        <v>0</v>
      </c>
      <c r="K137" s="330"/>
      <c r="L137" s="332">
        <f t="shared" si="15"/>
        <v>0</v>
      </c>
      <c r="M137" s="81"/>
      <c r="N137" s="54">
        <f t="shared" si="16"/>
        <v>0</v>
      </c>
      <c r="P137" s="192" t="str">
        <f t="shared" si="17"/>
        <v>3500/019</v>
      </c>
      <c r="Q137" s="76"/>
      <c r="S137" s="77"/>
      <c r="T137" s="57"/>
      <c r="U137" s="31"/>
    </row>
    <row r="138" spans="1:21" x14ac:dyDescent="0.2">
      <c r="A138" s="315"/>
      <c r="B138" s="110" t="s">
        <v>978</v>
      </c>
      <c r="C138" s="320"/>
      <c r="D138" s="326"/>
      <c r="E138" s="327"/>
      <c r="F138" s="180"/>
      <c r="G138" s="180"/>
      <c r="H138" s="180"/>
      <c r="I138" s="86"/>
      <c r="J138" s="53">
        <f>SUMIF(Journals!D$14:D$920,TrialBalance!P138,Journals!J$14:J$920)+SUMIF(Journals!E$14:E$920,TrialBalance!P138,Journals!J$14:J$920)</f>
        <v>0</v>
      </c>
      <c r="K138" s="330"/>
      <c r="L138" s="332">
        <f t="shared" si="15"/>
        <v>0</v>
      </c>
      <c r="M138" s="81"/>
      <c r="N138" s="54">
        <f t="shared" si="16"/>
        <v>0</v>
      </c>
      <c r="P138" s="192" t="str">
        <f t="shared" si="17"/>
        <v>3500/020</v>
      </c>
      <c r="Q138" s="76"/>
      <c r="S138" s="77"/>
      <c r="T138" s="57"/>
      <c r="U138" s="31"/>
    </row>
    <row r="139" spans="1:21" x14ac:dyDescent="0.2">
      <c r="A139" s="315"/>
      <c r="B139" s="110" t="s">
        <v>979</v>
      </c>
      <c r="C139" s="317" t="str">
        <f>IF(Criteria!H13=0,"Interest on finance leases",IF(Criteria!H14=0,"Interest on finance leases",CONCATENATE("Interest on finance leases - ",Criteria!H13)))</f>
        <v>Interest on finance leases - Rental Properties</v>
      </c>
      <c r="D139" s="326"/>
      <c r="E139" s="327"/>
      <c r="F139" s="180"/>
      <c r="G139" s="180"/>
      <c r="H139" s="180"/>
      <c r="I139" s="86"/>
      <c r="J139" s="53">
        <f>SUMIF(Journals!D$14:D$920,TrialBalance!P139,Journals!J$14:J$920)+SUMIF(Journals!E$14:E$920,TrialBalance!P139,Journals!J$14:J$920)</f>
        <v>0</v>
      </c>
      <c r="K139" s="330"/>
      <c r="L139" s="332">
        <f t="shared" si="15"/>
        <v>0</v>
      </c>
      <c r="M139" s="81"/>
      <c r="N139" s="54">
        <f t="shared" si="16"/>
        <v>0</v>
      </c>
      <c r="P139" s="192" t="str">
        <f t="shared" si="17"/>
        <v>3500/021Interest on finance leases - Rental Properties</v>
      </c>
      <c r="Q139" s="76"/>
      <c r="S139" s="77"/>
      <c r="T139" s="57"/>
      <c r="U139" s="31"/>
    </row>
    <row r="140" spans="1:21" x14ac:dyDescent="0.2">
      <c r="A140" s="315"/>
      <c r="B140" s="110" t="s">
        <v>980</v>
      </c>
      <c r="C140" s="316" t="s">
        <v>348</v>
      </c>
      <c r="D140" s="327"/>
      <c r="E140" s="327"/>
      <c r="F140" s="180"/>
      <c r="G140" s="180"/>
      <c r="H140" s="180"/>
      <c r="I140" s="86"/>
      <c r="J140" s="53">
        <f>SUMIF(Journals!D$14:D$920,TrialBalance!P140,Journals!J$14:J$920)+SUMIF(Journals!E$14:E$920,TrialBalance!P140,Journals!J$14:J$920)</f>
        <v>0</v>
      </c>
      <c r="K140" s="330"/>
      <c r="L140" s="332">
        <f t="shared" si="15"/>
        <v>0</v>
      </c>
      <c r="M140" s="81"/>
      <c r="N140" s="54">
        <f t="shared" si="16"/>
        <v>0</v>
      </c>
      <c r="P140" s="192" t="str">
        <f t="shared" si="17"/>
        <v>3550/000OTHER</v>
      </c>
      <c r="Q140" s="76"/>
      <c r="S140" s="77"/>
      <c r="T140" s="57"/>
      <c r="U140" s="31"/>
    </row>
    <row r="141" spans="1:21" x14ac:dyDescent="0.2">
      <c r="A141" s="315"/>
      <c r="B141" s="110" t="s">
        <v>981</v>
      </c>
      <c r="C141" s="318" t="s">
        <v>1081</v>
      </c>
      <c r="D141" s="326"/>
      <c r="E141" s="327"/>
      <c r="F141" s="180"/>
      <c r="G141" s="180"/>
      <c r="H141" s="180"/>
      <c r="I141" s="86"/>
      <c r="J141" s="53">
        <f>SUMIF(Journals!D$14:D$920,TrialBalance!P141,Journals!J$14:J$920)+SUMIF(Journals!E$14:E$920,TrialBalance!P141,Journals!J$14:J$920)</f>
        <v>0</v>
      </c>
      <c r="K141" s="330"/>
      <c r="L141" s="332">
        <f>ROUND(D141-E141+F141+G141+H141+J141+I141,0)</f>
        <v>0</v>
      </c>
      <c r="M141" s="81"/>
      <c r="N141" s="54">
        <f>ROUND(SUM(A141),0)</f>
        <v>0</v>
      </c>
      <c r="P141" s="192" t="str">
        <f>CONCATENATE(B141,C141)</f>
        <v>3550/010Impairment losses</v>
      </c>
      <c r="Q141" s="76"/>
      <c r="S141" s="77"/>
      <c r="T141" s="57"/>
      <c r="U141" s="31"/>
    </row>
    <row r="142" spans="1:21" x14ac:dyDescent="0.2">
      <c r="A142" s="315"/>
      <c r="B142" s="110" t="s">
        <v>950</v>
      </c>
      <c r="C142" s="321" t="s">
        <v>951</v>
      </c>
      <c r="D142" s="327"/>
      <c r="E142" s="327"/>
      <c r="F142" s="180"/>
      <c r="G142" s="180"/>
      <c r="H142" s="180"/>
      <c r="I142" s="86"/>
      <c r="J142" s="53">
        <f>SUMIF(Journals!D$14:D$920,TrialBalance!P142,Journals!J$14:J$920)+SUMIF(Journals!E$14:E$920,TrialBalance!P142,Journals!J$14:J$920)</f>
        <v>0</v>
      </c>
      <c r="K142" s="330"/>
      <c r="L142" s="332">
        <f>ROUND(D142-E142+F142+G142+H142+J142+I142,0)</f>
        <v>0</v>
      </c>
      <c r="M142" s="81"/>
      <c r="N142" s="54">
        <f>ROUND(SUM(A142),0)</f>
        <v>0</v>
      </c>
      <c r="P142" s="192" t="str">
        <f>CONCATENATE(B142,C142)</f>
        <v>4000/000INCOME (OTHER THAN TRADING)</v>
      </c>
      <c r="Q142" s="76"/>
      <c r="S142" s="77"/>
      <c r="T142" s="57"/>
      <c r="U142" s="31"/>
    </row>
    <row r="143" spans="1:21" x14ac:dyDescent="0.2">
      <c r="A143" s="315"/>
      <c r="B143" s="110" t="s">
        <v>952</v>
      </c>
      <c r="C143" s="316" t="s">
        <v>766</v>
      </c>
      <c r="D143" s="326"/>
      <c r="E143" s="327"/>
      <c r="F143" s="180"/>
      <c r="G143" s="180"/>
      <c r="H143" s="180"/>
      <c r="I143" s="86"/>
      <c r="J143" s="53">
        <f>SUMIF(Journals!D$14:D$920,TrialBalance!P143,Journals!J$14:J$920)+SUMIF(Journals!E$14:E$920,TrialBalance!P143,Journals!J$14:J$920)</f>
        <v>0</v>
      </c>
      <c r="K143" s="330"/>
      <c r="L143" s="332">
        <f t="shared" ref="L143:L170" si="18">ROUND(D143-E143+F143+G143+H143+J143+I143,0)</f>
        <v>0</v>
      </c>
      <c r="M143" s="81"/>
      <c r="N143" s="54">
        <f t="shared" ref="N143:N170" si="19">ROUND(SUM(A143),0)</f>
        <v>0</v>
      </c>
      <c r="P143" s="192" t="str">
        <f t="shared" ref="P143:P170" si="20">CONCATENATE(B143,C143)</f>
        <v>4100/000Interest received--------------------------</v>
      </c>
      <c r="Q143" s="76"/>
      <c r="S143" s="77"/>
      <c r="T143" s="57"/>
      <c r="U143" s="31"/>
    </row>
    <row r="144" spans="1:21" x14ac:dyDescent="0.2">
      <c r="A144" s="315"/>
      <c r="B144" s="110" t="s">
        <v>953</v>
      </c>
      <c r="C144" s="320"/>
      <c r="D144" s="327"/>
      <c r="E144" s="327"/>
      <c r="F144" s="180"/>
      <c r="G144" s="180"/>
      <c r="H144" s="180"/>
      <c r="I144" s="86"/>
      <c r="J144" s="53">
        <f>SUMIF(Journals!D$14:D$920,TrialBalance!P144,Journals!J$14:J$920)+SUMIF(Journals!E$14:E$920,TrialBalance!P144,Journals!J$14:J$920)</f>
        <v>0</v>
      </c>
      <c r="K144" s="330"/>
      <c r="L144" s="332">
        <f t="shared" si="18"/>
        <v>0</v>
      </c>
      <c r="M144" s="81"/>
      <c r="N144" s="54">
        <f t="shared" si="19"/>
        <v>0</v>
      </c>
      <c r="P144" s="192" t="str">
        <f t="shared" si="20"/>
        <v>4100/001</v>
      </c>
      <c r="Q144" s="76"/>
      <c r="S144" s="77"/>
      <c r="T144" s="57"/>
      <c r="U144" s="31"/>
    </row>
    <row r="145" spans="1:21" x14ac:dyDescent="0.2">
      <c r="A145" s="315"/>
      <c r="B145" s="110" t="s">
        <v>954</v>
      </c>
      <c r="C145" s="320"/>
      <c r="D145" s="327"/>
      <c r="E145" s="327"/>
      <c r="F145" s="180"/>
      <c r="G145" s="180"/>
      <c r="H145" s="180"/>
      <c r="I145" s="86"/>
      <c r="J145" s="53">
        <f>SUMIF(Journals!D$14:D$920,TrialBalance!P145,Journals!J$14:J$920)+SUMIF(Journals!E$14:E$920,TrialBalance!P145,Journals!J$14:J$920)</f>
        <v>0</v>
      </c>
      <c r="K145" s="330"/>
      <c r="L145" s="332">
        <f t="shared" si="18"/>
        <v>0</v>
      </c>
      <c r="M145" s="81"/>
      <c r="N145" s="54">
        <f t="shared" si="19"/>
        <v>0</v>
      </c>
      <c r="P145" s="192" t="str">
        <f t="shared" si="20"/>
        <v>4100/002</v>
      </c>
      <c r="Q145" s="76"/>
      <c r="S145" s="77"/>
      <c r="T145" s="57"/>
      <c r="U145" s="31"/>
    </row>
    <row r="146" spans="1:21" x14ac:dyDescent="0.2">
      <c r="A146" s="315"/>
      <c r="B146" s="110" t="s">
        <v>955</v>
      </c>
      <c r="C146" s="320"/>
      <c r="D146" s="326"/>
      <c r="E146" s="327"/>
      <c r="F146" s="180"/>
      <c r="G146" s="180"/>
      <c r="H146" s="180"/>
      <c r="I146" s="86"/>
      <c r="J146" s="53">
        <f>SUMIF(Journals!D$14:D$920,TrialBalance!P146,Journals!J$14:J$920)+SUMIF(Journals!E$14:E$920,TrialBalance!P146,Journals!J$14:J$920)</f>
        <v>0</v>
      </c>
      <c r="K146" s="330"/>
      <c r="L146" s="332">
        <f t="shared" si="18"/>
        <v>0</v>
      </c>
      <c r="M146" s="81"/>
      <c r="N146" s="54">
        <f t="shared" si="19"/>
        <v>0</v>
      </c>
      <c r="P146" s="192" t="str">
        <f t="shared" si="20"/>
        <v>4100/003</v>
      </c>
      <c r="Q146" s="76"/>
      <c r="S146" s="77"/>
      <c r="T146" s="57"/>
      <c r="U146" s="31"/>
    </row>
    <row r="147" spans="1:21" x14ac:dyDescent="0.2">
      <c r="A147" s="315"/>
      <c r="B147" s="110" t="s">
        <v>956</v>
      </c>
      <c r="C147" s="320"/>
      <c r="D147" s="326"/>
      <c r="E147" s="327"/>
      <c r="F147" s="180"/>
      <c r="G147" s="180"/>
      <c r="H147" s="180"/>
      <c r="I147" s="86"/>
      <c r="J147" s="53">
        <f>SUMIF(Journals!D$14:D$920,TrialBalance!P147,Journals!J$14:J$920)+SUMIF(Journals!E$14:E$920,TrialBalance!P147,Journals!J$14:J$920)</f>
        <v>0</v>
      </c>
      <c r="K147" s="330"/>
      <c r="L147" s="332">
        <f t="shared" si="18"/>
        <v>0</v>
      </c>
      <c r="M147" s="81"/>
      <c r="N147" s="54">
        <f t="shared" si="19"/>
        <v>0</v>
      </c>
      <c r="P147" s="192" t="str">
        <f t="shared" si="20"/>
        <v>4100/004</v>
      </c>
      <c r="Q147" s="76"/>
      <c r="S147" s="77"/>
      <c r="T147" s="57"/>
      <c r="U147" s="31"/>
    </row>
    <row r="148" spans="1:21" x14ac:dyDescent="0.2">
      <c r="A148" s="315"/>
      <c r="B148" s="110" t="s">
        <v>997</v>
      </c>
      <c r="C148" s="320"/>
      <c r="D148" s="326"/>
      <c r="E148" s="327"/>
      <c r="F148" s="180"/>
      <c r="G148" s="180"/>
      <c r="H148" s="180"/>
      <c r="I148" s="86"/>
      <c r="J148" s="53">
        <f>SUMIF(Journals!D$14:D$920,TrialBalance!P148,Journals!J$14:J$920)+SUMIF(Journals!E$14:E$920,TrialBalance!P148,Journals!J$14:J$920)</f>
        <v>0</v>
      </c>
      <c r="K148" s="330"/>
      <c r="L148" s="332">
        <f t="shared" ref="L148:L151" si="21">ROUND(D148-E148+F148+G148+H148+J148+I148,0)</f>
        <v>0</v>
      </c>
      <c r="M148" s="81"/>
      <c r="N148" s="54">
        <f t="shared" ref="N148:N151" si="22">ROUND(SUM(A148),0)</f>
        <v>0</v>
      </c>
      <c r="P148" s="192" t="str">
        <f t="shared" ref="P148:P151" si="23">CONCATENATE(B148,C148)</f>
        <v>4100/005</v>
      </c>
      <c r="Q148" s="76"/>
      <c r="S148" s="77"/>
      <c r="T148" s="57"/>
      <c r="U148" s="31"/>
    </row>
    <row r="149" spans="1:21" x14ac:dyDescent="0.2">
      <c r="A149" s="315"/>
      <c r="B149" s="110" t="s">
        <v>998</v>
      </c>
      <c r="C149" s="320"/>
      <c r="D149" s="326"/>
      <c r="E149" s="327"/>
      <c r="F149" s="180"/>
      <c r="G149" s="180"/>
      <c r="H149" s="180"/>
      <c r="I149" s="86"/>
      <c r="J149" s="53">
        <f>SUMIF(Journals!D$14:D$920,TrialBalance!P149,Journals!J$14:J$920)+SUMIF(Journals!E$14:E$920,TrialBalance!P149,Journals!J$14:J$920)</f>
        <v>0</v>
      </c>
      <c r="K149" s="330"/>
      <c r="L149" s="332">
        <f t="shared" si="21"/>
        <v>0</v>
      </c>
      <c r="M149" s="81"/>
      <c r="N149" s="54">
        <f t="shared" si="22"/>
        <v>0</v>
      </c>
      <c r="P149" s="192" t="str">
        <f t="shared" si="23"/>
        <v>4100/006</v>
      </c>
      <c r="Q149" s="76"/>
      <c r="S149" s="77"/>
      <c r="T149" s="57"/>
      <c r="U149" s="31"/>
    </row>
    <row r="150" spans="1:21" x14ac:dyDescent="0.2">
      <c r="A150" s="315"/>
      <c r="B150" s="110" t="s">
        <v>999</v>
      </c>
      <c r="C150" s="320"/>
      <c r="D150" s="326"/>
      <c r="E150" s="327"/>
      <c r="F150" s="180"/>
      <c r="G150" s="180"/>
      <c r="H150" s="180"/>
      <c r="I150" s="86"/>
      <c r="J150" s="53">
        <f>SUMIF(Journals!D$14:D$920,TrialBalance!P150,Journals!J$14:J$920)+SUMIF(Journals!E$14:E$920,TrialBalance!P150,Journals!J$14:J$920)</f>
        <v>0</v>
      </c>
      <c r="K150" s="330"/>
      <c r="L150" s="332">
        <f t="shared" si="21"/>
        <v>0</v>
      </c>
      <c r="M150" s="81"/>
      <c r="N150" s="54">
        <f t="shared" si="22"/>
        <v>0</v>
      </c>
      <c r="P150" s="192" t="str">
        <f t="shared" si="23"/>
        <v>4100/007</v>
      </c>
      <c r="Q150" s="76"/>
      <c r="S150" s="77"/>
      <c r="T150" s="57"/>
      <c r="U150" s="31"/>
    </row>
    <row r="151" spans="1:21" x14ac:dyDescent="0.2">
      <c r="A151" s="315"/>
      <c r="B151" s="110" t="s">
        <v>1000</v>
      </c>
      <c r="C151" s="320"/>
      <c r="D151" s="326"/>
      <c r="E151" s="327"/>
      <c r="F151" s="180"/>
      <c r="G151" s="180"/>
      <c r="H151" s="180"/>
      <c r="I151" s="86"/>
      <c r="J151" s="53">
        <f>SUMIF(Journals!D$14:D$920,TrialBalance!P151,Journals!J$14:J$920)+SUMIF(Journals!E$14:E$920,TrialBalance!P151,Journals!J$14:J$920)</f>
        <v>0</v>
      </c>
      <c r="K151" s="330"/>
      <c r="L151" s="332">
        <f t="shared" si="21"/>
        <v>0</v>
      </c>
      <c r="M151" s="81"/>
      <c r="N151" s="54">
        <f t="shared" si="22"/>
        <v>0</v>
      </c>
      <c r="P151" s="192" t="str">
        <f t="shared" si="23"/>
        <v>4100/008</v>
      </c>
      <c r="Q151" s="76"/>
      <c r="S151" s="77"/>
      <c r="T151" s="57"/>
      <c r="U151" s="31"/>
    </row>
    <row r="152" spans="1:21" x14ac:dyDescent="0.2">
      <c r="A152" s="315"/>
      <c r="B152" s="110" t="s">
        <v>957</v>
      </c>
      <c r="C152" s="316" t="s">
        <v>593</v>
      </c>
      <c r="D152" s="326"/>
      <c r="E152" s="327"/>
      <c r="F152" s="180"/>
      <c r="G152" s="180"/>
      <c r="H152" s="180"/>
      <c r="I152" s="86"/>
      <c r="J152" s="53">
        <f>SUMIF(Journals!D$14:D$920,TrialBalance!P152,Journals!J$14:J$920)+SUMIF(Journals!E$14:E$920,TrialBalance!P152,Journals!J$14:J$920)</f>
        <v>0</v>
      </c>
      <c r="K152" s="330"/>
      <c r="L152" s="332">
        <f t="shared" si="18"/>
        <v>0</v>
      </c>
      <c r="M152" s="81"/>
      <c r="N152" s="54">
        <f t="shared" si="19"/>
        <v>0</v>
      </c>
      <c r="P152" s="192" t="str">
        <f t="shared" si="20"/>
        <v>4200/000Dividends received------------------------</v>
      </c>
      <c r="Q152" s="76"/>
      <c r="S152" s="77"/>
      <c r="T152" s="57"/>
      <c r="U152" s="31"/>
    </row>
    <row r="153" spans="1:21" x14ac:dyDescent="0.2">
      <c r="A153" s="315"/>
      <c r="B153" s="110" t="s">
        <v>958</v>
      </c>
      <c r="C153" s="319" t="s">
        <v>722</v>
      </c>
      <c r="D153" s="326"/>
      <c r="E153" s="327"/>
      <c r="F153" s="180"/>
      <c r="G153" s="180"/>
      <c r="H153" s="180"/>
      <c r="I153" s="86"/>
      <c r="J153" s="53">
        <f>SUMIF(Journals!D$14:D$920,TrialBalance!P153,Journals!J$14:J$920)+SUMIF(Journals!E$14:E$920,TrialBalance!P153,Journals!J$14:J$920)</f>
        <v>0</v>
      </c>
      <c r="K153" s="330"/>
      <c r="L153" s="332">
        <f t="shared" si="18"/>
        <v>0</v>
      </c>
      <c r="M153" s="81"/>
      <c r="N153" s="54">
        <f t="shared" si="19"/>
        <v>0</v>
      </c>
      <c r="P153" s="192" t="str">
        <f t="shared" si="20"/>
        <v>4200/001Div.'s received - SA sources</v>
      </c>
      <c r="Q153" s="76"/>
      <c r="S153" s="77"/>
      <c r="T153" s="57"/>
      <c r="U153" s="31"/>
    </row>
    <row r="154" spans="1:21" x14ac:dyDescent="0.2">
      <c r="A154" s="315"/>
      <c r="B154" s="110" t="s">
        <v>959</v>
      </c>
      <c r="C154" s="319" t="s">
        <v>723</v>
      </c>
      <c r="D154" s="326"/>
      <c r="E154" s="327"/>
      <c r="F154" s="180"/>
      <c r="G154" s="180"/>
      <c r="H154" s="180"/>
      <c r="I154" s="86"/>
      <c r="J154" s="53">
        <f>SUMIF(Journals!D$14:D$920,TrialBalance!P154,Journals!J$14:J$920)+SUMIF(Journals!E$14:E$920,TrialBalance!P154,Journals!J$14:J$920)</f>
        <v>0</v>
      </c>
      <c r="K154" s="330"/>
      <c r="L154" s="332">
        <f t="shared" si="18"/>
        <v>0</v>
      </c>
      <c r="M154" s="81"/>
      <c r="N154" s="54">
        <f t="shared" si="19"/>
        <v>0</v>
      </c>
      <c r="P154" s="192" t="str">
        <f t="shared" si="20"/>
        <v>4200/002Div.'s received - Foreign div.'s</v>
      </c>
      <c r="Q154" s="76"/>
      <c r="S154" s="77"/>
      <c r="T154" s="57"/>
      <c r="U154" s="31"/>
    </row>
    <row r="155" spans="1:21" x14ac:dyDescent="0.2">
      <c r="A155" s="315"/>
      <c r="B155" s="110" t="s">
        <v>961</v>
      </c>
      <c r="C155" s="321" t="s">
        <v>960</v>
      </c>
      <c r="D155" s="327"/>
      <c r="E155" s="327"/>
      <c r="F155" s="180"/>
      <c r="G155" s="180"/>
      <c r="H155" s="180"/>
      <c r="I155" s="86"/>
      <c r="J155" s="53">
        <f>SUMIF(Journals!D$14:D$920,TrialBalance!P155,Journals!J$14:J$920)+SUMIF(Journals!E$14:E$920,TrialBalance!P155,Journals!J$14:J$920)</f>
        <v>0</v>
      </c>
      <c r="K155" s="330"/>
      <c r="L155" s="332">
        <f t="shared" si="18"/>
        <v>0</v>
      </c>
      <c r="M155" s="81"/>
      <c r="N155" s="54">
        <f t="shared" si="19"/>
        <v>0</v>
      </c>
      <c r="P155" s="192" t="str">
        <f t="shared" si="20"/>
        <v>4300/000Other income----------------------------------</v>
      </c>
      <c r="Q155" s="76"/>
      <c r="S155" s="77"/>
      <c r="T155" s="57"/>
      <c r="U155" s="31"/>
    </row>
    <row r="156" spans="1:21" x14ac:dyDescent="0.2">
      <c r="A156" s="315"/>
      <c r="B156" s="110" t="s">
        <v>962</v>
      </c>
      <c r="C156" s="320"/>
      <c r="D156" s="327"/>
      <c r="E156" s="327"/>
      <c r="F156" s="180"/>
      <c r="G156" s="180"/>
      <c r="H156" s="180"/>
      <c r="I156" s="86"/>
      <c r="J156" s="53">
        <f>SUMIF(Journals!D$14:D$920,TrialBalance!P156,Journals!J$14:J$920)+SUMIF(Journals!E$14:E$920,TrialBalance!P156,Journals!J$14:J$920)</f>
        <v>0</v>
      </c>
      <c r="K156" s="330"/>
      <c r="L156" s="332">
        <f t="shared" si="18"/>
        <v>0</v>
      </c>
      <c r="M156" s="81"/>
      <c r="N156" s="54">
        <f t="shared" si="19"/>
        <v>0</v>
      </c>
      <c r="P156" s="192" t="str">
        <f t="shared" si="20"/>
        <v>4300/001</v>
      </c>
      <c r="Q156" s="76"/>
      <c r="S156" s="77"/>
      <c r="T156" s="57"/>
      <c r="U156" s="31"/>
    </row>
    <row r="157" spans="1:21" x14ac:dyDescent="0.2">
      <c r="A157" s="315"/>
      <c r="B157" s="110" t="s">
        <v>963</v>
      </c>
      <c r="C157" s="320"/>
      <c r="D157" s="327"/>
      <c r="E157" s="327"/>
      <c r="F157" s="180"/>
      <c r="G157" s="180"/>
      <c r="H157" s="180"/>
      <c r="I157" s="86"/>
      <c r="J157" s="53">
        <f>SUMIF(Journals!D$14:D$920,TrialBalance!P157,Journals!J$14:J$920)+SUMIF(Journals!E$14:E$920,TrialBalance!P157,Journals!J$14:J$920)</f>
        <v>0</v>
      </c>
      <c r="K157" s="330"/>
      <c r="L157" s="332">
        <f t="shared" si="18"/>
        <v>0</v>
      </c>
      <c r="M157" s="81"/>
      <c r="N157" s="54">
        <f t="shared" si="19"/>
        <v>0</v>
      </c>
      <c r="P157" s="192" t="str">
        <f t="shared" si="20"/>
        <v>4300/002</v>
      </c>
      <c r="Q157" s="76"/>
      <c r="S157" s="77"/>
      <c r="T157" s="57"/>
      <c r="U157" s="31"/>
    </row>
    <row r="158" spans="1:21" x14ac:dyDescent="0.2">
      <c r="A158" s="315"/>
      <c r="B158" s="110" t="s">
        <v>964</v>
      </c>
      <c r="C158" s="320"/>
      <c r="D158" s="327"/>
      <c r="E158" s="327"/>
      <c r="F158" s="180"/>
      <c r="G158" s="180"/>
      <c r="H158" s="180"/>
      <c r="I158" s="86"/>
      <c r="J158" s="53">
        <f>SUMIF(Journals!D$14:D$920,TrialBalance!P158,Journals!J$14:J$920)+SUMIF(Journals!E$14:E$920,TrialBalance!P158,Journals!J$14:J$920)</f>
        <v>0</v>
      </c>
      <c r="K158" s="330"/>
      <c r="L158" s="332">
        <f t="shared" si="18"/>
        <v>0</v>
      </c>
      <c r="M158" s="81"/>
      <c r="N158" s="54">
        <f t="shared" si="19"/>
        <v>0</v>
      </c>
      <c r="P158" s="192" t="str">
        <f t="shared" si="20"/>
        <v>4300/003</v>
      </c>
      <c r="Q158" s="76"/>
      <c r="S158" s="77"/>
      <c r="T158" s="57"/>
      <c r="U158" s="31"/>
    </row>
    <row r="159" spans="1:21" x14ac:dyDescent="0.2">
      <c r="A159" s="315"/>
      <c r="B159" s="110" t="s">
        <v>965</v>
      </c>
      <c r="C159" s="320"/>
      <c r="D159" s="327"/>
      <c r="E159" s="327"/>
      <c r="F159" s="180"/>
      <c r="G159" s="180"/>
      <c r="H159" s="180"/>
      <c r="I159" s="86"/>
      <c r="J159" s="53">
        <f>SUMIF(Journals!D$14:D$920,TrialBalance!P159,Journals!J$14:J$920)+SUMIF(Journals!E$14:E$920,TrialBalance!P159,Journals!J$14:J$920)</f>
        <v>0</v>
      </c>
      <c r="K159" s="330"/>
      <c r="L159" s="332">
        <f t="shared" si="18"/>
        <v>0</v>
      </c>
      <c r="M159" s="81"/>
      <c r="N159" s="54">
        <f t="shared" si="19"/>
        <v>0</v>
      </c>
      <c r="P159" s="192" t="str">
        <f t="shared" si="20"/>
        <v>4300/004</v>
      </c>
      <c r="Q159" s="76"/>
      <c r="S159" s="77"/>
      <c r="T159" s="57"/>
      <c r="U159" s="31"/>
    </row>
    <row r="160" spans="1:21" x14ac:dyDescent="0.2">
      <c r="A160" s="315"/>
      <c r="B160" s="110" t="s">
        <v>966</v>
      </c>
      <c r="C160" s="320"/>
      <c r="D160" s="327"/>
      <c r="E160" s="327"/>
      <c r="F160" s="180"/>
      <c r="G160" s="180"/>
      <c r="H160" s="180"/>
      <c r="I160" s="86"/>
      <c r="J160" s="53">
        <f>SUMIF(Journals!D$14:D$920,TrialBalance!P160,Journals!J$14:J$920)+SUMIF(Journals!E$14:E$920,TrialBalance!P160,Journals!J$14:J$920)</f>
        <v>0</v>
      </c>
      <c r="K160" s="330"/>
      <c r="L160" s="332">
        <f t="shared" si="18"/>
        <v>0</v>
      </c>
      <c r="M160" s="81"/>
      <c r="N160" s="54">
        <f t="shared" si="19"/>
        <v>0</v>
      </c>
      <c r="P160" s="192" t="str">
        <f t="shared" si="20"/>
        <v>4300/005</v>
      </c>
      <c r="Q160" s="76"/>
      <c r="S160" s="77"/>
      <c r="T160" s="57"/>
      <c r="U160" s="31"/>
    </row>
    <row r="161" spans="1:21" x14ac:dyDescent="0.2">
      <c r="A161" s="315"/>
      <c r="B161" s="110" t="s">
        <v>982</v>
      </c>
      <c r="C161" s="320"/>
      <c r="D161" s="327"/>
      <c r="E161" s="327"/>
      <c r="F161" s="180"/>
      <c r="G161" s="180"/>
      <c r="H161" s="180"/>
      <c r="I161" s="86"/>
      <c r="J161" s="53">
        <f>SUMIF(Journals!D$14:D$920,TrialBalance!P161,Journals!J$14:J$920)+SUMIF(Journals!E$14:E$920,TrialBalance!P161,Journals!J$14:J$920)</f>
        <v>0</v>
      </c>
      <c r="K161" s="330"/>
      <c r="L161" s="332">
        <f t="shared" si="18"/>
        <v>0</v>
      </c>
      <c r="M161" s="81"/>
      <c r="N161" s="54">
        <f t="shared" si="19"/>
        <v>0</v>
      </c>
      <c r="P161" s="192" t="str">
        <f t="shared" si="20"/>
        <v>4300/006</v>
      </c>
      <c r="Q161" s="76"/>
      <c r="S161" s="77"/>
      <c r="T161" s="57"/>
      <c r="U161" s="31"/>
    </row>
    <row r="162" spans="1:21" x14ac:dyDescent="0.2">
      <c r="A162" s="315"/>
      <c r="B162" s="110" t="s">
        <v>983</v>
      </c>
      <c r="C162" s="320"/>
      <c r="D162" s="327"/>
      <c r="E162" s="327"/>
      <c r="F162" s="180"/>
      <c r="G162" s="180"/>
      <c r="H162" s="180"/>
      <c r="I162" s="86"/>
      <c r="J162" s="53">
        <f>SUMIF(Journals!D$14:D$920,TrialBalance!P162,Journals!J$14:J$920)+SUMIF(Journals!E$14:E$920,TrialBalance!P162,Journals!J$14:J$920)</f>
        <v>0</v>
      </c>
      <c r="K162" s="330"/>
      <c r="L162" s="332">
        <f t="shared" si="18"/>
        <v>0</v>
      </c>
      <c r="M162" s="81"/>
      <c r="N162" s="54">
        <f t="shared" si="19"/>
        <v>0</v>
      </c>
      <c r="P162" s="192" t="str">
        <f t="shared" si="20"/>
        <v>4300/007</v>
      </c>
      <c r="Q162" s="76"/>
      <c r="S162" s="77"/>
      <c r="T162" s="57"/>
      <c r="U162" s="31"/>
    </row>
    <row r="163" spans="1:21" x14ac:dyDescent="0.2">
      <c r="A163" s="315"/>
      <c r="B163" s="110" t="s">
        <v>984</v>
      </c>
      <c r="C163" s="320"/>
      <c r="D163" s="327"/>
      <c r="E163" s="327"/>
      <c r="F163" s="180"/>
      <c r="G163" s="180"/>
      <c r="H163" s="180"/>
      <c r="I163" s="86"/>
      <c r="J163" s="53">
        <f>SUMIF(Journals!D$14:D$920,TrialBalance!P163,Journals!J$14:J$920)+SUMIF(Journals!E$14:E$920,TrialBalance!P163,Journals!J$14:J$920)</f>
        <v>0</v>
      </c>
      <c r="K163" s="330"/>
      <c r="L163" s="332">
        <f t="shared" si="18"/>
        <v>0</v>
      </c>
      <c r="M163" s="81"/>
      <c r="N163" s="54">
        <f t="shared" si="19"/>
        <v>0</v>
      </c>
      <c r="P163" s="192" t="str">
        <f t="shared" si="20"/>
        <v>4300/008</v>
      </c>
      <c r="Q163" s="76"/>
      <c r="S163" s="77"/>
      <c r="T163" s="57"/>
      <c r="U163" s="31"/>
    </row>
    <row r="164" spans="1:21" x14ac:dyDescent="0.2">
      <c r="A164" s="315"/>
      <c r="B164" s="110" t="s">
        <v>985</v>
      </c>
      <c r="C164" s="320"/>
      <c r="D164" s="327"/>
      <c r="E164" s="327"/>
      <c r="F164" s="180"/>
      <c r="G164" s="180"/>
      <c r="H164" s="180"/>
      <c r="I164" s="86"/>
      <c r="J164" s="53">
        <f>SUMIF(Journals!D$14:D$920,TrialBalance!P164,Journals!J$14:J$920)+SUMIF(Journals!E$14:E$920,TrialBalance!P164,Journals!J$14:J$920)</f>
        <v>0</v>
      </c>
      <c r="K164" s="330"/>
      <c r="L164" s="332">
        <f t="shared" si="18"/>
        <v>0</v>
      </c>
      <c r="M164" s="81"/>
      <c r="N164" s="54">
        <f t="shared" si="19"/>
        <v>0</v>
      </c>
      <c r="P164" s="192" t="str">
        <f t="shared" si="20"/>
        <v>4300/009</v>
      </c>
      <c r="Q164" s="76"/>
      <c r="S164" s="77"/>
      <c r="T164" s="57"/>
      <c r="U164" s="31"/>
    </row>
    <row r="165" spans="1:21" x14ac:dyDescent="0.2">
      <c r="A165" s="315"/>
      <c r="B165" s="110" t="s">
        <v>986</v>
      </c>
      <c r="C165" s="320"/>
      <c r="D165" s="328"/>
      <c r="E165" s="328"/>
      <c r="F165" s="180"/>
      <c r="G165" s="180"/>
      <c r="H165" s="180"/>
      <c r="I165" s="86"/>
      <c r="J165" s="53">
        <f>SUMIF(Journals!D$14:D$920,TrialBalance!P165,Journals!J$14:J$920)+SUMIF(Journals!E$14:E$920,TrialBalance!P165,Journals!J$14:J$920)</f>
        <v>0</v>
      </c>
      <c r="K165" s="330"/>
      <c r="L165" s="332">
        <f t="shared" si="18"/>
        <v>0</v>
      </c>
      <c r="M165" s="81"/>
      <c r="N165" s="54">
        <f t="shared" si="19"/>
        <v>0</v>
      </c>
      <c r="P165" s="192" t="str">
        <f t="shared" si="20"/>
        <v>4300/010</v>
      </c>
      <c r="Q165" s="76"/>
      <c r="S165" s="77"/>
      <c r="T165" s="57"/>
      <c r="U165" s="31"/>
    </row>
    <row r="166" spans="1:21" x14ac:dyDescent="0.2">
      <c r="A166" s="315"/>
      <c r="B166" s="49" t="s">
        <v>987</v>
      </c>
      <c r="C166" s="321" t="s">
        <v>988</v>
      </c>
      <c r="D166" s="328"/>
      <c r="E166" s="328"/>
      <c r="F166" s="180"/>
      <c r="G166" s="180"/>
      <c r="H166" s="180"/>
      <c r="I166" s="86"/>
      <c r="J166" s="53">
        <f>SUMIF(Journals!D$14:D$920,TrialBalance!P166,Journals!J$14:J$920)+SUMIF(Journals!E$14:E$920,TrialBalance!P166,Journals!J$14:J$920)</f>
        <v>0</v>
      </c>
      <c r="K166" s="330"/>
      <c r="L166" s="332">
        <f t="shared" si="18"/>
        <v>0</v>
      </c>
      <c r="M166" s="81"/>
      <c r="N166" s="54">
        <f t="shared" si="19"/>
        <v>0</v>
      </c>
      <c r="P166" s="192" t="str">
        <f t="shared" si="20"/>
        <v>4500/000Expenses applicable to other income</v>
      </c>
      <c r="Q166" s="76"/>
      <c r="S166" s="77"/>
      <c r="T166" s="57"/>
      <c r="U166" s="31"/>
    </row>
    <row r="167" spans="1:21" x14ac:dyDescent="0.2">
      <c r="A167" s="315"/>
      <c r="B167" s="49" t="s">
        <v>989</v>
      </c>
      <c r="C167" s="320"/>
      <c r="D167" s="328"/>
      <c r="E167" s="328"/>
      <c r="F167" s="180"/>
      <c r="G167" s="180"/>
      <c r="H167" s="180"/>
      <c r="I167" s="86"/>
      <c r="J167" s="53">
        <f>SUMIF(Journals!D$14:D$920,TrialBalance!P167,Journals!J$14:J$920)+SUMIF(Journals!E$14:E$920,TrialBalance!P167,Journals!J$14:J$920)</f>
        <v>0</v>
      </c>
      <c r="K167" s="330"/>
      <c r="L167" s="332">
        <f t="shared" si="18"/>
        <v>0</v>
      </c>
      <c r="M167" s="81"/>
      <c r="N167" s="54">
        <f t="shared" si="19"/>
        <v>0</v>
      </c>
      <c r="P167" s="192" t="str">
        <f t="shared" si="20"/>
        <v>4500/001</v>
      </c>
      <c r="Q167" s="76"/>
      <c r="S167" s="77"/>
      <c r="T167" s="57"/>
      <c r="U167" s="31"/>
    </row>
    <row r="168" spans="1:21" x14ac:dyDescent="0.2">
      <c r="A168" s="315"/>
      <c r="B168" s="49" t="s">
        <v>990</v>
      </c>
      <c r="C168" s="320"/>
      <c r="D168" s="328"/>
      <c r="E168" s="328"/>
      <c r="F168" s="180"/>
      <c r="G168" s="180"/>
      <c r="H168" s="180"/>
      <c r="I168" s="86"/>
      <c r="J168" s="53">
        <f>SUMIF(Journals!D$14:D$920,TrialBalance!P168,Journals!J$14:J$920)+SUMIF(Journals!E$14:E$920,TrialBalance!P168,Journals!J$14:J$920)</f>
        <v>0</v>
      </c>
      <c r="K168" s="330"/>
      <c r="L168" s="332">
        <f t="shared" si="18"/>
        <v>0</v>
      </c>
      <c r="M168" s="81"/>
      <c r="N168" s="54">
        <f t="shared" si="19"/>
        <v>0</v>
      </c>
      <c r="P168" s="192" t="str">
        <f t="shared" si="20"/>
        <v>4500/002</v>
      </c>
      <c r="Q168" s="76"/>
      <c r="S168" s="77"/>
      <c r="T168" s="57"/>
      <c r="U168" s="31"/>
    </row>
    <row r="169" spans="1:21" x14ac:dyDescent="0.2">
      <c r="A169" s="315"/>
      <c r="B169" s="49" t="s">
        <v>991</v>
      </c>
      <c r="C169" s="320"/>
      <c r="D169" s="328"/>
      <c r="E169" s="328"/>
      <c r="F169" s="180"/>
      <c r="G169" s="180"/>
      <c r="H169" s="180"/>
      <c r="I169" s="86"/>
      <c r="J169" s="53">
        <f>SUMIF(Journals!D$14:D$920,TrialBalance!P169,Journals!J$14:J$920)+SUMIF(Journals!E$14:E$920,TrialBalance!P169,Journals!J$14:J$920)</f>
        <v>0</v>
      </c>
      <c r="K169" s="330"/>
      <c r="L169" s="332">
        <f>ROUND(D169-E169+F169+G169+H169+J169+I169,0)</f>
        <v>0</v>
      </c>
      <c r="M169" s="81"/>
      <c r="N169" s="54">
        <f t="shared" si="19"/>
        <v>0</v>
      </c>
      <c r="P169" s="192" t="str">
        <f>CONCATENATE(B169,C169)</f>
        <v>4500/003</v>
      </c>
      <c r="Q169" s="76"/>
      <c r="S169" s="77"/>
      <c r="T169" s="57"/>
      <c r="U169" s="31"/>
    </row>
    <row r="170" spans="1:21" x14ac:dyDescent="0.2">
      <c r="A170" s="315"/>
      <c r="B170" s="49" t="s">
        <v>992</v>
      </c>
      <c r="C170" s="320"/>
      <c r="D170" s="328"/>
      <c r="E170" s="328"/>
      <c r="F170" s="180"/>
      <c r="G170" s="180"/>
      <c r="H170" s="180"/>
      <c r="I170" s="86"/>
      <c r="J170" s="53">
        <f>SUMIF(Journals!D$14:D$920,TrialBalance!P170,Journals!J$14:J$920)+SUMIF(Journals!E$14:E$920,TrialBalance!P170,Journals!J$14:J$920)</f>
        <v>0</v>
      </c>
      <c r="K170" s="330"/>
      <c r="L170" s="332">
        <f t="shared" si="18"/>
        <v>0</v>
      </c>
      <c r="M170" s="81"/>
      <c r="N170" s="54">
        <f t="shared" si="19"/>
        <v>0</v>
      </c>
      <c r="P170" s="192" t="str">
        <f t="shared" si="20"/>
        <v>4500/004</v>
      </c>
      <c r="Q170" s="76"/>
      <c r="S170" s="77"/>
      <c r="T170" s="57"/>
      <c r="U170" s="31"/>
    </row>
    <row r="171" spans="1:21" x14ac:dyDescent="0.2">
      <c r="A171" s="315"/>
      <c r="B171" s="49" t="s">
        <v>993</v>
      </c>
      <c r="C171" s="320"/>
      <c r="D171" s="328"/>
      <c r="E171" s="328"/>
      <c r="F171" s="180"/>
      <c r="G171" s="180"/>
      <c r="H171" s="180"/>
      <c r="I171" s="86"/>
      <c r="J171" s="53">
        <f>SUMIF(Journals!D$14:D$920,TrialBalance!P171,Journals!J$14:J$920)+SUMIF(Journals!E$14:E$920,TrialBalance!P171,Journals!J$14:J$920)</f>
        <v>0</v>
      </c>
      <c r="K171" s="330"/>
      <c r="L171" s="332">
        <f>ROUND(D171-E171+F171+G171+H171+J171+I171,0)</f>
        <v>0</v>
      </c>
      <c r="M171" s="81"/>
      <c r="N171" s="54">
        <f>ROUND(SUM(A171),0)</f>
        <v>0</v>
      </c>
      <c r="P171" s="192" t="str">
        <f>CONCATENATE(B171,C171)</f>
        <v>4500/005</v>
      </c>
      <c r="Q171" s="76"/>
      <c r="S171" s="77"/>
      <c r="T171" s="57"/>
      <c r="U171" s="31"/>
    </row>
    <row r="172" spans="1:21" x14ac:dyDescent="0.2">
      <c r="A172" s="315"/>
      <c r="B172" s="60" t="s">
        <v>313</v>
      </c>
      <c r="C172" s="316" t="s">
        <v>314</v>
      </c>
      <c r="D172" s="326"/>
      <c r="E172" s="327"/>
      <c r="F172" s="180"/>
      <c r="G172" s="180"/>
      <c r="H172" s="180"/>
      <c r="I172" s="86"/>
      <c r="J172" s="53">
        <f>SUMIF(Journals!D$14:D$920,TrialBalance!P172,Journals!J$14:J$920)+SUMIF(Journals!E$14:E$920,TrialBalance!P172,Journals!J$14:J$920)</f>
        <v>0</v>
      </c>
      <c r="K172" s="330"/>
      <c r="L172" s="332">
        <f t="shared" si="13"/>
        <v>0</v>
      </c>
      <c r="M172" s="81"/>
      <c r="N172" s="54">
        <f t="shared" ref="N172:N212" si="24">ROUND(SUM(A172),0)</f>
        <v>0</v>
      </c>
      <c r="P172" s="192" t="str">
        <f t="shared" ref="P172:P173" si="25">CONCATENATE(B172,C172)</f>
        <v>4800/000NORMAL TAXATION</v>
      </c>
      <c r="Q172" s="76"/>
      <c r="S172" s="77"/>
      <c r="T172" s="57"/>
      <c r="U172" s="31"/>
    </row>
    <row r="173" spans="1:21" x14ac:dyDescent="0.2">
      <c r="A173" s="315"/>
      <c r="B173" s="60" t="s">
        <v>315</v>
      </c>
      <c r="C173" s="317" t="s">
        <v>316</v>
      </c>
      <c r="D173" s="326"/>
      <c r="E173" s="327"/>
      <c r="F173" s="180"/>
      <c r="G173" s="180"/>
      <c r="H173" s="180"/>
      <c r="I173" s="86"/>
      <c r="J173" s="53">
        <f>SUMIF(Journals!D$14:D$920,TrialBalance!P173,Journals!J$14:J$920)+SUMIF(Journals!E$14:E$920,TrialBalance!P173,Journals!J$14:J$920)</f>
        <v>0</v>
      </c>
      <c r="K173" s="330"/>
      <c r="L173" s="332">
        <f t="shared" si="13"/>
        <v>0</v>
      </c>
      <c r="M173" s="81"/>
      <c r="N173" s="54">
        <f t="shared" si="24"/>
        <v>0</v>
      </c>
      <c r="P173" s="192" t="str">
        <f t="shared" si="25"/>
        <v>4800/001Tax provided this year</v>
      </c>
      <c r="Q173" s="76"/>
      <c r="S173" s="77"/>
      <c r="T173" s="57"/>
      <c r="U173" s="31"/>
    </row>
    <row r="174" spans="1:21" x14ac:dyDescent="0.2">
      <c r="A174" s="315"/>
      <c r="B174" s="60" t="s">
        <v>317</v>
      </c>
      <c r="C174" s="317" t="s">
        <v>318</v>
      </c>
      <c r="D174" s="326"/>
      <c r="E174" s="327"/>
      <c r="F174" s="180"/>
      <c r="G174" s="180"/>
      <c r="H174" s="180"/>
      <c r="I174" s="86"/>
      <c r="J174" s="53">
        <f>SUMIF(Journals!D$14:D$920,TrialBalance!P174,Journals!J$14:J$920)+SUMIF(Journals!E$14:E$920,TrialBalance!P174,Journals!J$14:J$920)</f>
        <v>0</v>
      </c>
      <c r="K174" s="330"/>
      <c r="L174" s="332">
        <f t="shared" ref="L174:L175" si="26">ROUND(D174-E174+F174+G174+H174+J174+I174,0)</f>
        <v>0</v>
      </c>
      <c r="M174" s="81"/>
      <c r="N174" s="54">
        <f t="shared" ref="N174:N175" si="27">ROUND(SUM(A174),0)</f>
        <v>0</v>
      </c>
      <c r="P174" s="192" t="str">
        <f t="shared" ref="P174:P175" si="28">CONCATENATE(B174,C174)</f>
        <v>4800/002Tax adjustment previous year</v>
      </c>
      <c r="Q174" s="76"/>
      <c r="S174" s="77"/>
      <c r="T174" s="57"/>
      <c r="U174" s="31"/>
    </row>
    <row r="175" spans="1:21" x14ac:dyDescent="0.2">
      <c r="A175" s="315"/>
      <c r="B175" s="110" t="s">
        <v>204</v>
      </c>
      <c r="C175" s="319" t="s">
        <v>994</v>
      </c>
      <c r="D175" s="326"/>
      <c r="E175" s="327"/>
      <c r="F175" s="180"/>
      <c r="G175" s="180"/>
      <c r="H175" s="180"/>
      <c r="I175" s="86"/>
      <c r="J175" s="53">
        <f>SUMIF(Journals!D$14:D$920,TrialBalance!P175,Journals!J$14:J$920)+SUMIF(Journals!E$14:E$920,TrialBalance!P175,Journals!J$14:J$920)</f>
        <v>0</v>
      </c>
      <c r="K175" s="330"/>
      <c r="L175" s="332">
        <f t="shared" si="26"/>
        <v>0</v>
      </c>
      <c r="M175" s="81"/>
      <c r="N175" s="54">
        <f t="shared" si="27"/>
        <v>0</v>
      </c>
      <c r="P175" s="192" t="str">
        <f t="shared" si="28"/>
        <v>4860/000DISTRIBUTION TO BENEFICIARIES</v>
      </c>
      <c r="Q175" s="76"/>
      <c r="S175" s="77"/>
      <c r="T175" s="57"/>
      <c r="U175" s="31"/>
    </row>
    <row r="176" spans="1:21" x14ac:dyDescent="0.2">
      <c r="A176" s="315"/>
      <c r="B176" s="60" t="s">
        <v>233</v>
      </c>
      <c r="C176" s="317"/>
      <c r="D176" s="326"/>
      <c r="E176" s="326"/>
      <c r="F176" s="181"/>
      <c r="G176" s="181"/>
      <c r="H176" s="181"/>
      <c r="I176" s="86"/>
      <c r="J176" s="53"/>
      <c r="K176" s="330"/>
      <c r="L176" s="332">
        <f>ROUND(D176-E176+F176+G176+H176+J176+I176,0)</f>
        <v>0</v>
      </c>
      <c r="M176" s="81"/>
      <c r="N176" s="54">
        <f t="shared" si="24"/>
        <v>0</v>
      </c>
      <c r="P176" s="192">
        <v>0</v>
      </c>
      <c r="Q176" s="76"/>
      <c r="S176" s="77"/>
      <c r="T176" s="57"/>
      <c r="U176" s="31"/>
    </row>
    <row r="177" spans="1:21" x14ac:dyDescent="0.2">
      <c r="A177" s="315"/>
      <c r="B177" s="60" t="s">
        <v>233</v>
      </c>
      <c r="C177" s="317" t="s">
        <v>233</v>
      </c>
      <c r="D177" s="326"/>
      <c r="E177" s="327"/>
      <c r="F177" s="180"/>
      <c r="G177" s="180"/>
      <c r="H177" s="180"/>
      <c r="I177" s="87"/>
      <c r="J177" s="53"/>
      <c r="K177" s="330"/>
      <c r="L177" s="332">
        <f t="shared" si="13"/>
        <v>0</v>
      </c>
      <c r="M177" s="81"/>
      <c r="N177" s="54">
        <f t="shared" si="24"/>
        <v>0</v>
      </c>
      <c r="P177" s="192">
        <v>0</v>
      </c>
      <c r="Q177" s="76"/>
      <c r="S177" s="77"/>
      <c r="T177" s="77"/>
      <c r="U177" s="31"/>
    </row>
    <row r="178" spans="1:21" x14ac:dyDescent="0.2">
      <c r="A178" s="315"/>
      <c r="B178" s="60" t="s">
        <v>233</v>
      </c>
      <c r="C178" s="317"/>
      <c r="D178" s="327"/>
      <c r="E178" s="327"/>
      <c r="F178" s="180"/>
      <c r="G178" s="180"/>
      <c r="H178" s="180"/>
      <c r="I178" s="86"/>
      <c r="J178" s="53"/>
      <c r="K178" s="330"/>
      <c r="L178" s="332">
        <f t="shared" si="13"/>
        <v>0</v>
      </c>
      <c r="M178" s="81"/>
      <c r="N178" s="54">
        <f t="shared" si="24"/>
        <v>0</v>
      </c>
      <c r="P178" s="192">
        <v>0</v>
      </c>
      <c r="Q178" s="76"/>
      <c r="S178" s="77"/>
      <c r="T178" s="57"/>
      <c r="U178" s="31"/>
    </row>
    <row r="179" spans="1:21" x14ac:dyDescent="0.2">
      <c r="A179" s="315"/>
      <c r="B179" s="60" t="s">
        <v>480</v>
      </c>
      <c r="C179" s="316" t="s">
        <v>897</v>
      </c>
      <c r="D179" s="327"/>
      <c r="E179" s="327"/>
      <c r="F179" s="180"/>
      <c r="G179" s="180"/>
      <c r="H179" s="180"/>
      <c r="I179" s="86"/>
      <c r="J179" s="53">
        <f>SUMIF(Journals!D$14:D$920,TrialBalance!P179,Journals!J$14:J$920)+SUMIF(Journals!E$14:E$920,TrialBalance!P179,Journals!J$14:J$920)</f>
        <v>0</v>
      </c>
      <c r="K179" s="330"/>
      <c r="L179" s="332">
        <f t="shared" si="13"/>
        <v>0</v>
      </c>
      <c r="M179" s="81"/>
      <c r="N179" s="54">
        <f t="shared" si="24"/>
        <v>0</v>
      </c>
      <c r="P179" s="192" t="str">
        <f t="shared" ref="P179:P206" si="29">CONCATENATE(B179,C179)</f>
        <v>5100/000TRUSTEES' CONTRIBUTIONS</v>
      </c>
      <c r="Q179" s="76"/>
      <c r="S179" s="77"/>
      <c r="T179" s="57"/>
      <c r="U179" s="31"/>
    </row>
    <row r="180" spans="1:21" x14ac:dyDescent="0.2">
      <c r="A180" s="315"/>
      <c r="B180" s="60" t="s">
        <v>481</v>
      </c>
      <c r="C180" s="320"/>
      <c r="D180" s="327"/>
      <c r="E180" s="327"/>
      <c r="F180" s="180"/>
      <c r="G180" s="180"/>
      <c r="H180" s="180"/>
      <c r="I180" s="86">
        <f t="shared" ref="I180:I185" si="30">N180</f>
        <v>0</v>
      </c>
      <c r="J180" s="53">
        <f>SUMIF(Journals!D$14:D$920,TrialBalance!P180,Journals!J$14:J$920)+SUMIF(Journals!E$14:E$920,TrialBalance!P180,Journals!J$14:J$920)</f>
        <v>0</v>
      </c>
      <c r="K180" s="330"/>
      <c r="L180" s="332">
        <f t="shared" si="13"/>
        <v>0</v>
      </c>
      <c r="M180" s="81"/>
      <c r="N180" s="54">
        <f t="shared" si="24"/>
        <v>0</v>
      </c>
      <c r="P180" s="192" t="str">
        <f t="shared" si="29"/>
        <v>5100/001</v>
      </c>
      <c r="Q180" s="76"/>
      <c r="R180" s="31"/>
      <c r="S180" s="77"/>
      <c r="T180" s="57"/>
      <c r="U180" s="31"/>
    </row>
    <row r="181" spans="1:21" x14ac:dyDescent="0.2">
      <c r="A181" s="315"/>
      <c r="B181" s="60" t="s">
        <v>482</v>
      </c>
      <c r="C181" s="325"/>
      <c r="D181" s="327"/>
      <c r="E181" s="327"/>
      <c r="F181" s="180"/>
      <c r="G181" s="180"/>
      <c r="H181" s="180"/>
      <c r="I181" s="86">
        <f t="shared" si="30"/>
        <v>0</v>
      </c>
      <c r="J181" s="53">
        <f>SUMIF(Journals!D$14:D$920,TrialBalance!P181,Journals!J$14:J$920)+SUMIF(Journals!E$14:E$920,TrialBalance!P181,Journals!J$14:J$920)</f>
        <v>0</v>
      </c>
      <c r="K181" s="330"/>
      <c r="L181" s="332">
        <f t="shared" si="13"/>
        <v>0</v>
      </c>
      <c r="M181" s="81"/>
      <c r="N181" s="54">
        <f t="shared" si="24"/>
        <v>0</v>
      </c>
      <c r="P181" s="192" t="str">
        <f t="shared" si="29"/>
        <v>5100/002</v>
      </c>
      <c r="Q181" s="76"/>
      <c r="S181" s="77"/>
      <c r="T181" s="57"/>
      <c r="U181" s="31"/>
    </row>
    <row r="182" spans="1:21" x14ac:dyDescent="0.2">
      <c r="A182" s="315"/>
      <c r="B182" s="110" t="s">
        <v>898</v>
      </c>
      <c r="C182" s="325"/>
      <c r="D182" s="327"/>
      <c r="E182" s="327"/>
      <c r="F182" s="180"/>
      <c r="G182" s="180"/>
      <c r="H182" s="180"/>
      <c r="I182" s="86">
        <f t="shared" si="30"/>
        <v>0</v>
      </c>
      <c r="J182" s="53">
        <f>SUMIF(Journals!D$14:D$920,TrialBalance!P182,Journals!J$14:J$920)+SUMIF(Journals!E$14:E$920,TrialBalance!P182,Journals!J$14:J$920)</f>
        <v>0</v>
      </c>
      <c r="K182" s="330"/>
      <c r="L182" s="332">
        <f>ROUND(D182-E182+F182+G182+H182+J182+I182,0)</f>
        <v>0</v>
      </c>
      <c r="M182" s="81"/>
      <c r="N182" s="54">
        <f t="shared" si="24"/>
        <v>0</v>
      </c>
      <c r="P182" s="192" t="str">
        <f t="shared" si="29"/>
        <v>5100/003</v>
      </c>
      <c r="Q182" s="76"/>
      <c r="S182" s="77"/>
      <c r="T182" s="57"/>
      <c r="U182" s="31"/>
    </row>
    <row r="183" spans="1:21" x14ac:dyDescent="0.2">
      <c r="A183" s="315"/>
      <c r="B183" s="110" t="s">
        <v>899</v>
      </c>
      <c r="C183" s="325"/>
      <c r="D183" s="327"/>
      <c r="E183" s="327"/>
      <c r="F183" s="180"/>
      <c r="G183" s="180"/>
      <c r="H183" s="180"/>
      <c r="I183" s="86">
        <f t="shared" si="30"/>
        <v>0</v>
      </c>
      <c r="J183" s="53">
        <f>SUMIF(Journals!D$14:D$920,TrialBalance!P183,Journals!J$14:J$920)+SUMIF(Journals!E$14:E$920,TrialBalance!P183,Journals!J$14:J$920)</f>
        <v>0</v>
      </c>
      <c r="K183" s="330"/>
      <c r="L183" s="332">
        <f t="shared" si="13"/>
        <v>0</v>
      </c>
      <c r="M183" s="81"/>
      <c r="N183" s="54">
        <f t="shared" si="24"/>
        <v>0</v>
      </c>
      <c r="P183" s="192" t="str">
        <f t="shared" si="29"/>
        <v>5100/004</v>
      </c>
      <c r="Q183" s="76"/>
      <c r="S183" s="77"/>
      <c r="T183" s="57"/>
      <c r="U183" s="31"/>
    </row>
    <row r="184" spans="1:21" x14ac:dyDescent="0.2">
      <c r="A184" s="315"/>
      <c r="B184" s="110" t="s">
        <v>900</v>
      </c>
      <c r="C184" s="325"/>
      <c r="D184" s="327"/>
      <c r="E184" s="327"/>
      <c r="F184" s="180"/>
      <c r="G184" s="180"/>
      <c r="H184" s="180"/>
      <c r="I184" s="86">
        <f t="shared" si="30"/>
        <v>0</v>
      </c>
      <c r="J184" s="53">
        <f>SUMIF(Journals!D$14:D$920,TrialBalance!P184,Journals!J$14:J$920)+SUMIF(Journals!E$14:E$920,TrialBalance!P184,Journals!J$14:J$920)</f>
        <v>0</v>
      </c>
      <c r="K184" s="330"/>
      <c r="L184" s="332">
        <f t="shared" si="13"/>
        <v>0</v>
      </c>
      <c r="M184" s="81"/>
      <c r="N184" s="54">
        <f t="shared" si="24"/>
        <v>0</v>
      </c>
      <c r="P184" s="192" t="str">
        <f t="shared" si="29"/>
        <v>5100/005</v>
      </c>
      <c r="Q184" s="76"/>
      <c r="S184" s="77"/>
      <c r="T184" s="57"/>
      <c r="U184" s="31"/>
    </row>
    <row r="185" spans="1:21" x14ac:dyDescent="0.2">
      <c r="A185" s="315"/>
      <c r="B185" s="110" t="s">
        <v>1059</v>
      </c>
      <c r="C185" s="319" t="s">
        <v>902</v>
      </c>
      <c r="D185" s="327"/>
      <c r="E185" s="327"/>
      <c r="F185" s="180"/>
      <c r="G185" s="180"/>
      <c r="H185" s="180"/>
      <c r="I185" s="86">
        <f t="shared" si="30"/>
        <v>0</v>
      </c>
      <c r="J185" s="53">
        <f>SUMIF(Journals!D$14:D$920,TrialBalance!P185,Journals!J$14:J$920)+SUMIF(Journals!E$14:E$920,TrialBalance!P185,Journals!J$14:J$920)</f>
        <v>0</v>
      </c>
      <c r="K185" s="330"/>
      <c r="L185" s="332">
        <f>ROUND(D185-E185+F185+G185+H185+J185+I185,0)</f>
        <v>0</v>
      </c>
      <c r="M185" s="81"/>
      <c r="N185" s="54">
        <f>ROUND(SUM(A185),0)</f>
        <v>0</v>
      </c>
      <c r="P185" s="192" t="str">
        <f t="shared" ref="P185" si="31">CONCATENATE(B185,C185)</f>
        <v>5110/001Donations received</v>
      </c>
      <c r="Q185" s="76"/>
      <c r="S185" s="77"/>
      <c r="T185" s="57"/>
      <c r="U185" s="31"/>
    </row>
    <row r="186" spans="1:21" x14ac:dyDescent="0.2">
      <c r="A186" s="315"/>
      <c r="B186" s="110" t="s">
        <v>1060</v>
      </c>
      <c r="C186" s="316" t="s">
        <v>1061</v>
      </c>
      <c r="D186" s="327"/>
      <c r="E186" s="327"/>
      <c r="F186" s="180"/>
      <c r="G186" s="180"/>
      <c r="H186" s="180"/>
      <c r="I186" s="86"/>
      <c r="J186" s="53">
        <f>SUMIF(Journals!D$14:D$920,TrialBalance!P186,Journals!J$14:J$920)+SUMIF(Journals!E$14:E$920,TrialBalance!P186,Journals!J$14:J$920)</f>
        <v>0</v>
      </c>
      <c r="K186" s="330"/>
      <c r="L186" s="332">
        <f t="shared" ref="L186:L189" si="32">ROUND(D186-E186+F186+G186+H186+J186+I186,0)</f>
        <v>0</v>
      </c>
      <c r="M186" s="81"/>
      <c r="N186" s="54">
        <f t="shared" ref="N186:N189" si="33">ROUND(SUM(A186),0)</f>
        <v>0</v>
      </c>
      <c r="P186" s="192" t="str">
        <f t="shared" ref="P186:P189" si="34">CONCATENATE(B186,C186)</f>
        <v>5120/000REVALUATION RESERVE</v>
      </c>
      <c r="Q186" s="76"/>
      <c r="S186" s="77"/>
      <c r="T186" s="57"/>
      <c r="U186" s="31"/>
    </row>
    <row r="187" spans="1:21" x14ac:dyDescent="0.2">
      <c r="A187" s="315"/>
      <c r="B187" s="110" t="s">
        <v>1062</v>
      </c>
      <c r="C187" s="319" t="s">
        <v>1063</v>
      </c>
      <c r="D187" s="327"/>
      <c r="E187" s="327"/>
      <c r="F187" s="180"/>
      <c r="G187" s="180"/>
      <c r="H187" s="180"/>
      <c r="I187" s="86">
        <f>SUM(N187:N189)</f>
        <v>0</v>
      </c>
      <c r="J187" s="53">
        <f>SUMIF(Journals!D$14:D$920,TrialBalance!P187,Journals!J$14:J$920)+SUMIF(Journals!E$14:E$920,TrialBalance!P187,Journals!J$14:J$920)</f>
        <v>0</v>
      </c>
      <c r="K187" s="330"/>
      <c r="L187" s="332">
        <f t="shared" si="32"/>
        <v>0</v>
      </c>
      <c r="M187" s="81"/>
      <c r="N187" s="54">
        <f t="shared" si="33"/>
        <v>0</v>
      </c>
      <c r="P187" s="192" t="str">
        <f t="shared" si="34"/>
        <v>5120/001Revaluation reserve - balance b/fwd</v>
      </c>
      <c r="Q187" s="76"/>
      <c r="S187" s="77"/>
      <c r="T187" s="57"/>
      <c r="U187" s="31"/>
    </row>
    <row r="188" spans="1:21" x14ac:dyDescent="0.2">
      <c r="A188" s="315"/>
      <c r="B188" s="110" t="s">
        <v>1064</v>
      </c>
      <c r="C188" s="319" t="s">
        <v>1065</v>
      </c>
      <c r="D188" s="327"/>
      <c r="E188" s="327"/>
      <c r="F188" s="180">
        <f>TrialBalanceA!I188</f>
        <v>0</v>
      </c>
      <c r="G188" s="180">
        <f>TrialBalanceB!I188</f>
        <v>0</v>
      </c>
      <c r="H188" s="180">
        <f>TrialBalanceC!I188</f>
        <v>0</v>
      </c>
      <c r="I188" s="86"/>
      <c r="J188" s="53">
        <f>SUMIF(Journals!D$14:D$920,TrialBalance!P188,Journals!J$14:J$920)+SUMIF(Journals!E$14:E$920,TrialBalance!P188,Journals!J$14:J$920)</f>
        <v>0</v>
      </c>
      <c r="K188" s="330"/>
      <c r="L188" s="332">
        <f t="shared" si="32"/>
        <v>0</v>
      </c>
      <c r="M188" s="81"/>
      <c r="N188" s="54">
        <f t="shared" si="33"/>
        <v>0</v>
      </c>
      <c r="P188" s="192" t="str">
        <f t="shared" si="34"/>
        <v>5120/002Revaluation reserve - additions</v>
      </c>
      <c r="Q188" s="76"/>
      <c r="S188" s="77"/>
      <c r="T188" s="57"/>
      <c r="U188" s="31"/>
    </row>
    <row r="189" spans="1:21" x14ac:dyDescent="0.2">
      <c r="A189" s="315"/>
      <c r="B189" s="110" t="s">
        <v>1066</v>
      </c>
      <c r="C189" s="319" t="s">
        <v>1067</v>
      </c>
      <c r="D189" s="327"/>
      <c r="E189" s="327"/>
      <c r="F189" s="180">
        <f>TrialBalanceA!I189</f>
        <v>0</v>
      </c>
      <c r="G189" s="180">
        <f>TrialBalanceB!I189</f>
        <v>0</v>
      </c>
      <c r="H189" s="180">
        <f>TrialBalanceC!I189</f>
        <v>0</v>
      </c>
      <c r="I189" s="86"/>
      <c r="J189" s="53">
        <f>SUMIF(Journals!D$14:D$920,TrialBalance!P189,Journals!J$14:J$920)+SUMIF(Journals!E$14:E$920,TrialBalance!P189,Journals!J$14:J$920)</f>
        <v>0</v>
      </c>
      <c r="K189" s="330"/>
      <c r="L189" s="332">
        <f t="shared" si="32"/>
        <v>0</v>
      </c>
      <c r="M189" s="81"/>
      <c r="N189" s="54">
        <f t="shared" si="33"/>
        <v>0</v>
      </c>
      <c r="P189" s="192" t="str">
        <f t="shared" si="34"/>
        <v>5120/003Revaluation reserve - transfer</v>
      </c>
      <c r="Q189" s="76"/>
      <c r="S189" s="77"/>
      <c r="T189" s="57"/>
      <c r="U189" s="31"/>
    </row>
    <row r="190" spans="1:21" x14ac:dyDescent="0.2">
      <c r="A190" s="315"/>
      <c r="B190" s="60" t="s">
        <v>391</v>
      </c>
      <c r="C190" s="316" t="s">
        <v>772</v>
      </c>
      <c r="D190" s="327"/>
      <c r="E190" s="327"/>
      <c r="F190" s="180"/>
      <c r="G190" s="180"/>
      <c r="H190" s="180"/>
      <c r="I190" s="86">
        <f>N190+SUM(N6:N175)</f>
        <v>0</v>
      </c>
      <c r="J190" s="53">
        <f>SUMIF(Journals!D$14:D$920,TrialBalance!P190,Journals!J$14:J$920)+SUMIF(Journals!E$14:E$920,TrialBalance!P190,Journals!J$14:J$920)</f>
        <v>0</v>
      </c>
      <c r="K190" s="330"/>
      <c r="L190" s="332">
        <f>ROUND(D190-E190+F190+G190+H190+J190+I190,0)</f>
        <v>0</v>
      </c>
      <c r="M190" s="81"/>
      <c r="N190" s="54">
        <f t="shared" si="24"/>
        <v>0</v>
      </c>
      <c r="P190" s="192" t="str">
        <f t="shared" si="29"/>
        <v>5200/000(Retained income) / Accumulated loss</v>
      </c>
      <c r="Q190" s="78"/>
      <c r="R190" s="31"/>
      <c r="S190" s="77"/>
      <c r="T190" s="57"/>
      <c r="U190" s="31"/>
    </row>
    <row r="191" spans="1:21" x14ac:dyDescent="0.2">
      <c r="A191" s="315"/>
      <c r="B191" s="60" t="s">
        <v>136</v>
      </c>
      <c r="C191" s="316" t="s">
        <v>137</v>
      </c>
      <c r="D191" s="327"/>
      <c r="E191" s="327"/>
      <c r="F191" s="180"/>
      <c r="G191" s="180"/>
      <c r="H191" s="180"/>
      <c r="I191" s="86"/>
      <c r="J191" s="53">
        <f>SUMIF(Journals!D$14:D$920,TrialBalance!P191,Journals!J$14:J$920)+SUMIF(Journals!E$14:E$920,TrialBalance!P191,Journals!J$14:J$920)</f>
        <v>0</v>
      </c>
      <c r="K191" s="331" t="s">
        <v>560</v>
      </c>
      <c r="L191" s="332">
        <f t="shared" si="13"/>
        <v>0</v>
      </c>
      <c r="M191" s="81"/>
      <c r="N191" s="54">
        <f t="shared" si="24"/>
        <v>0</v>
      </c>
      <c r="P191" s="192" t="str">
        <f t="shared" si="29"/>
        <v>5500/000LONG TERM  INTEREST LIABILITIES</v>
      </c>
      <c r="Q191" s="76"/>
      <c r="R191" s="31"/>
      <c r="S191" s="77"/>
      <c r="T191" s="57"/>
      <c r="U191" s="31"/>
    </row>
    <row r="192" spans="1:21" x14ac:dyDescent="0.2">
      <c r="A192" s="315"/>
      <c r="B192" s="60" t="s">
        <v>138</v>
      </c>
      <c r="C192" s="320"/>
      <c r="D192" s="327"/>
      <c r="E192" s="327"/>
      <c r="F192" s="180">
        <f>TrialBalanceA!I192-TrialBalanceA!K192</f>
        <v>0</v>
      </c>
      <c r="G192" s="180">
        <f>TrialBalanceB!I192-TrialBalanceB!K192</f>
        <v>0</v>
      </c>
      <c r="H192" s="180">
        <f>TrialBalanceC!I192-TrialBalanceC!K192</f>
        <v>0</v>
      </c>
      <c r="I192" s="86">
        <f>N192</f>
        <v>0</v>
      </c>
      <c r="J192" s="53">
        <f>SUMIF(Journals!D$14:D$920,TrialBalance!P192,Journals!J$14:J$920)+SUMIF(Journals!E$14:E$920,TrialBalance!P192,Journals!J$14:J$920)</f>
        <v>0</v>
      </c>
      <c r="K192" s="331"/>
      <c r="L192" s="332">
        <f t="shared" si="13"/>
        <v>0</v>
      </c>
      <c r="M192" s="81"/>
      <c r="N192" s="54">
        <f t="shared" si="24"/>
        <v>0</v>
      </c>
      <c r="P192" s="192" t="str">
        <f t="shared" si="29"/>
        <v>5500/001</v>
      </c>
      <c r="Q192" s="76"/>
      <c r="R192" s="31"/>
      <c r="S192" s="77"/>
      <c r="T192" s="57"/>
      <c r="U192" s="31"/>
    </row>
    <row r="193" spans="1:21" x14ac:dyDescent="0.2">
      <c r="A193" s="315"/>
      <c r="B193" s="60" t="s">
        <v>139</v>
      </c>
      <c r="C193" s="325"/>
      <c r="D193" s="327"/>
      <c r="E193" s="327"/>
      <c r="F193" s="180">
        <f>TrialBalanceA!I193-TrialBalanceA!K193</f>
        <v>0</v>
      </c>
      <c r="G193" s="180">
        <f>TrialBalanceB!I193-TrialBalanceB!K193</f>
        <v>0</v>
      </c>
      <c r="H193" s="180">
        <f>TrialBalanceC!I193-TrialBalanceC!K193</f>
        <v>0</v>
      </c>
      <c r="I193" s="86">
        <f>N193</f>
        <v>0</v>
      </c>
      <c r="J193" s="53">
        <f>SUMIF(Journals!D$14:D$920,TrialBalance!P193,Journals!J$14:J$920)+SUMIF(Journals!E$14:E$920,TrialBalance!P193,Journals!J$14:J$920)</f>
        <v>0</v>
      </c>
      <c r="K193" s="330"/>
      <c r="L193" s="332">
        <f t="shared" si="13"/>
        <v>0</v>
      </c>
      <c r="M193" s="81"/>
      <c r="N193" s="54">
        <f t="shared" si="24"/>
        <v>0</v>
      </c>
      <c r="P193" s="192" t="str">
        <f t="shared" si="29"/>
        <v>5500/002</v>
      </c>
      <c r="Q193" s="76"/>
      <c r="R193" s="31"/>
      <c r="S193" s="77"/>
      <c r="T193" s="57"/>
      <c r="U193" s="31"/>
    </row>
    <row r="194" spans="1:21" x14ac:dyDescent="0.2">
      <c r="A194" s="315"/>
      <c r="B194" s="60" t="s">
        <v>140</v>
      </c>
      <c r="C194" s="325"/>
      <c r="D194" s="326"/>
      <c r="E194" s="326"/>
      <c r="F194" s="180">
        <f>TrialBalanceA!I194-TrialBalanceA!K194</f>
        <v>0</v>
      </c>
      <c r="G194" s="180">
        <f>TrialBalanceB!I194-TrialBalanceB!K194</f>
        <v>0</v>
      </c>
      <c r="H194" s="180">
        <f>TrialBalanceC!I194-TrialBalanceC!K194</f>
        <v>0</v>
      </c>
      <c r="I194" s="86">
        <f>N194</f>
        <v>0</v>
      </c>
      <c r="J194" s="53">
        <f>SUMIF(Journals!D$14:D$920,TrialBalance!P194,Journals!J$14:J$920)+SUMIF(Journals!E$14:E$920,TrialBalance!P194,Journals!J$14:J$920)</f>
        <v>0</v>
      </c>
      <c r="K194" s="330"/>
      <c r="L194" s="332">
        <f t="shared" si="13"/>
        <v>0</v>
      </c>
      <c r="M194" s="81"/>
      <c r="N194" s="54">
        <f t="shared" si="24"/>
        <v>0</v>
      </c>
      <c r="P194" s="192" t="str">
        <f t="shared" si="29"/>
        <v>5500/003</v>
      </c>
      <c r="Q194" s="76"/>
      <c r="R194" s="31"/>
      <c r="S194" s="77"/>
      <c r="T194" s="57"/>
      <c r="U194" s="31"/>
    </row>
    <row r="195" spans="1:21" x14ac:dyDescent="0.2">
      <c r="A195" s="315"/>
      <c r="B195" s="60" t="s">
        <v>141</v>
      </c>
      <c r="C195" s="325"/>
      <c r="D195" s="326"/>
      <c r="E195" s="326"/>
      <c r="F195" s="180">
        <f>TrialBalanceA!I195-TrialBalanceA!K195</f>
        <v>0</v>
      </c>
      <c r="G195" s="180">
        <f>TrialBalanceB!I195-TrialBalanceB!K195</f>
        <v>0</v>
      </c>
      <c r="H195" s="180">
        <f>TrialBalanceC!I195-TrialBalanceC!K195</f>
        <v>0</v>
      </c>
      <c r="I195" s="86">
        <f>N195</f>
        <v>0</v>
      </c>
      <c r="J195" s="53">
        <f>SUMIF(Journals!D$14:D$920,TrialBalance!P195,Journals!J$14:J$920)+SUMIF(Journals!E$14:E$920,TrialBalance!P195,Journals!J$14:J$920)</f>
        <v>0</v>
      </c>
      <c r="K195" s="330"/>
      <c r="L195" s="332">
        <f t="shared" si="13"/>
        <v>0</v>
      </c>
      <c r="M195" s="81"/>
      <c r="N195" s="54">
        <f t="shared" si="24"/>
        <v>0</v>
      </c>
      <c r="P195" s="192" t="str">
        <f t="shared" si="29"/>
        <v>5500/004</v>
      </c>
      <c r="Q195" s="76"/>
      <c r="R195" s="31"/>
      <c r="S195" s="77"/>
      <c r="T195" s="57"/>
      <c r="U195" s="31"/>
    </row>
    <row r="196" spans="1:21" x14ac:dyDescent="0.2">
      <c r="A196" s="315"/>
      <c r="B196" s="60" t="s">
        <v>142</v>
      </c>
      <c r="C196" s="325"/>
      <c r="D196" s="326"/>
      <c r="E196" s="326"/>
      <c r="F196" s="180">
        <f>TrialBalanceA!I196-TrialBalanceA!K196</f>
        <v>0</v>
      </c>
      <c r="G196" s="180">
        <f>TrialBalanceB!I196-TrialBalanceB!K196</f>
        <v>0</v>
      </c>
      <c r="H196" s="180">
        <f>TrialBalanceC!I196-TrialBalanceC!K196</f>
        <v>0</v>
      </c>
      <c r="I196" s="86">
        <f>N196</f>
        <v>0</v>
      </c>
      <c r="J196" s="53">
        <f>SUMIF(Journals!D$14:D$920,TrialBalance!P196,Journals!J$14:J$920)+SUMIF(Journals!E$14:E$920,TrialBalance!P196,Journals!J$14:J$920)</f>
        <v>0</v>
      </c>
      <c r="K196" s="330"/>
      <c r="L196" s="332">
        <f t="shared" si="13"/>
        <v>0</v>
      </c>
      <c r="M196" s="81"/>
      <c r="N196" s="54">
        <f t="shared" si="24"/>
        <v>0</v>
      </c>
      <c r="P196" s="192" t="str">
        <f t="shared" si="29"/>
        <v>5500/005</v>
      </c>
      <c r="Q196" s="76"/>
      <c r="R196" s="31"/>
      <c r="S196" s="77"/>
      <c r="T196" s="57"/>
      <c r="U196" s="31"/>
    </row>
    <row r="197" spans="1:21" x14ac:dyDescent="0.2">
      <c r="A197" s="315"/>
      <c r="B197" s="110" t="s">
        <v>580</v>
      </c>
      <c r="C197" s="325"/>
      <c r="D197" s="326"/>
      <c r="E197" s="326"/>
      <c r="F197" s="180">
        <f>TrialBalanceA!I197-TrialBalanceA!K197</f>
        <v>0</v>
      </c>
      <c r="G197" s="180">
        <f>TrialBalanceB!I197-TrialBalanceB!K197</f>
        <v>0</v>
      </c>
      <c r="H197" s="180">
        <f>TrialBalanceC!I197-TrialBalanceC!K197</f>
        <v>0</v>
      </c>
      <c r="I197" s="86">
        <f t="shared" ref="I197:I208" si="35">N197</f>
        <v>0</v>
      </c>
      <c r="J197" s="53">
        <f>SUMIF(Journals!D$14:D$920,TrialBalance!P197,Journals!J$14:J$920)+SUMIF(Journals!E$14:E$920,TrialBalance!P197,Journals!J$14:J$920)</f>
        <v>0</v>
      </c>
      <c r="K197" s="330"/>
      <c r="L197" s="332">
        <f t="shared" si="13"/>
        <v>0</v>
      </c>
      <c r="M197" s="81"/>
      <c r="N197" s="54">
        <f t="shared" si="24"/>
        <v>0</v>
      </c>
      <c r="P197" s="192" t="str">
        <f t="shared" si="29"/>
        <v>5500/006</v>
      </c>
      <c r="Q197" s="76"/>
      <c r="R197" s="31"/>
      <c r="S197" s="77"/>
      <c r="T197" s="57"/>
      <c r="U197" s="31"/>
    </row>
    <row r="198" spans="1:21" x14ac:dyDescent="0.2">
      <c r="A198" s="315"/>
      <c r="B198" s="110" t="s">
        <v>581</v>
      </c>
      <c r="C198" s="325"/>
      <c r="D198" s="326"/>
      <c r="E198" s="326"/>
      <c r="F198" s="180">
        <f>TrialBalanceA!I198-TrialBalanceA!K198</f>
        <v>0</v>
      </c>
      <c r="G198" s="180">
        <f>TrialBalanceB!I198-TrialBalanceB!K198</f>
        <v>0</v>
      </c>
      <c r="H198" s="180">
        <f>TrialBalanceC!I198-TrialBalanceC!K198</f>
        <v>0</v>
      </c>
      <c r="I198" s="86">
        <f t="shared" si="35"/>
        <v>0</v>
      </c>
      <c r="J198" s="53">
        <f>SUMIF(Journals!D$14:D$920,TrialBalance!P198,Journals!J$14:J$920)+SUMIF(Journals!E$14:E$920,TrialBalance!P198,Journals!J$14:J$920)</f>
        <v>0</v>
      </c>
      <c r="K198" s="330"/>
      <c r="L198" s="332">
        <f t="shared" si="13"/>
        <v>0</v>
      </c>
      <c r="M198" s="81"/>
      <c r="N198" s="54">
        <f t="shared" si="24"/>
        <v>0</v>
      </c>
      <c r="P198" s="192" t="str">
        <f t="shared" si="29"/>
        <v>5500/007</v>
      </c>
      <c r="Q198" s="76"/>
      <c r="R198" s="31"/>
      <c r="S198" s="77"/>
      <c r="T198" s="57"/>
      <c r="U198" s="31"/>
    </row>
    <row r="199" spans="1:21" x14ac:dyDescent="0.2">
      <c r="A199" s="315"/>
      <c r="B199" s="110" t="s">
        <v>582</v>
      </c>
      <c r="C199" s="325"/>
      <c r="D199" s="326"/>
      <c r="E199" s="326"/>
      <c r="F199" s="180">
        <f>TrialBalanceA!I199-TrialBalanceA!K199</f>
        <v>0</v>
      </c>
      <c r="G199" s="180">
        <f>TrialBalanceB!I199-TrialBalanceB!K199</f>
        <v>0</v>
      </c>
      <c r="H199" s="180">
        <f>TrialBalanceC!I199-TrialBalanceC!K199</f>
        <v>0</v>
      </c>
      <c r="I199" s="86">
        <f t="shared" si="35"/>
        <v>0</v>
      </c>
      <c r="J199" s="53">
        <f>SUMIF(Journals!D$14:D$920,TrialBalance!P199,Journals!J$14:J$920)+SUMIF(Journals!E$14:E$920,TrialBalance!P199,Journals!J$14:J$920)</f>
        <v>0</v>
      </c>
      <c r="K199" s="330"/>
      <c r="L199" s="332">
        <f t="shared" si="13"/>
        <v>0</v>
      </c>
      <c r="M199" s="81"/>
      <c r="N199" s="54">
        <f t="shared" si="24"/>
        <v>0</v>
      </c>
      <c r="P199" s="192" t="str">
        <f t="shared" si="29"/>
        <v>5500/008</v>
      </c>
      <c r="Q199" s="76"/>
      <c r="R199" s="31"/>
      <c r="S199" s="77"/>
      <c r="T199" s="57"/>
      <c r="U199" s="31"/>
    </row>
    <row r="200" spans="1:21" x14ac:dyDescent="0.2">
      <c r="A200" s="315"/>
      <c r="B200" s="110" t="s">
        <v>583</v>
      </c>
      <c r="C200" s="325"/>
      <c r="D200" s="326"/>
      <c r="E200" s="326"/>
      <c r="F200" s="180">
        <f>TrialBalanceA!I200-TrialBalanceA!K200</f>
        <v>0</v>
      </c>
      <c r="G200" s="180">
        <f>TrialBalanceB!I200-TrialBalanceB!K200</f>
        <v>0</v>
      </c>
      <c r="H200" s="180">
        <f>TrialBalanceC!I200-TrialBalanceC!K200</f>
        <v>0</v>
      </c>
      <c r="I200" s="86">
        <f t="shared" si="35"/>
        <v>0</v>
      </c>
      <c r="J200" s="53">
        <f>SUMIF(Journals!D$14:D$920,TrialBalance!P200,Journals!J$14:J$920)+SUMIF(Journals!E$14:E$920,TrialBalance!P200,Journals!J$14:J$920)</f>
        <v>0</v>
      </c>
      <c r="K200" s="330"/>
      <c r="L200" s="332">
        <f t="shared" si="13"/>
        <v>0</v>
      </c>
      <c r="M200" s="81"/>
      <c r="N200" s="54">
        <f t="shared" si="24"/>
        <v>0</v>
      </c>
      <c r="P200" s="192" t="str">
        <f t="shared" si="29"/>
        <v>5500/009</v>
      </c>
      <c r="Q200" s="76"/>
      <c r="R200" s="31"/>
      <c r="S200" s="77"/>
      <c r="T200" s="57"/>
      <c r="U200" s="31"/>
    </row>
    <row r="201" spans="1:21" x14ac:dyDescent="0.2">
      <c r="A201" s="315"/>
      <c r="B201" s="110" t="s">
        <v>584</v>
      </c>
      <c r="C201" s="325"/>
      <c r="D201" s="326"/>
      <c r="E201" s="326"/>
      <c r="F201" s="180">
        <f>TrialBalanceA!I201-TrialBalanceA!K201</f>
        <v>0</v>
      </c>
      <c r="G201" s="180">
        <f>TrialBalanceB!I201-TrialBalanceB!K201</f>
        <v>0</v>
      </c>
      <c r="H201" s="180">
        <f>TrialBalanceC!I201-TrialBalanceC!K201</f>
        <v>0</v>
      </c>
      <c r="I201" s="86">
        <f t="shared" si="35"/>
        <v>0</v>
      </c>
      <c r="J201" s="53">
        <f>SUMIF(Journals!D$14:D$920,TrialBalance!P201,Journals!J$14:J$920)+SUMIF(Journals!E$14:E$920,TrialBalance!P201,Journals!J$14:J$920)</f>
        <v>0</v>
      </c>
      <c r="K201" s="330"/>
      <c r="L201" s="332">
        <f t="shared" si="13"/>
        <v>0</v>
      </c>
      <c r="M201" s="81"/>
      <c r="N201" s="54">
        <f t="shared" si="24"/>
        <v>0</v>
      </c>
      <c r="P201" s="192" t="str">
        <f t="shared" si="29"/>
        <v>5500/010</v>
      </c>
      <c r="Q201" s="76"/>
      <c r="R201" s="31"/>
      <c r="S201" s="77"/>
      <c r="T201" s="57"/>
      <c r="U201" s="31"/>
    </row>
    <row r="202" spans="1:21" x14ac:dyDescent="0.2">
      <c r="A202" s="315"/>
      <c r="B202" s="110" t="s">
        <v>585</v>
      </c>
      <c r="C202" s="325"/>
      <c r="D202" s="326"/>
      <c r="E202" s="326"/>
      <c r="F202" s="180">
        <f>TrialBalanceA!I202-TrialBalanceA!K202</f>
        <v>0</v>
      </c>
      <c r="G202" s="180">
        <f>TrialBalanceB!I202-TrialBalanceB!K202</f>
        <v>0</v>
      </c>
      <c r="H202" s="180">
        <f>TrialBalanceC!I202-TrialBalanceC!K202</f>
        <v>0</v>
      </c>
      <c r="I202" s="86">
        <f t="shared" ref="I202:I206" si="36">N202</f>
        <v>0</v>
      </c>
      <c r="J202" s="53">
        <f>SUMIF(Journals!D$14:D$920,TrialBalance!P202,Journals!J$14:J$920)+SUMIF(Journals!E$14:E$920,TrialBalance!P202,Journals!J$14:J$920)</f>
        <v>0</v>
      </c>
      <c r="K202" s="330"/>
      <c r="L202" s="332">
        <f t="shared" si="13"/>
        <v>0</v>
      </c>
      <c r="M202" s="81"/>
      <c r="N202" s="54">
        <f t="shared" si="24"/>
        <v>0</v>
      </c>
      <c r="P202" s="192" t="str">
        <f t="shared" si="29"/>
        <v>5500/011</v>
      </c>
      <c r="Q202" s="76"/>
      <c r="R202" s="31"/>
      <c r="S202" s="77"/>
      <c r="T202" s="57"/>
      <c r="U202" s="31"/>
    </row>
    <row r="203" spans="1:21" x14ac:dyDescent="0.2">
      <c r="A203" s="315"/>
      <c r="B203" s="110" t="s">
        <v>586</v>
      </c>
      <c r="C203" s="325"/>
      <c r="D203" s="326"/>
      <c r="E203" s="326"/>
      <c r="F203" s="180">
        <f>TrialBalanceA!I203-TrialBalanceA!K203</f>
        <v>0</v>
      </c>
      <c r="G203" s="180">
        <f>TrialBalanceB!I203-TrialBalanceB!K203</f>
        <v>0</v>
      </c>
      <c r="H203" s="180">
        <f>TrialBalanceC!I203-TrialBalanceC!K203</f>
        <v>0</v>
      </c>
      <c r="I203" s="86">
        <f t="shared" ref="I203:I204" si="37">N203</f>
        <v>0</v>
      </c>
      <c r="J203" s="53">
        <f>SUMIF(Journals!D$14:D$920,TrialBalance!P203,Journals!J$14:J$920)+SUMIF(Journals!E$14:E$920,TrialBalance!P203,Journals!J$14:J$920)</f>
        <v>0</v>
      </c>
      <c r="K203" s="330"/>
      <c r="L203" s="332">
        <f t="shared" ref="L203:L204" si="38">ROUND(D203-E203+F203+G203+H203+J203+I203,0)</f>
        <v>0</v>
      </c>
      <c r="M203" s="81"/>
      <c r="N203" s="54">
        <f t="shared" si="24"/>
        <v>0</v>
      </c>
      <c r="P203" s="192" t="str">
        <f t="shared" si="29"/>
        <v>5500/012</v>
      </c>
      <c r="Q203" s="76"/>
      <c r="R203" s="31"/>
      <c r="S203" s="77"/>
      <c r="T203" s="57"/>
      <c r="U203" s="31"/>
    </row>
    <row r="204" spans="1:21" x14ac:dyDescent="0.2">
      <c r="A204" s="315"/>
      <c r="B204" s="110" t="s">
        <v>587</v>
      </c>
      <c r="C204" s="325"/>
      <c r="D204" s="326"/>
      <c r="E204" s="326"/>
      <c r="F204" s="180">
        <f>TrialBalanceA!I204-TrialBalanceA!K204</f>
        <v>0</v>
      </c>
      <c r="G204" s="180">
        <f>TrialBalanceB!I204-TrialBalanceB!K204</f>
        <v>0</v>
      </c>
      <c r="H204" s="180">
        <f>TrialBalanceC!I204-TrialBalanceC!K204</f>
        <v>0</v>
      </c>
      <c r="I204" s="86">
        <f t="shared" si="37"/>
        <v>0</v>
      </c>
      <c r="J204" s="53">
        <f>SUMIF(Journals!D$14:D$920,TrialBalance!P204,Journals!J$14:J$920)+SUMIF(Journals!E$14:E$920,TrialBalance!P204,Journals!J$14:J$920)</f>
        <v>0</v>
      </c>
      <c r="K204" s="330"/>
      <c r="L204" s="332">
        <f t="shared" si="38"/>
        <v>0</v>
      </c>
      <c r="M204" s="81"/>
      <c r="N204" s="54">
        <f t="shared" si="24"/>
        <v>0</v>
      </c>
      <c r="P204" s="192" t="str">
        <f t="shared" si="29"/>
        <v>5500/013</v>
      </c>
      <c r="Q204" s="76"/>
      <c r="R204" s="31"/>
      <c r="S204" s="77"/>
      <c r="T204" s="57"/>
      <c r="U204" s="31"/>
    </row>
    <row r="205" spans="1:21" x14ac:dyDescent="0.2">
      <c r="A205" s="315"/>
      <c r="B205" s="110" t="s">
        <v>626</v>
      </c>
      <c r="C205" s="325"/>
      <c r="D205" s="326"/>
      <c r="E205" s="326"/>
      <c r="F205" s="180">
        <f>TrialBalanceA!I205-TrialBalanceA!K205</f>
        <v>0</v>
      </c>
      <c r="G205" s="180">
        <f>TrialBalanceB!I205-TrialBalanceB!K205</f>
        <v>0</v>
      </c>
      <c r="H205" s="180">
        <f>TrialBalanceC!I205-TrialBalanceC!K205</f>
        <v>0</v>
      </c>
      <c r="I205" s="86">
        <f t="shared" si="36"/>
        <v>0</v>
      </c>
      <c r="J205" s="53">
        <f>SUMIF(Journals!D$14:D$920,TrialBalance!P205,Journals!J$14:J$920)+SUMIF(Journals!E$14:E$920,TrialBalance!P205,Journals!J$14:J$920)</f>
        <v>0</v>
      </c>
      <c r="K205" s="330"/>
      <c r="L205" s="332">
        <f t="shared" si="13"/>
        <v>0</v>
      </c>
      <c r="M205" s="81"/>
      <c r="N205" s="54">
        <f t="shared" si="24"/>
        <v>0</v>
      </c>
      <c r="P205" s="192" t="str">
        <f t="shared" si="29"/>
        <v>5500/014</v>
      </c>
      <c r="Q205" s="76"/>
      <c r="R205" s="31"/>
      <c r="S205" s="77"/>
      <c r="T205" s="57"/>
      <c r="U205" s="31"/>
    </row>
    <row r="206" spans="1:21" x14ac:dyDescent="0.2">
      <c r="A206" s="315"/>
      <c r="B206" s="110" t="s">
        <v>627</v>
      </c>
      <c r="C206" s="325"/>
      <c r="D206" s="326"/>
      <c r="E206" s="326"/>
      <c r="F206" s="180">
        <f>TrialBalanceA!I206-TrialBalanceA!K206</f>
        <v>0</v>
      </c>
      <c r="G206" s="180">
        <f>TrialBalanceB!I206-TrialBalanceB!K206</f>
        <v>0</v>
      </c>
      <c r="H206" s="180">
        <f>TrialBalanceC!I206-TrialBalanceC!K206</f>
        <v>0</v>
      </c>
      <c r="I206" s="86">
        <f t="shared" si="36"/>
        <v>0</v>
      </c>
      <c r="J206" s="53">
        <f>SUMIF(Journals!D$14:D$920,TrialBalance!P206,Journals!J$14:J$920)+SUMIF(Journals!E$14:E$920,TrialBalance!P206,Journals!J$14:J$920)</f>
        <v>0</v>
      </c>
      <c r="K206" s="330"/>
      <c r="L206" s="332">
        <f t="shared" si="13"/>
        <v>0</v>
      </c>
      <c r="M206" s="81"/>
      <c r="N206" s="54">
        <f t="shared" si="24"/>
        <v>0</v>
      </c>
      <c r="P206" s="192" t="str">
        <f t="shared" si="29"/>
        <v>5500/015</v>
      </c>
      <c r="Q206" s="76"/>
      <c r="R206" s="31"/>
      <c r="S206" s="77"/>
      <c r="T206" s="57"/>
      <c r="U206" s="31"/>
    </row>
    <row r="207" spans="1:21" x14ac:dyDescent="0.2">
      <c r="A207" s="315"/>
      <c r="B207" s="60" t="s">
        <v>143</v>
      </c>
      <c r="C207" s="317" t="s">
        <v>256</v>
      </c>
      <c r="D207" s="326"/>
      <c r="E207" s="327"/>
      <c r="F207" s="180"/>
      <c r="G207" s="180"/>
      <c r="H207" s="180"/>
      <c r="I207" s="86">
        <f t="shared" si="35"/>
        <v>0</v>
      </c>
      <c r="J207" s="53">
        <f>SUMIF(Journals!D$14:D$920,TrialBalance!P207,Journals!J$14:J$920)+SUMIF(Journals!E$14:E$920,TrialBalance!P207,Journals!J$14:J$920)</f>
        <v>0</v>
      </c>
      <c r="K207" s="330"/>
      <c r="L207" s="332">
        <f t="shared" si="13"/>
        <v>0</v>
      </c>
      <c r="M207" s="81"/>
      <c r="N207" s="54">
        <f t="shared" si="24"/>
        <v>0</v>
      </c>
      <c r="P207" s="192" t="str">
        <f t="shared" ref="P207:P231" si="39">CONCATENATE(B207,C207)</f>
        <v>5520/000Short term portion of long term loans</v>
      </c>
      <c r="Q207" s="76"/>
      <c r="R207" s="31"/>
      <c r="S207" s="77"/>
      <c r="T207" s="57"/>
      <c r="U207" s="31"/>
    </row>
    <row r="208" spans="1:21" x14ac:dyDescent="0.2">
      <c r="A208" s="315"/>
      <c r="B208" s="60" t="s">
        <v>145</v>
      </c>
      <c r="C208" s="316" t="s">
        <v>146</v>
      </c>
      <c r="D208" s="326"/>
      <c r="E208" s="327"/>
      <c r="F208" s="180"/>
      <c r="G208" s="180"/>
      <c r="H208" s="180"/>
      <c r="I208" s="86">
        <f t="shared" si="35"/>
        <v>0</v>
      </c>
      <c r="J208" s="53">
        <f>SUMIF(Journals!D$14:D$920,TrialBalance!P208,Journals!J$14:J$920)+SUMIF(Journals!E$14:E$920,TrialBalance!P208,Journals!J$14:J$920)</f>
        <v>0</v>
      </c>
      <c r="K208" s="331" t="s">
        <v>560</v>
      </c>
      <c r="L208" s="332">
        <f t="shared" si="13"/>
        <v>0</v>
      </c>
      <c r="M208" s="81"/>
      <c r="N208" s="54">
        <f t="shared" si="24"/>
        <v>0</v>
      </c>
      <c r="P208" s="192" t="str">
        <f t="shared" si="39"/>
        <v>5550/000LONG TERM INTEREST FREE LOANS</v>
      </c>
      <c r="Q208" s="76"/>
      <c r="R208" s="31"/>
      <c r="S208" s="77"/>
      <c r="T208" s="57"/>
      <c r="U208" s="31"/>
    </row>
    <row r="209" spans="1:21" x14ac:dyDescent="0.2">
      <c r="A209" s="315"/>
      <c r="B209" s="60" t="s">
        <v>147</v>
      </c>
      <c r="C209" s="325" t="s">
        <v>1164</v>
      </c>
      <c r="D209" s="327"/>
      <c r="E209" s="327"/>
      <c r="F209" s="180">
        <f>TrialBalanceA!I209-TrialBalanceA!K209</f>
        <v>0</v>
      </c>
      <c r="G209" s="180">
        <f>TrialBalanceB!I209-TrialBalanceB!K209</f>
        <v>0</v>
      </c>
      <c r="H209" s="180">
        <f>TrialBalanceC!I209-TrialBalanceC!K209</f>
        <v>0</v>
      </c>
      <c r="I209" s="86">
        <f t="shared" ref="I209:I222" si="40">N209</f>
        <v>0</v>
      </c>
      <c r="J209" s="53">
        <f>SUMIF(Journals!D$14:D$920,TrialBalance!P209,Journals!J$14:J$920)+SUMIF(Journals!E$14:E$920,TrialBalance!P209,Journals!J$14:J$920)</f>
        <v>0</v>
      </c>
      <c r="K209" s="331"/>
      <c r="L209" s="332">
        <f t="shared" si="13"/>
        <v>0</v>
      </c>
      <c r="M209" s="81"/>
      <c r="N209" s="54">
        <f t="shared" si="24"/>
        <v>0</v>
      </c>
      <c r="P209" s="192" t="str">
        <f t="shared" si="39"/>
        <v>5550/001Beneficiaries</v>
      </c>
      <c r="Q209" s="78"/>
      <c r="R209" s="31"/>
      <c r="S209" s="77"/>
      <c r="T209" s="57"/>
      <c r="U209" s="31"/>
    </row>
    <row r="210" spans="1:21" x14ac:dyDescent="0.2">
      <c r="A210" s="315"/>
      <c r="B210" s="60" t="s">
        <v>148</v>
      </c>
      <c r="C210" s="325"/>
      <c r="D210" s="327"/>
      <c r="E210" s="327"/>
      <c r="F210" s="180">
        <f>TrialBalanceA!I210-TrialBalanceA!K210</f>
        <v>0</v>
      </c>
      <c r="G210" s="180">
        <f>TrialBalanceB!I210-TrialBalanceB!K210</f>
        <v>0</v>
      </c>
      <c r="H210" s="180">
        <f>TrialBalanceC!I210-TrialBalanceC!K210</f>
        <v>0</v>
      </c>
      <c r="I210" s="86">
        <f t="shared" si="40"/>
        <v>0</v>
      </c>
      <c r="J210" s="53">
        <f>SUMIF(Journals!D$14:D$920,TrialBalance!P210,Journals!J$14:J$920)+SUMIF(Journals!E$14:E$920,TrialBalance!P210,Journals!J$14:J$920)</f>
        <v>0</v>
      </c>
      <c r="K210" s="331"/>
      <c r="L210" s="332">
        <f t="shared" si="13"/>
        <v>0</v>
      </c>
      <c r="M210" s="81"/>
      <c r="N210" s="54">
        <f t="shared" si="24"/>
        <v>0</v>
      </c>
      <c r="P210" s="192" t="str">
        <f t="shared" si="39"/>
        <v>5550/002</v>
      </c>
      <c r="Q210" s="78"/>
      <c r="R210" s="31"/>
      <c r="S210" s="77"/>
      <c r="T210" s="57"/>
      <c r="U210" s="31"/>
    </row>
    <row r="211" spans="1:21" x14ac:dyDescent="0.2">
      <c r="A211" s="315"/>
      <c r="B211" s="60" t="s">
        <v>149</v>
      </c>
      <c r="C211" s="325"/>
      <c r="D211" s="326"/>
      <c r="E211" s="327"/>
      <c r="F211" s="180">
        <f>TrialBalanceA!I211-TrialBalanceA!K211</f>
        <v>0</v>
      </c>
      <c r="G211" s="180">
        <f>TrialBalanceB!I211-TrialBalanceB!K211</f>
        <v>0</v>
      </c>
      <c r="H211" s="180">
        <f>TrialBalanceC!I211-TrialBalanceC!K211</f>
        <v>0</v>
      </c>
      <c r="I211" s="86">
        <f t="shared" si="40"/>
        <v>0</v>
      </c>
      <c r="J211" s="53">
        <f>SUMIF(Journals!D$14:D$920,TrialBalance!P211,Journals!J$14:J$920)+SUMIF(Journals!E$14:E$920,TrialBalance!P211,Journals!J$14:J$920)</f>
        <v>0</v>
      </c>
      <c r="K211" s="330"/>
      <c r="L211" s="332">
        <f t="shared" si="13"/>
        <v>0</v>
      </c>
      <c r="M211" s="81"/>
      <c r="N211" s="54">
        <f t="shared" si="24"/>
        <v>0</v>
      </c>
      <c r="P211" s="192" t="str">
        <f t="shared" si="39"/>
        <v>5550/003</v>
      </c>
      <c r="Q211" s="78"/>
      <c r="R211" s="31"/>
      <c r="S211" s="77"/>
      <c r="T211" s="57"/>
      <c r="U211" s="31"/>
    </row>
    <row r="212" spans="1:21" x14ac:dyDescent="0.2">
      <c r="A212" s="315"/>
      <c r="B212" s="60" t="s">
        <v>150</v>
      </c>
      <c r="C212" s="325"/>
      <c r="D212" s="326"/>
      <c r="E212" s="327"/>
      <c r="F212" s="180">
        <f>TrialBalanceA!I212-TrialBalanceA!K212</f>
        <v>0</v>
      </c>
      <c r="G212" s="180">
        <f>TrialBalanceB!I212-TrialBalanceB!K212</f>
        <v>0</v>
      </c>
      <c r="H212" s="180">
        <f>TrialBalanceC!I212-TrialBalanceC!K212</f>
        <v>0</v>
      </c>
      <c r="I212" s="86">
        <f t="shared" si="40"/>
        <v>0</v>
      </c>
      <c r="J212" s="53">
        <f>SUMIF(Journals!D$14:D$920,TrialBalance!P212,Journals!J$14:J$920)+SUMIF(Journals!E$14:E$920,TrialBalance!P212,Journals!J$14:J$920)</f>
        <v>0</v>
      </c>
      <c r="K212" s="330"/>
      <c r="L212" s="332">
        <f t="shared" si="13"/>
        <v>0</v>
      </c>
      <c r="M212" s="81"/>
      <c r="N212" s="54">
        <f t="shared" si="24"/>
        <v>0</v>
      </c>
      <c r="P212" s="192" t="str">
        <f t="shared" si="39"/>
        <v>5550/004</v>
      </c>
      <c r="Q212" s="76"/>
      <c r="R212" s="31">
        <f>L211+L222</f>
        <v>0</v>
      </c>
      <c r="S212" s="77"/>
      <c r="T212" s="57"/>
      <c r="U212" s="31"/>
    </row>
    <row r="213" spans="1:21" x14ac:dyDescent="0.2">
      <c r="A213" s="315"/>
      <c r="B213" s="60" t="s">
        <v>151</v>
      </c>
      <c r="C213" s="325"/>
      <c r="D213" s="326"/>
      <c r="E213" s="327"/>
      <c r="F213" s="180">
        <f>TrialBalanceA!I213-TrialBalanceA!K213</f>
        <v>0</v>
      </c>
      <c r="G213" s="180">
        <f>TrialBalanceB!I213-TrialBalanceB!K213</f>
        <v>0</v>
      </c>
      <c r="H213" s="180">
        <f>TrialBalanceC!I213-TrialBalanceC!K213</f>
        <v>0</v>
      </c>
      <c r="I213" s="86">
        <f t="shared" si="40"/>
        <v>0</v>
      </c>
      <c r="J213" s="53">
        <f>SUMIF(Journals!D$14:D$920,TrialBalance!P213,Journals!J$14:J$920)+SUMIF(Journals!E$14:E$920,TrialBalance!P213,Journals!J$14:J$920)</f>
        <v>0</v>
      </c>
      <c r="K213" s="330"/>
      <c r="L213" s="332">
        <f t="shared" ref="L213:L266" si="41">ROUND(D213-E213+F213+G213+H213+J213+I213,0)</f>
        <v>0</v>
      </c>
      <c r="M213" s="81"/>
      <c r="N213" s="54">
        <f t="shared" ref="N213:N270" si="42">ROUND(SUM(A213),0)</f>
        <v>0</v>
      </c>
      <c r="P213" s="192" t="str">
        <f t="shared" si="39"/>
        <v>5550/005</v>
      </c>
      <c r="Q213" s="76"/>
      <c r="R213" s="31"/>
      <c r="S213" s="77"/>
      <c r="T213" s="57"/>
      <c r="U213" s="31"/>
    </row>
    <row r="214" spans="1:21" x14ac:dyDescent="0.2">
      <c r="A214" s="315"/>
      <c r="B214" s="110" t="s">
        <v>607</v>
      </c>
      <c r="C214" s="325"/>
      <c r="D214" s="326"/>
      <c r="E214" s="327"/>
      <c r="F214" s="180">
        <f>TrialBalanceA!I214-TrialBalanceA!K214</f>
        <v>0</v>
      </c>
      <c r="G214" s="180">
        <f>TrialBalanceB!I214-TrialBalanceB!K214</f>
        <v>0</v>
      </c>
      <c r="H214" s="180">
        <f>TrialBalanceC!I214-TrialBalanceC!K214</f>
        <v>0</v>
      </c>
      <c r="I214" s="86">
        <f t="shared" ref="I214:I217" si="43">N214</f>
        <v>0</v>
      </c>
      <c r="J214" s="53">
        <f>SUMIF(Journals!D$14:D$920,TrialBalance!P214,Journals!J$14:J$920)+SUMIF(Journals!E$14:E$920,TrialBalance!P214,Journals!J$14:J$920)</f>
        <v>0</v>
      </c>
      <c r="K214" s="330"/>
      <c r="L214" s="332">
        <f t="shared" si="41"/>
        <v>0</v>
      </c>
      <c r="M214" s="81"/>
      <c r="N214" s="54">
        <f t="shared" si="42"/>
        <v>0</v>
      </c>
      <c r="P214" s="192" t="str">
        <f t="shared" si="39"/>
        <v>5550/006</v>
      </c>
      <c r="Q214" s="76"/>
      <c r="R214" s="31"/>
      <c r="S214" s="77"/>
      <c r="T214" s="57"/>
      <c r="U214" s="31"/>
    </row>
    <row r="215" spans="1:21" x14ac:dyDescent="0.2">
      <c r="A215" s="315"/>
      <c r="B215" s="110" t="s">
        <v>608</v>
      </c>
      <c r="C215" s="325"/>
      <c r="D215" s="326"/>
      <c r="E215" s="327"/>
      <c r="F215" s="180">
        <f>TrialBalanceA!I215-TrialBalanceA!K215</f>
        <v>0</v>
      </c>
      <c r="G215" s="180">
        <f>TrialBalanceB!I215-TrialBalanceB!K215</f>
        <v>0</v>
      </c>
      <c r="H215" s="180">
        <f>TrialBalanceC!I215-TrialBalanceC!K215</f>
        <v>0</v>
      </c>
      <c r="I215" s="86">
        <f t="shared" si="43"/>
        <v>0</v>
      </c>
      <c r="J215" s="53">
        <f>SUMIF(Journals!D$14:D$920,TrialBalance!P215,Journals!J$14:J$920)+SUMIF(Journals!E$14:E$920,TrialBalance!P215,Journals!J$14:J$920)</f>
        <v>0</v>
      </c>
      <c r="K215" s="330"/>
      <c r="L215" s="332">
        <f t="shared" si="41"/>
        <v>0</v>
      </c>
      <c r="M215" s="81"/>
      <c r="N215" s="54">
        <f t="shared" si="42"/>
        <v>0</v>
      </c>
      <c r="P215" s="192" t="str">
        <f t="shared" si="39"/>
        <v>5550/007</v>
      </c>
      <c r="Q215" s="76"/>
      <c r="R215" s="31"/>
      <c r="S215" s="77"/>
      <c r="T215" s="57"/>
      <c r="U215" s="31"/>
    </row>
    <row r="216" spans="1:21" x14ac:dyDescent="0.2">
      <c r="A216" s="315"/>
      <c r="B216" s="110" t="s">
        <v>609</v>
      </c>
      <c r="C216" s="325"/>
      <c r="D216" s="326"/>
      <c r="E216" s="327"/>
      <c r="F216" s="180">
        <f>TrialBalanceA!I216-TrialBalanceA!K216</f>
        <v>0</v>
      </c>
      <c r="G216" s="180">
        <f>TrialBalanceB!I216-TrialBalanceB!K216</f>
        <v>0</v>
      </c>
      <c r="H216" s="180">
        <f>TrialBalanceC!I216-TrialBalanceC!K216</f>
        <v>0</v>
      </c>
      <c r="I216" s="86">
        <f t="shared" si="43"/>
        <v>0</v>
      </c>
      <c r="J216" s="53">
        <f>SUMIF(Journals!D$14:D$920,TrialBalance!P216,Journals!J$14:J$920)+SUMIF(Journals!E$14:E$920,TrialBalance!P216,Journals!J$14:J$920)</f>
        <v>0</v>
      </c>
      <c r="K216" s="330"/>
      <c r="L216" s="332">
        <f t="shared" si="41"/>
        <v>0</v>
      </c>
      <c r="M216" s="81"/>
      <c r="N216" s="54">
        <f t="shared" si="42"/>
        <v>0</v>
      </c>
      <c r="P216" s="192" t="str">
        <f t="shared" si="39"/>
        <v>5550/008</v>
      </c>
      <c r="Q216" s="76"/>
      <c r="R216" s="31"/>
      <c r="S216" s="77"/>
      <c r="T216" s="57"/>
      <c r="U216" s="31"/>
    </row>
    <row r="217" spans="1:21" x14ac:dyDescent="0.2">
      <c r="A217" s="315"/>
      <c r="B217" s="110" t="s">
        <v>610</v>
      </c>
      <c r="C217" s="325"/>
      <c r="D217" s="326"/>
      <c r="E217" s="327"/>
      <c r="F217" s="180">
        <f>TrialBalanceA!I217-TrialBalanceA!K217</f>
        <v>0</v>
      </c>
      <c r="G217" s="180">
        <f>TrialBalanceB!I217-TrialBalanceB!K217</f>
        <v>0</v>
      </c>
      <c r="H217" s="180">
        <f>TrialBalanceC!I217-TrialBalanceC!K217</f>
        <v>0</v>
      </c>
      <c r="I217" s="86">
        <f t="shared" si="43"/>
        <v>0</v>
      </c>
      <c r="J217" s="53">
        <f>SUMIF(Journals!D$14:D$920,TrialBalance!P217,Journals!J$14:J$920)+SUMIF(Journals!E$14:E$920,TrialBalance!P217,Journals!J$14:J$920)</f>
        <v>0</v>
      </c>
      <c r="K217" s="330"/>
      <c r="L217" s="332">
        <f t="shared" si="41"/>
        <v>0</v>
      </c>
      <c r="M217" s="81"/>
      <c r="N217" s="54">
        <f t="shared" si="42"/>
        <v>0</v>
      </c>
      <c r="P217" s="192" t="str">
        <f t="shared" si="39"/>
        <v>5550/009</v>
      </c>
      <c r="Q217" s="76"/>
      <c r="R217" s="31"/>
      <c r="S217" s="77"/>
      <c r="T217" s="57"/>
      <c r="U217" s="31"/>
    </row>
    <row r="218" spans="1:21" x14ac:dyDescent="0.2">
      <c r="A218" s="315"/>
      <c r="B218" s="110" t="s">
        <v>623</v>
      </c>
      <c r="C218" s="325"/>
      <c r="D218" s="327"/>
      <c r="E218" s="327"/>
      <c r="F218" s="180">
        <f>TrialBalanceA!I218-TrialBalanceA!K218</f>
        <v>0</v>
      </c>
      <c r="G218" s="180">
        <f>TrialBalanceB!I218-TrialBalanceB!K218</f>
        <v>0</v>
      </c>
      <c r="H218" s="180">
        <f>TrialBalanceC!I218-TrialBalanceC!K218</f>
        <v>0</v>
      </c>
      <c r="I218" s="86">
        <f t="shared" si="40"/>
        <v>0</v>
      </c>
      <c r="J218" s="53">
        <f>SUMIF(Journals!D$14:D$920,TrialBalance!P218,Journals!J$14:J$920)+SUMIF(Journals!E$14:E$920,TrialBalance!P218,Journals!J$14:J$920)</f>
        <v>0</v>
      </c>
      <c r="K218" s="330"/>
      <c r="L218" s="332">
        <f>ROUND(D218-E218+F218+G218+H218+J218+I218,0)</f>
        <v>0</v>
      </c>
      <c r="M218" s="81"/>
      <c r="N218" s="54">
        <f t="shared" si="42"/>
        <v>0</v>
      </c>
      <c r="P218" s="192" t="str">
        <f t="shared" si="39"/>
        <v>5550/010</v>
      </c>
      <c r="Q218" s="76"/>
      <c r="R218" s="31"/>
      <c r="S218" s="77"/>
      <c r="T218" s="57">
        <f>L211+L222</f>
        <v>0</v>
      </c>
      <c r="U218" s="31"/>
    </row>
    <row r="219" spans="1:21" x14ac:dyDescent="0.2">
      <c r="A219" s="315"/>
      <c r="B219" s="110" t="s">
        <v>633</v>
      </c>
      <c r="C219" s="325"/>
      <c r="D219" s="327"/>
      <c r="E219" s="327"/>
      <c r="F219" s="180">
        <f>TrialBalanceA!I219-TrialBalanceA!K219</f>
        <v>0</v>
      </c>
      <c r="G219" s="180">
        <f>TrialBalanceB!I219-TrialBalanceB!K219</f>
        <v>0</v>
      </c>
      <c r="H219" s="180">
        <f>TrialBalanceC!I219-TrialBalanceC!K219</f>
        <v>0</v>
      </c>
      <c r="I219" s="86">
        <f t="shared" si="40"/>
        <v>0</v>
      </c>
      <c r="J219" s="53">
        <f>SUMIF(Journals!D$14:D$920,TrialBalance!P219,Journals!J$14:J$920)+SUMIF(Journals!E$14:E$920,TrialBalance!P219,Journals!J$14:J$920)</f>
        <v>0</v>
      </c>
      <c r="K219" s="330"/>
      <c r="L219" s="332">
        <f>ROUND(D219-E219+F219+G219+H219+J219+I219,0)</f>
        <v>0</v>
      </c>
      <c r="M219" s="81"/>
      <c r="N219" s="54">
        <f t="shared" si="42"/>
        <v>0</v>
      </c>
      <c r="P219" s="192" t="str">
        <f t="shared" si="39"/>
        <v>5550/011</v>
      </c>
      <c r="Q219" s="76"/>
      <c r="R219" s="31"/>
      <c r="S219" s="77"/>
      <c r="T219" s="57"/>
      <c r="U219" s="31"/>
    </row>
    <row r="220" spans="1:21" x14ac:dyDescent="0.2">
      <c r="A220" s="315"/>
      <c r="B220" s="110" t="s">
        <v>634</v>
      </c>
      <c r="C220" s="325"/>
      <c r="D220" s="327"/>
      <c r="E220" s="327"/>
      <c r="F220" s="180">
        <f>TrialBalanceA!I220-TrialBalanceA!K220</f>
        <v>0</v>
      </c>
      <c r="G220" s="180">
        <f>TrialBalanceB!I220-TrialBalanceB!K220</f>
        <v>0</v>
      </c>
      <c r="H220" s="180">
        <f>TrialBalanceC!I220-TrialBalanceC!K220</f>
        <v>0</v>
      </c>
      <c r="I220" s="86">
        <f t="shared" si="40"/>
        <v>0</v>
      </c>
      <c r="J220" s="53">
        <f>SUMIF(Journals!D$14:D$920,TrialBalance!P220,Journals!J$14:J$920)+SUMIF(Journals!E$14:E$920,TrialBalance!P220,Journals!J$14:J$920)</f>
        <v>0</v>
      </c>
      <c r="K220" s="330"/>
      <c r="L220" s="332">
        <f t="shared" si="41"/>
        <v>0</v>
      </c>
      <c r="M220" s="81"/>
      <c r="N220" s="54">
        <f t="shared" si="42"/>
        <v>0</v>
      </c>
      <c r="P220" s="192" t="str">
        <f t="shared" si="39"/>
        <v>5550/012</v>
      </c>
      <c r="Q220" s="76"/>
      <c r="R220" s="31"/>
      <c r="S220" s="77"/>
      <c r="T220" s="57"/>
      <c r="U220" s="31"/>
    </row>
    <row r="221" spans="1:21" x14ac:dyDescent="0.2">
      <c r="A221" s="315"/>
      <c r="B221" s="110" t="s">
        <v>635</v>
      </c>
      <c r="C221" s="325"/>
      <c r="D221" s="327"/>
      <c r="E221" s="327"/>
      <c r="F221" s="180">
        <f>TrialBalanceA!I221-TrialBalanceA!K221</f>
        <v>0</v>
      </c>
      <c r="G221" s="180">
        <f>TrialBalanceB!I221-TrialBalanceB!K221</f>
        <v>0</v>
      </c>
      <c r="H221" s="180">
        <f>TrialBalanceC!I221-TrialBalanceC!K221</f>
        <v>0</v>
      </c>
      <c r="I221" s="86">
        <f t="shared" si="40"/>
        <v>0</v>
      </c>
      <c r="J221" s="53">
        <f>SUMIF(Journals!D$14:D$920,TrialBalance!P221,Journals!J$14:J$920)+SUMIF(Journals!E$14:E$920,TrialBalance!P221,Journals!J$14:J$920)</f>
        <v>0</v>
      </c>
      <c r="K221" s="330"/>
      <c r="L221" s="332">
        <f t="shared" si="41"/>
        <v>0</v>
      </c>
      <c r="M221" s="81"/>
      <c r="N221" s="54">
        <f t="shared" si="42"/>
        <v>0</v>
      </c>
      <c r="P221" s="192" t="str">
        <f t="shared" si="39"/>
        <v>5550/013</v>
      </c>
      <c r="Q221" s="76"/>
      <c r="R221" s="31"/>
      <c r="S221" s="77"/>
      <c r="T221" s="57"/>
      <c r="U221" s="31"/>
    </row>
    <row r="222" spans="1:21" x14ac:dyDescent="0.2">
      <c r="A222" s="315"/>
      <c r="B222" s="110" t="s">
        <v>636</v>
      </c>
      <c r="C222" s="325"/>
      <c r="D222" s="327"/>
      <c r="E222" s="327"/>
      <c r="F222" s="180">
        <f>TrialBalanceA!I222-TrialBalanceA!K222</f>
        <v>0</v>
      </c>
      <c r="G222" s="180">
        <f>TrialBalanceB!I222-TrialBalanceB!K222</f>
        <v>0</v>
      </c>
      <c r="H222" s="180">
        <f>TrialBalanceC!I222-TrialBalanceC!K222</f>
        <v>0</v>
      </c>
      <c r="I222" s="86">
        <f t="shared" si="40"/>
        <v>0</v>
      </c>
      <c r="J222" s="53">
        <f>SUMIF(Journals!D$14:D$920,TrialBalance!P222,Journals!J$14:J$920)+SUMIF(Journals!E$14:E$920,TrialBalance!P222,Journals!J$14:J$920)</f>
        <v>0</v>
      </c>
      <c r="K222" s="330"/>
      <c r="L222" s="332">
        <f t="shared" si="41"/>
        <v>0</v>
      </c>
      <c r="M222" s="81"/>
      <c r="N222" s="54">
        <f t="shared" si="42"/>
        <v>0</v>
      </c>
      <c r="P222" s="192" t="str">
        <f t="shared" si="39"/>
        <v>5550/014</v>
      </c>
      <c r="Q222" s="76"/>
      <c r="R222" s="31"/>
      <c r="S222" s="77"/>
      <c r="T222" s="57"/>
      <c r="U222" s="31"/>
    </row>
    <row r="223" spans="1:21" x14ac:dyDescent="0.2">
      <c r="A223" s="315"/>
      <c r="B223" s="110" t="s">
        <v>637</v>
      </c>
      <c r="C223" s="325"/>
      <c r="D223" s="327"/>
      <c r="E223" s="327"/>
      <c r="F223" s="180">
        <f>TrialBalanceA!I223-TrialBalanceA!K223</f>
        <v>0</v>
      </c>
      <c r="G223" s="180">
        <f>TrialBalanceB!I223-TrialBalanceB!K223</f>
        <v>0</v>
      </c>
      <c r="H223" s="180">
        <f>TrialBalanceC!I223-TrialBalanceC!K223</f>
        <v>0</v>
      </c>
      <c r="I223" s="86">
        <f>N223</f>
        <v>0</v>
      </c>
      <c r="J223" s="53">
        <f>SUMIF(Journals!D$14:D$920,TrialBalance!P223,Journals!J$14:J$920)+SUMIF(Journals!E$14:E$920,TrialBalance!P223,Journals!J$14:J$920)</f>
        <v>0</v>
      </c>
      <c r="K223" s="330"/>
      <c r="L223" s="332">
        <f t="shared" si="41"/>
        <v>0</v>
      </c>
      <c r="M223" s="81"/>
      <c r="N223" s="54">
        <f t="shared" si="42"/>
        <v>0</v>
      </c>
      <c r="P223" s="192" t="str">
        <f t="shared" si="39"/>
        <v>5550/015</v>
      </c>
      <c r="Q223" s="76"/>
      <c r="R223" s="31"/>
      <c r="S223" s="77"/>
      <c r="T223" s="57"/>
      <c r="U223" s="31"/>
    </row>
    <row r="224" spans="1:21" x14ac:dyDescent="0.2">
      <c r="A224" s="315"/>
      <c r="B224" s="110" t="s">
        <v>638</v>
      </c>
      <c r="C224" s="325"/>
      <c r="D224" s="327"/>
      <c r="E224" s="327"/>
      <c r="F224" s="180">
        <f>TrialBalanceA!I224-TrialBalanceA!K224</f>
        <v>0</v>
      </c>
      <c r="G224" s="180">
        <f>TrialBalanceB!I224-TrialBalanceB!K224</f>
        <v>0</v>
      </c>
      <c r="H224" s="180">
        <f>TrialBalanceC!I224-TrialBalanceC!K224</f>
        <v>0</v>
      </c>
      <c r="I224" s="86">
        <f>N224</f>
        <v>0</v>
      </c>
      <c r="J224" s="53">
        <f>SUMIF(Journals!D$14:D$920,TrialBalance!P224,Journals!J$14:J$920)+SUMIF(Journals!E$14:E$920,TrialBalance!P224,Journals!J$14:J$920)</f>
        <v>0</v>
      </c>
      <c r="K224" s="330"/>
      <c r="L224" s="332">
        <f t="shared" si="41"/>
        <v>0</v>
      </c>
      <c r="M224" s="81"/>
      <c r="N224" s="54">
        <f t="shared" si="42"/>
        <v>0</v>
      </c>
      <c r="P224" s="192" t="str">
        <f t="shared" si="39"/>
        <v>5550/016</v>
      </c>
      <c r="Q224" s="76"/>
      <c r="R224" s="31"/>
      <c r="S224" s="77"/>
      <c r="T224" s="57"/>
      <c r="U224" s="31"/>
    </row>
    <row r="225" spans="1:21" x14ac:dyDescent="0.2">
      <c r="A225" s="315"/>
      <c r="B225" s="110" t="s">
        <v>639</v>
      </c>
      <c r="C225" s="325"/>
      <c r="D225" s="327"/>
      <c r="E225" s="327"/>
      <c r="F225" s="180">
        <f>TrialBalanceA!I225-TrialBalanceA!K225</f>
        <v>0</v>
      </c>
      <c r="G225" s="180">
        <f>TrialBalanceB!I225-TrialBalanceB!K225</f>
        <v>0</v>
      </c>
      <c r="H225" s="180">
        <f>TrialBalanceC!I225-TrialBalanceC!K225</f>
        <v>0</v>
      </c>
      <c r="I225" s="86">
        <f>N225</f>
        <v>0</v>
      </c>
      <c r="J225" s="53">
        <f>SUMIF(Journals!D$14:D$920,TrialBalance!P225,Journals!J$14:J$920)+SUMIF(Journals!E$14:E$920,TrialBalance!P225,Journals!J$14:J$920)</f>
        <v>0</v>
      </c>
      <c r="K225" s="330"/>
      <c r="L225" s="332">
        <f t="shared" si="41"/>
        <v>0</v>
      </c>
      <c r="M225" s="81"/>
      <c r="N225" s="54">
        <f t="shared" si="42"/>
        <v>0</v>
      </c>
      <c r="P225" s="192" t="str">
        <f t="shared" si="39"/>
        <v>5550/017</v>
      </c>
      <c r="Q225" s="76"/>
      <c r="R225" s="31"/>
      <c r="S225" s="77"/>
      <c r="T225" s="57"/>
      <c r="U225" s="31"/>
    </row>
    <row r="226" spans="1:21" x14ac:dyDescent="0.2">
      <c r="A226" s="315"/>
      <c r="B226" s="60" t="s">
        <v>152</v>
      </c>
      <c r="C226" s="316" t="s">
        <v>1129</v>
      </c>
      <c r="D226" s="326"/>
      <c r="E226" s="327"/>
      <c r="F226" s="180"/>
      <c r="G226" s="180"/>
      <c r="H226" s="180"/>
      <c r="I226" s="86"/>
      <c r="J226" s="53">
        <f>SUMIF(Journals!D$14:D$920,TrialBalance!P226,Journals!J$14:J$920)+SUMIF(Journals!E$14:E$920,TrialBalance!P226,Journals!J$14:J$920)</f>
        <v>0</v>
      </c>
      <c r="K226" s="331" t="s">
        <v>560</v>
      </c>
      <c r="L226" s="332">
        <f t="shared" si="41"/>
        <v>0</v>
      </c>
      <c r="M226" s="81"/>
      <c r="N226" s="54">
        <f t="shared" si="42"/>
        <v>0</v>
      </c>
      <c r="P226" s="192" t="str">
        <f t="shared" si="39"/>
        <v>6100/000PROPERTY - COST</v>
      </c>
      <c r="Q226" s="76"/>
      <c r="R226" s="31"/>
      <c r="S226" s="77"/>
      <c r="T226" s="57"/>
      <c r="U226" s="31"/>
    </row>
    <row r="227" spans="1:21" x14ac:dyDescent="0.2">
      <c r="A227" s="315"/>
      <c r="B227" s="60" t="s">
        <v>153</v>
      </c>
      <c r="C227" s="319" t="s">
        <v>1130</v>
      </c>
      <c r="D227" s="326"/>
      <c r="E227" s="327"/>
      <c r="F227" s="180"/>
      <c r="G227" s="180"/>
      <c r="H227" s="180"/>
      <c r="I227" s="86">
        <f>SUM(N227:N229)</f>
        <v>0</v>
      </c>
      <c r="J227" s="53">
        <f>SUMIF(Journals!D$14:D$920,TrialBalance!P227,Journals!J$14:J$920)+SUMIF(Journals!E$14:E$920,TrialBalance!P227,Journals!J$14:J$920)</f>
        <v>0</v>
      </c>
      <c r="K227" s="330"/>
      <c r="L227" s="332">
        <f t="shared" si="41"/>
        <v>0</v>
      </c>
      <c r="M227" s="81"/>
      <c r="N227" s="54">
        <f t="shared" si="42"/>
        <v>0</v>
      </c>
      <c r="P227" s="192" t="str">
        <f t="shared" si="39"/>
        <v>6100/001Property - cost b/fwd</v>
      </c>
      <c r="Q227" s="76"/>
      <c r="R227" s="31"/>
      <c r="S227" s="77"/>
      <c r="T227" s="57"/>
      <c r="U227" s="31"/>
    </row>
    <row r="228" spans="1:21" x14ac:dyDescent="0.2">
      <c r="A228" s="315"/>
      <c r="B228" s="60" t="s">
        <v>154</v>
      </c>
      <c r="C228" s="319" t="s">
        <v>1131</v>
      </c>
      <c r="D228" s="326"/>
      <c r="E228" s="326"/>
      <c r="F228" s="180">
        <f>TrialBalanceA!I228</f>
        <v>0</v>
      </c>
      <c r="G228" s="180">
        <f>TrialBalanceB!I228</f>
        <v>0</v>
      </c>
      <c r="H228" s="180">
        <f>TrialBalanceC!I228</f>
        <v>0</v>
      </c>
      <c r="I228" s="86"/>
      <c r="J228" s="53">
        <f>SUMIF(Journals!D$14:D$920,TrialBalance!P228,Journals!J$14:J$920)+SUMIF(Journals!E$14:E$920,TrialBalance!P228,Journals!J$14:J$920)</f>
        <v>0</v>
      </c>
      <c r="K228" s="330"/>
      <c r="L228" s="332">
        <f t="shared" si="41"/>
        <v>0</v>
      </c>
      <c r="M228" s="81"/>
      <c r="N228" s="54">
        <f t="shared" si="42"/>
        <v>0</v>
      </c>
      <c r="P228" s="192" t="str">
        <f t="shared" si="39"/>
        <v>6100/002Property - additions</v>
      </c>
      <c r="Q228" s="76"/>
      <c r="R228" s="31"/>
      <c r="S228" s="77"/>
      <c r="T228" s="57"/>
      <c r="U228" s="31"/>
    </row>
    <row r="229" spans="1:21" x14ac:dyDescent="0.2">
      <c r="A229" s="315"/>
      <c r="B229" s="60" t="s">
        <v>155</v>
      </c>
      <c r="C229" s="319" t="s">
        <v>1132</v>
      </c>
      <c r="D229" s="326"/>
      <c r="E229" s="327"/>
      <c r="F229" s="180">
        <f>TrialBalanceA!I229</f>
        <v>0</v>
      </c>
      <c r="G229" s="180">
        <f>TrialBalanceB!I229</f>
        <v>0</v>
      </c>
      <c r="H229" s="180">
        <f>TrialBalanceC!I229</f>
        <v>0</v>
      </c>
      <c r="I229" s="86"/>
      <c r="J229" s="53">
        <f>SUMIF(Journals!D$14:D$920,TrialBalance!P229,Journals!J$14:J$920)+SUMIF(Journals!E$14:E$920,TrialBalance!P229,Journals!J$14:J$920)</f>
        <v>0</v>
      </c>
      <c r="K229" s="330"/>
      <c r="L229" s="332">
        <f t="shared" si="41"/>
        <v>0</v>
      </c>
      <c r="M229" s="81"/>
      <c r="N229" s="54">
        <f t="shared" si="42"/>
        <v>0</v>
      </c>
      <c r="P229" s="192" t="str">
        <f t="shared" si="39"/>
        <v>6100/003Property - cost of sales</v>
      </c>
      <c r="Q229" s="76"/>
      <c r="R229" s="31"/>
      <c r="S229" s="77"/>
      <c r="T229" s="57"/>
      <c r="U229" s="31"/>
    </row>
    <row r="230" spans="1:21" x14ac:dyDescent="0.2">
      <c r="A230" s="315"/>
      <c r="B230" s="60" t="s">
        <v>286</v>
      </c>
      <c r="C230" s="316" t="s">
        <v>1133</v>
      </c>
      <c r="D230" s="326"/>
      <c r="E230" s="327"/>
      <c r="F230" s="180"/>
      <c r="G230" s="180"/>
      <c r="H230" s="180"/>
      <c r="I230" s="86"/>
      <c r="J230" s="53">
        <f>SUMIF(Journals!D$14:D$920,TrialBalance!P230,Journals!J$14:J$920)+SUMIF(Journals!E$14:E$920,TrialBalance!P230,Journals!J$14:J$920)</f>
        <v>0</v>
      </c>
      <c r="K230" s="330"/>
      <c r="L230" s="332">
        <f t="shared" si="41"/>
        <v>0</v>
      </c>
      <c r="M230" s="81"/>
      <c r="N230" s="54">
        <f t="shared" si="42"/>
        <v>0</v>
      </c>
      <c r="P230" s="192" t="str">
        <f t="shared" si="39"/>
        <v>6100/020PROPERTY - ACC DEPR</v>
      </c>
      <c r="Q230" s="76"/>
      <c r="R230" s="31"/>
      <c r="S230" s="77"/>
      <c r="T230" s="57"/>
      <c r="U230" s="31"/>
    </row>
    <row r="231" spans="1:21" x14ac:dyDescent="0.2">
      <c r="A231" s="315"/>
      <c r="B231" s="60" t="s">
        <v>287</v>
      </c>
      <c r="C231" s="319" t="s">
        <v>1134</v>
      </c>
      <c r="D231" s="326"/>
      <c r="E231" s="327"/>
      <c r="F231" s="180"/>
      <c r="G231" s="180"/>
      <c r="H231" s="180"/>
      <c r="I231" s="86">
        <f>SUM(N231:N234)</f>
        <v>0</v>
      </c>
      <c r="J231" s="53">
        <f>SUMIF(Journals!D$14:D$920,TrialBalance!P231,Journals!J$14:J$920)+SUMIF(Journals!E$14:E$920,TrialBalance!P231,Journals!J$14:J$920)</f>
        <v>0</v>
      </c>
      <c r="K231" s="330"/>
      <c r="L231" s="332">
        <f t="shared" si="41"/>
        <v>0</v>
      </c>
      <c r="M231" s="81"/>
      <c r="N231" s="54">
        <f t="shared" si="42"/>
        <v>0</v>
      </c>
      <c r="P231" s="192" t="str">
        <f t="shared" si="39"/>
        <v>6100/021Property - acc depr b/fwd</v>
      </c>
      <c r="Q231" s="76"/>
      <c r="R231" s="31"/>
      <c r="S231" s="77"/>
      <c r="T231" s="57"/>
      <c r="U231" s="31"/>
    </row>
    <row r="232" spans="1:21" x14ac:dyDescent="0.2">
      <c r="A232" s="315"/>
      <c r="B232" s="60" t="s">
        <v>288</v>
      </c>
      <c r="C232" s="319" t="s">
        <v>1135</v>
      </c>
      <c r="D232" s="326"/>
      <c r="E232" s="327"/>
      <c r="F232" s="180">
        <f>TrialBalanceA!I232</f>
        <v>0</v>
      </c>
      <c r="G232" s="180">
        <f>TrialBalanceB!I232</f>
        <v>0</v>
      </c>
      <c r="H232" s="180">
        <f>TrialBalanceC!I232</f>
        <v>0</v>
      </c>
      <c r="I232" s="86">
        <f>-FARegister!W11</f>
        <v>0</v>
      </c>
      <c r="J232" s="53">
        <f>SUMIF(Journals!D$14:D$920,TrialBalance!P232,Journals!J$14:J$920)+SUMIF(Journals!E$14:E$920,TrialBalance!P232,Journals!J$14:J$920)</f>
        <v>0</v>
      </c>
      <c r="K232" s="330"/>
      <c r="L232" s="332">
        <f t="shared" si="41"/>
        <v>0</v>
      </c>
      <c r="M232" s="81"/>
      <c r="N232" s="54">
        <f t="shared" si="42"/>
        <v>0</v>
      </c>
      <c r="P232" s="192" t="str">
        <f t="shared" ref="P232:P264" si="44">CONCATENATE(B232,C232)</f>
        <v>6100/022Property - depr this year</v>
      </c>
      <c r="Q232" s="76"/>
      <c r="R232" s="31"/>
      <c r="S232" s="77"/>
      <c r="T232" s="57"/>
      <c r="U232" s="31"/>
    </row>
    <row r="233" spans="1:21" x14ac:dyDescent="0.2">
      <c r="A233" s="315"/>
      <c r="B233" s="60" t="s">
        <v>291</v>
      </c>
      <c r="C233" s="319" t="s">
        <v>1136</v>
      </c>
      <c r="D233" s="326"/>
      <c r="E233" s="327"/>
      <c r="F233" s="180">
        <f>TrialBalanceA!I233</f>
        <v>0</v>
      </c>
      <c r="G233" s="180">
        <f>TrialBalanceB!I233</f>
        <v>0</v>
      </c>
      <c r="H233" s="180">
        <f>TrialBalanceC!I233</f>
        <v>0</v>
      </c>
      <c r="I233" s="86"/>
      <c r="J233" s="53">
        <f>SUMIF(Journals!D$14:D$920,TrialBalance!P233,Journals!J$14:J$920)+SUMIF(Journals!E$14:E$920,TrialBalance!P233,Journals!J$14:J$920)</f>
        <v>0</v>
      </c>
      <c r="K233" s="330"/>
      <c r="L233" s="332">
        <f t="shared" si="41"/>
        <v>0</v>
      </c>
      <c r="M233" s="81"/>
      <c r="N233" s="54">
        <f t="shared" si="42"/>
        <v>0</v>
      </c>
      <c r="P233" s="192" t="str">
        <f t="shared" si="44"/>
        <v>6100/023Property - acc depr on sales</v>
      </c>
      <c r="Q233" s="76"/>
      <c r="R233" s="31"/>
      <c r="S233" s="77"/>
      <c r="T233" s="57"/>
      <c r="U233" s="31"/>
    </row>
    <row r="234" spans="1:21" x14ac:dyDescent="0.2">
      <c r="A234" s="315"/>
      <c r="B234" s="110" t="s">
        <v>1154</v>
      </c>
      <c r="C234" s="319" t="s">
        <v>1155</v>
      </c>
      <c r="D234" s="326"/>
      <c r="E234" s="327"/>
      <c r="F234" s="180">
        <f>TrialBalanceA!I234</f>
        <v>0</v>
      </c>
      <c r="G234" s="180">
        <f>TrialBalanceB!I234</f>
        <v>0</v>
      </c>
      <c r="H234" s="180">
        <f>TrialBalanceC!I234</f>
        <v>0</v>
      </c>
      <c r="I234" s="86"/>
      <c r="J234" s="53">
        <f>SUMIF(Journals!D$14:D$920,TrialBalance!P234,Journals!J$14:J$920)+SUMIF(Journals!E$14:E$920,TrialBalance!P234,Journals!J$14:J$920)</f>
        <v>0</v>
      </c>
      <c r="K234" s="330"/>
      <c r="L234" s="332">
        <f t="shared" ref="L234" si="45">ROUND(D234-E234+F234+G234+H234+J234+I234,0)</f>
        <v>0</v>
      </c>
      <c r="M234" s="81"/>
      <c r="N234" s="54">
        <f t="shared" ref="N234" si="46">ROUND(SUM(A234),0)</f>
        <v>0</v>
      </c>
      <c r="P234" s="192" t="str">
        <f t="shared" ref="P234" si="47">CONCATENATE(B234,C234)</f>
        <v>6100/024Property - recoupment of depr</v>
      </c>
      <c r="Q234" s="76"/>
      <c r="R234" s="31"/>
      <c r="S234" s="77"/>
      <c r="T234" s="57"/>
      <c r="U234" s="31"/>
    </row>
    <row r="235" spans="1:21" x14ac:dyDescent="0.2">
      <c r="A235" s="315"/>
      <c r="B235" s="110" t="s">
        <v>676</v>
      </c>
      <c r="C235" s="316" t="s">
        <v>1137</v>
      </c>
      <c r="D235" s="326"/>
      <c r="E235" s="327"/>
      <c r="F235" s="180"/>
      <c r="G235" s="180"/>
      <c r="H235" s="180"/>
      <c r="I235" s="86"/>
      <c r="J235" s="53">
        <f>SUMIF(Journals!D$14:D$920,TrialBalance!P235,Journals!J$14:J$920)+SUMIF(Journals!E$14:E$920,TrialBalance!P235,Journals!J$14:J$920)</f>
        <v>0</v>
      </c>
      <c r="K235" s="331"/>
      <c r="L235" s="332">
        <f t="shared" ref="L235:L238" si="48">ROUND(D235-E235+F235+G235+H235+J235+I235,0)</f>
        <v>0</v>
      </c>
      <c r="M235" s="81"/>
      <c r="N235" s="54">
        <f t="shared" si="42"/>
        <v>0</v>
      </c>
      <c r="P235" s="192" t="str">
        <f t="shared" si="44"/>
        <v>6100/030PROPERTY - REVALUATION</v>
      </c>
      <c r="Q235" s="76"/>
      <c r="R235" s="31"/>
      <c r="S235" s="77"/>
      <c r="T235" s="57"/>
      <c r="U235" s="31"/>
    </row>
    <row r="236" spans="1:21" x14ac:dyDescent="0.2">
      <c r="A236" s="315"/>
      <c r="B236" s="110" t="s">
        <v>677</v>
      </c>
      <c r="C236" s="319" t="s">
        <v>1138</v>
      </c>
      <c r="D236" s="326"/>
      <c r="E236" s="327"/>
      <c r="F236" s="180"/>
      <c r="G236" s="180"/>
      <c r="H236" s="180"/>
      <c r="I236" s="86">
        <f>SUM(N236:N238)</f>
        <v>0</v>
      </c>
      <c r="J236" s="53">
        <f>SUMIF(Journals!D$14:D$920,TrialBalance!P236,Journals!J$14:J$920)+SUMIF(Journals!E$14:E$920,TrialBalance!P236,Journals!J$14:J$920)</f>
        <v>0</v>
      </c>
      <c r="K236" s="330"/>
      <c r="L236" s="332">
        <f t="shared" si="48"/>
        <v>0</v>
      </c>
      <c r="M236" s="81"/>
      <c r="N236" s="54">
        <f t="shared" si="42"/>
        <v>0</v>
      </c>
      <c r="P236" s="192" t="str">
        <f t="shared" si="44"/>
        <v>6100/031Property - revaluation b/fwd</v>
      </c>
      <c r="Q236" s="76"/>
      <c r="R236" s="31"/>
      <c r="S236" s="77"/>
      <c r="T236" s="57"/>
      <c r="U236" s="31"/>
    </row>
    <row r="237" spans="1:21" x14ac:dyDescent="0.2">
      <c r="A237" s="315"/>
      <c r="B237" s="110" t="s">
        <v>678</v>
      </c>
      <c r="C237" s="319" t="s">
        <v>1139</v>
      </c>
      <c r="D237" s="326"/>
      <c r="E237" s="327"/>
      <c r="F237" s="180">
        <f>TrialBalanceA!I237</f>
        <v>0</v>
      </c>
      <c r="G237" s="180">
        <f>TrialBalanceB!I237</f>
        <v>0</v>
      </c>
      <c r="H237" s="180">
        <f>TrialBalanceC!I237</f>
        <v>0</v>
      </c>
      <c r="I237" s="86"/>
      <c r="J237" s="53">
        <f>SUMIF(Journals!D$14:D$920,TrialBalance!P237,Journals!J$14:J$920)+SUMIF(Journals!E$14:E$920,TrialBalance!P237,Journals!J$14:J$920)</f>
        <v>0</v>
      </c>
      <c r="K237" s="330"/>
      <c r="L237" s="332">
        <f t="shared" si="48"/>
        <v>0</v>
      </c>
      <c r="M237" s="81"/>
      <c r="N237" s="54">
        <f t="shared" si="42"/>
        <v>0</v>
      </c>
      <c r="P237" s="192" t="str">
        <f t="shared" si="44"/>
        <v>6100/032Property - revaluation additions</v>
      </c>
      <c r="Q237" s="76"/>
      <c r="R237" s="31"/>
      <c r="S237" s="77"/>
      <c r="T237" s="57"/>
      <c r="U237" s="31"/>
    </row>
    <row r="238" spans="1:21" x14ac:dyDescent="0.2">
      <c r="A238" s="315"/>
      <c r="B238" s="110" t="s">
        <v>679</v>
      </c>
      <c r="C238" s="319" t="s">
        <v>1140</v>
      </c>
      <c r="D238" s="326"/>
      <c r="E238" s="327"/>
      <c r="F238" s="180">
        <f>TrialBalanceA!I238</f>
        <v>0</v>
      </c>
      <c r="G238" s="180">
        <f>TrialBalanceB!I238</f>
        <v>0</v>
      </c>
      <c r="H238" s="180">
        <f>TrialBalanceC!I238</f>
        <v>0</v>
      </c>
      <c r="I238" s="86"/>
      <c r="J238" s="53">
        <f>SUMIF(Journals!D$14:D$920,TrialBalance!P238,Journals!J$14:J$920)+SUMIF(Journals!E$14:E$920,TrialBalance!P238,Journals!J$14:J$920)</f>
        <v>0</v>
      </c>
      <c r="K238" s="330"/>
      <c r="L238" s="332">
        <f t="shared" si="48"/>
        <v>0</v>
      </c>
      <c r="M238" s="81"/>
      <c r="N238" s="54">
        <f t="shared" si="42"/>
        <v>0</v>
      </c>
      <c r="P238" s="192" t="str">
        <f t="shared" si="44"/>
        <v>6100/033Property - revaluation reduction</v>
      </c>
      <c r="Q238" s="76"/>
      <c r="R238" s="31"/>
      <c r="S238" s="77"/>
      <c r="T238" s="57"/>
      <c r="U238" s="31"/>
    </row>
    <row r="239" spans="1:21" x14ac:dyDescent="0.2">
      <c r="A239" s="315"/>
      <c r="B239" s="60" t="s">
        <v>292</v>
      </c>
      <c r="C239" s="316" t="s">
        <v>773</v>
      </c>
      <c r="D239" s="326"/>
      <c r="E239" s="327"/>
      <c r="F239" s="180"/>
      <c r="G239" s="180"/>
      <c r="H239" s="180"/>
      <c r="I239" s="86"/>
      <c r="J239" s="53">
        <f>SUMIF(Journals!D$14:D$920,TrialBalance!P239,Journals!J$14:J$920)+SUMIF(Journals!E$14:E$920,TrialBalance!P239,Journals!J$14:J$920)</f>
        <v>0</v>
      </c>
      <c r="K239" s="330"/>
      <c r="L239" s="332">
        <f t="shared" si="41"/>
        <v>0</v>
      </c>
      <c r="M239" s="81"/>
      <c r="N239" s="54">
        <f t="shared" si="42"/>
        <v>0</v>
      </c>
      <c r="P239" s="192" t="str">
        <f t="shared" si="44"/>
        <v>6150/000PLANT AND MACHINERY - COST</v>
      </c>
      <c r="Q239" s="76"/>
      <c r="R239" s="31"/>
      <c r="S239" s="77"/>
      <c r="T239" s="57"/>
      <c r="U239" s="31"/>
    </row>
    <row r="240" spans="1:21" x14ac:dyDescent="0.2">
      <c r="A240" s="315"/>
      <c r="B240" s="60" t="s">
        <v>42</v>
      </c>
      <c r="C240" s="319" t="s">
        <v>774</v>
      </c>
      <c r="D240" s="326"/>
      <c r="E240" s="327"/>
      <c r="F240" s="180"/>
      <c r="G240" s="180"/>
      <c r="H240" s="180"/>
      <c r="I240" s="86">
        <f>SUM(N240:N242)</f>
        <v>0</v>
      </c>
      <c r="J240" s="53">
        <f>SUMIF(Journals!D$14:D$920,TrialBalance!P240,Journals!J$14:J$920)+SUMIF(Journals!E$14:E$920,TrialBalance!P240,Journals!J$14:J$920)</f>
        <v>0</v>
      </c>
      <c r="K240" s="330"/>
      <c r="L240" s="332">
        <f t="shared" si="41"/>
        <v>0</v>
      </c>
      <c r="M240" s="81"/>
      <c r="N240" s="54">
        <f t="shared" si="42"/>
        <v>0</v>
      </c>
      <c r="P240" s="192" t="str">
        <f t="shared" si="44"/>
        <v>6150/001Plant and machinery - cost b/fwd</v>
      </c>
      <c r="Q240" s="78"/>
      <c r="R240" s="31"/>
      <c r="S240" s="57"/>
      <c r="T240" s="57"/>
      <c r="U240" s="31"/>
    </row>
    <row r="241" spans="1:21" x14ac:dyDescent="0.2">
      <c r="A241" s="315"/>
      <c r="B241" s="60" t="s">
        <v>43</v>
      </c>
      <c r="C241" s="319" t="s">
        <v>775</v>
      </c>
      <c r="D241" s="326"/>
      <c r="E241" s="327"/>
      <c r="F241" s="180">
        <f>TrialBalanceA!I241</f>
        <v>0</v>
      </c>
      <c r="G241" s="180">
        <f>TrialBalanceB!I241</f>
        <v>0</v>
      </c>
      <c r="H241" s="180">
        <f>TrialBalanceC!I241</f>
        <v>0</v>
      </c>
      <c r="I241" s="86"/>
      <c r="J241" s="53">
        <f>SUMIF(Journals!D$14:D$920,TrialBalance!P241,Journals!J$14:J$920)+SUMIF(Journals!E$14:E$920,TrialBalance!P241,Journals!J$14:J$920)</f>
        <v>0</v>
      </c>
      <c r="K241" s="330"/>
      <c r="L241" s="332">
        <f t="shared" si="41"/>
        <v>0</v>
      </c>
      <c r="M241" s="81"/>
      <c r="N241" s="54">
        <f t="shared" si="42"/>
        <v>0</v>
      </c>
      <c r="P241" s="192" t="str">
        <f t="shared" si="44"/>
        <v>6150/002Plant and machinery - additions</v>
      </c>
      <c r="Q241" s="76"/>
      <c r="R241" s="31"/>
      <c r="S241" s="77"/>
      <c r="T241" s="57"/>
      <c r="U241" s="31"/>
    </row>
    <row r="242" spans="1:21" x14ac:dyDescent="0.2">
      <c r="A242" s="315"/>
      <c r="B242" s="60" t="s">
        <v>44</v>
      </c>
      <c r="C242" s="319" t="s">
        <v>776</v>
      </c>
      <c r="D242" s="326"/>
      <c r="E242" s="327"/>
      <c r="F242" s="180">
        <f>TrialBalanceA!I242</f>
        <v>0</v>
      </c>
      <c r="G242" s="180">
        <f>TrialBalanceB!I242</f>
        <v>0</v>
      </c>
      <c r="H242" s="180">
        <f>TrialBalanceC!I242</f>
        <v>0</v>
      </c>
      <c r="I242" s="86"/>
      <c r="J242" s="53">
        <f>SUMIF(Journals!D$14:D$920,TrialBalance!P242,Journals!J$14:J$920)+SUMIF(Journals!E$14:E$920,TrialBalance!P242,Journals!J$14:J$920)</f>
        <v>0</v>
      </c>
      <c r="K242" s="330"/>
      <c r="L242" s="332">
        <f t="shared" si="41"/>
        <v>0</v>
      </c>
      <c r="M242" s="81"/>
      <c r="N242" s="54">
        <f t="shared" si="42"/>
        <v>0</v>
      </c>
      <c r="P242" s="192" t="str">
        <f t="shared" si="44"/>
        <v>6150/003Plant and machinery - cost of sales</v>
      </c>
      <c r="Q242" s="76"/>
      <c r="R242" s="31"/>
      <c r="S242" s="77"/>
      <c r="T242" s="57"/>
      <c r="U242" s="31"/>
    </row>
    <row r="243" spans="1:21" x14ac:dyDescent="0.2">
      <c r="A243" s="315"/>
      <c r="B243" s="60" t="s">
        <v>19</v>
      </c>
      <c r="C243" s="316" t="s">
        <v>777</v>
      </c>
      <c r="D243" s="326"/>
      <c r="E243" s="327"/>
      <c r="F243" s="180"/>
      <c r="G243" s="180"/>
      <c r="H243" s="180"/>
      <c r="I243" s="86"/>
      <c r="J243" s="53">
        <f>SUMIF(Journals!D$14:D$920,TrialBalance!P243,Journals!J$14:J$920)+SUMIF(Journals!E$14:E$920,TrialBalance!P243,Journals!J$14:J$920)</f>
        <v>0</v>
      </c>
      <c r="K243" s="330"/>
      <c r="L243" s="332">
        <f t="shared" si="41"/>
        <v>0</v>
      </c>
      <c r="M243" s="81"/>
      <c r="N243" s="54">
        <f t="shared" si="42"/>
        <v>0</v>
      </c>
      <c r="P243" s="192" t="str">
        <f t="shared" si="44"/>
        <v>6150/020PLANT AND MACHINERY - ACC DEPR</v>
      </c>
      <c r="Q243" s="76"/>
      <c r="R243" s="31"/>
      <c r="S243" s="77"/>
      <c r="T243" s="57"/>
      <c r="U243" s="31"/>
    </row>
    <row r="244" spans="1:21" x14ac:dyDescent="0.2">
      <c r="A244" s="315"/>
      <c r="B244" s="60" t="s">
        <v>20</v>
      </c>
      <c r="C244" s="319" t="s">
        <v>778</v>
      </c>
      <c r="D244" s="326"/>
      <c r="E244" s="327"/>
      <c r="F244" s="180"/>
      <c r="G244" s="180"/>
      <c r="H244" s="180"/>
      <c r="I244" s="86">
        <f>SUM(N244:N246)</f>
        <v>0</v>
      </c>
      <c r="J244" s="53">
        <f>SUMIF(Journals!D$14:D$920,TrialBalance!P244,Journals!J$14:J$920)+SUMIF(Journals!E$14:E$920,TrialBalance!P244,Journals!J$14:J$920)</f>
        <v>0</v>
      </c>
      <c r="K244" s="330"/>
      <c r="L244" s="332">
        <f t="shared" si="41"/>
        <v>0</v>
      </c>
      <c r="M244" s="81"/>
      <c r="N244" s="54">
        <f t="shared" si="42"/>
        <v>0</v>
      </c>
      <c r="P244" s="192" t="str">
        <f t="shared" si="44"/>
        <v>6150/021Plant and machinery - acc depr b/fwd</v>
      </c>
      <c r="Q244" s="76"/>
      <c r="R244" s="31"/>
      <c r="S244" s="77"/>
      <c r="T244" s="57"/>
      <c r="U244" s="31"/>
    </row>
    <row r="245" spans="1:21" x14ac:dyDescent="0.2">
      <c r="A245" s="315"/>
      <c r="B245" s="60" t="s">
        <v>36</v>
      </c>
      <c r="C245" s="319" t="s">
        <v>779</v>
      </c>
      <c r="D245" s="326"/>
      <c r="E245" s="327"/>
      <c r="F245" s="180">
        <f>TrialBalanceA!I245</f>
        <v>0</v>
      </c>
      <c r="G245" s="180">
        <f>TrialBalanceB!I245</f>
        <v>0</v>
      </c>
      <c r="H245" s="180">
        <f>TrialBalanceC!I245</f>
        <v>0</v>
      </c>
      <c r="I245" s="86">
        <f>-FARegister!W12</f>
        <v>0</v>
      </c>
      <c r="J245" s="53">
        <f>SUMIF(Journals!D$14:D$920,TrialBalance!P245,Journals!J$14:J$920)+SUMIF(Journals!E$14:E$920,TrialBalance!P245,Journals!J$14:J$920)</f>
        <v>0</v>
      </c>
      <c r="K245" s="330"/>
      <c r="L245" s="332">
        <f t="shared" si="41"/>
        <v>0</v>
      </c>
      <c r="M245" s="81"/>
      <c r="N245" s="54">
        <f t="shared" si="42"/>
        <v>0</v>
      </c>
      <c r="P245" s="192" t="str">
        <f t="shared" si="44"/>
        <v>6150/022Plant and machinery - depr this year</v>
      </c>
      <c r="Q245" s="76"/>
      <c r="R245" s="31"/>
      <c r="S245" s="77"/>
      <c r="T245" s="57"/>
      <c r="U245" s="31"/>
    </row>
    <row r="246" spans="1:21" x14ac:dyDescent="0.2">
      <c r="A246" s="315"/>
      <c r="B246" s="60" t="s">
        <v>37</v>
      </c>
      <c r="C246" s="319" t="s">
        <v>780</v>
      </c>
      <c r="D246" s="326"/>
      <c r="E246" s="327"/>
      <c r="F246" s="180">
        <f>TrialBalanceA!I246</f>
        <v>0</v>
      </c>
      <c r="G246" s="180">
        <f>TrialBalanceB!I246</f>
        <v>0</v>
      </c>
      <c r="H246" s="180">
        <f>TrialBalanceC!I246</f>
        <v>0</v>
      </c>
      <c r="I246" s="86"/>
      <c r="J246" s="53">
        <f>SUMIF(Journals!D$14:D$920,TrialBalance!P246,Journals!J$14:J$920)+SUMIF(Journals!E$14:E$920,TrialBalance!P246,Journals!J$14:J$920)</f>
        <v>0</v>
      </c>
      <c r="K246" s="330"/>
      <c r="L246" s="332">
        <f t="shared" si="41"/>
        <v>0</v>
      </c>
      <c r="M246" s="81"/>
      <c r="N246" s="54">
        <f t="shared" si="42"/>
        <v>0</v>
      </c>
      <c r="P246" s="192" t="str">
        <f t="shared" si="44"/>
        <v>6150/023Plant and machinery - acc depr on sales</v>
      </c>
      <c r="Q246" s="76"/>
      <c r="R246" s="31"/>
      <c r="S246" s="77"/>
      <c r="T246" s="57"/>
      <c r="U246" s="31"/>
    </row>
    <row r="247" spans="1:21" x14ac:dyDescent="0.2">
      <c r="A247" s="315"/>
      <c r="B247" s="60" t="s">
        <v>38</v>
      </c>
      <c r="C247" s="316" t="s">
        <v>39</v>
      </c>
      <c r="D247" s="326"/>
      <c r="E247" s="327"/>
      <c r="F247" s="180"/>
      <c r="G247" s="180"/>
      <c r="H247" s="180"/>
      <c r="I247" s="86"/>
      <c r="J247" s="53">
        <f>SUMIF(Journals!D$14:D$920,TrialBalance!P247,Journals!J$14:J$920)+SUMIF(Journals!E$14:E$920,TrialBalance!P247,Journals!J$14:J$920)</f>
        <v>0</v>
      </c>
      <c r="K247" s="330"/>
      <c r="L247" s="332">
        <f t="shared" si="41"/>
        <v>0</v>
      </c>
      <c r="M247" s="81"/>
      <c r="N247" s="54">
        <f t="shared" si="42"/>
        <v>0</v>
      </c>
      <c r="P247" s="192" t="str">
        <f t="shared" si="44"/>
        <v>6200/000MOTOR VEHICLES - COST</v>
      </c>
      <c r="Q247" s="76"/>
      <c r="R247" s="31"/>
      <c r="S247" s="77"/>
      <c r="T247" s="57"/>
      <c r="U247" s="31"/>
    </row>
    <row r="248" spans="1:21" x14ac:dyDescent="0.2">
      <c r="A248" s="315"/>
      <c r="B248" s="60" t="s">
        <v>40</v>
      </c>
      <c r="C248" s="319" t="s">
        <v>781</v>
      </c>
      <c r="D248" s="326"/>
      <c r="E248" s="327"/>
      <c r="F248" s="180"/>
      <c r="G248" s="180"/>
      <c r="H248" s="180"/>
      <c r="I248" s="86">
        <f>SUM(N248:N250)</f>
        <v>0</v>
      </c>
      <c r="J248" s="53">
        <f>SUMIF(Journals!D$14:D$920,TrialBalance!P248,Journals!J$14:J$920)+SUMIF(Journals!E$14:E$920,TrialBalance!P248,Journals!J$14:J$920)</f>
        <v>0</v>
      </c>
      <c r="K248" s="330"/>
      <c r="L248" s="332">
        <f t="shared" si="41"/>
        <v>0</v>
      </c>
      <c r="M248" s="81"/>
      <c r="N248" s="54">
        <f t="shared" si="42"/>
        <v>0</v>
      </c>
      <c r="P248" s="192" t="str">
        <f t="shared" si="44"/>
        <v>6200/001Motor vehicles - cost b/fwd</v>
      </c>
      <c r="Q248" s="78"/>
      <c r="R248" s="31"/>
      <c r="S248" s="77"/>
      <c r="T248" s="57"/>
      <c r="U248" s="31"/>
    </row>
    <row r="249" spans="1:21" x14ac:dyDescent="0.2">
      <c r="A249" s="315"/>
      <c r="B249" s="60" t="s">
        <v>41</v>
      </c>
      <c r="C249" s="319" t="s">
        <v>782</v>
      </c>
      <c r="D249" s="326"/>
      <c r="E249" s="327"/>
      <c r="F249" s="180">
        <f>TrialBalanceA!I249</f>
        <v>0</v>
      </c>
      <c r="G249" s="180">
        <f>TrialBalanceB!I249</f>
        <v>0</v>
      </c>
      <c r="H249" s="180">
        <f>TrialBalanceC!I249</f>
        <v>0</v>
      </c>
      <c r="I249" s="86"/>
      <c r="J249" s="53">
        <f>SUMIF(Journals!D$14:D$920,TrialBalance!P249,Journals!J$14:J$920)+SUMIF(Journals!E$14:E$920,TrialBalance!P249,Journals!J$14:J$920)</f>
        <v>0</v>
      </c>
      <c r="K249" s="330"/>
      <c r="L249" s="332">
        <f t="shared" si="41"/>
        <v>0</v>
      </c>
      <c r="M249" s="81"/>
      <c r="N249" s="54">
        <f t="shared" si="42"/>
        <v>0</v>
      </c>
      <c r="P249" s="192" t="str">
        <f t="shared" si="44"/>
        <v>6200/002Motor vehicles - additions</v>
      </c>
      <c r="Q249" s="76"/>
      <c r="R249" s="31"/>
      <c r="S249" s="77"/>
      <c r="T249" s="57"/>
      <c r="U249" s="31"/>
    </row>
    <row r="250" spans="1:21" x14ac:dyDescent="0.2">
      <c r="A250" s="315"/>
      <c r="B250" s="60" t="s">
        <v>478</v>
      </c>
      <c r="C250" s="319" t="s">
        <v>783</v>
      </c>
      <c r="D250" s="326"/>
      <c r="E250" s="327"/>
      <c r="F250" s="180">
        <f>TrialBalanceA!I250</f>
        <v>0</v>
      </c>
      <c r="G250" s="180">
        <f>TrialBalanceB!I250</f>
        <v>0</v>
      </c>
      <c r="H250" s="180">
        <f>TrialBalanceC!I250</f>
        <v>0</v>
      </c>
      <c r="I250" s="86"/>
      <c r="J250" s="53">
        <f>SUMIF(Journals!D$14:D$920,TrialBalance!P250,Journals!J$14:J$920)+SUMIF(Journals!E$14:E$920,TrialBalance!P250,Journals!J$14:J$920)</f>
        <v>0</v>
      </c>
      <c r="K250" s="330"/>
      <c r="L250" s="332">
        <f t="shared" si="41"/>
        <v>0</v>
      </c>
      <c r="M250" s="81"/>
      <c r="N250" s="54">
        <f t="shared" si="42"/>
        <v>0</v>
      </c>
      <c r="P250" s="192" t="str">
        <f t="shared" si="44"/>
        <v>6200/003Motor vehicles - cost of sales</v>
      </c>
      <c r="Q250" s="76"/>
      <c r="R250" s="31"/>
      <c r="S250" s="77"/>
      <c r="T250" s="57"/>
      <c r="U250" s="31"/>
    </row>
    <row r="251" spans="1:21" x14ac:dyDescent="0.2">
      <c r="A251" s="315"/>
      <c r="B251" s="60" t="s">
        <v>0</v>
      </c>
      <c r="C251" s="316" t="s">
        <v>1</v>
      </c>
      <c r="D251" s="326"/>
      <c r="E251" s="327"/>
      <c r="F251" s="180"/>
      <c r="G251" s="180"/>
      <c r="H251" s="180"/>
      <c r="I251" s="86"/>
      <c r="J251" s="53">
        <f>SUMIF(Journals!D$14:D$920,TrialBalance!P251,Journals!J$14:J$920)+SUMIF(Journals!E$14:E$920,TrialBalance!P251,Journals!J$14:J$920)</f>
        <v>0</v>
      </c>
      <c r="K251" s="330"/>
      <c r="L251" s="332">
        <f t="shared" si="41"/>
        <v>0</v>
      </c>
      <c r="M251" s="81"/>
      <c r="N251" s="54">
        <f t="shared" si="42"/>
        <v>0</v>
      </c>
      <c r="P251" s="192" t="str">
        <f t="shared" si="44"/>
        <v>6200/020MOTOR VEHICLES - ACC DEPR</v>
      </c>
      <c r="Q251" s="76"/>
      <c r="R251" s="31"/>
      <c r="S251" s="77"/>
      <c r="T251" s="57"/>
      <c r="U251" s="31"/>
    </row>
    <row r="252" spans="1:21" x14ac:dyDescent="0.2">
      <c r="A252" s="315"/>
      <c r="B252" s="60" t="s">
        <v>2</v>
      </c>
      <c r="C252" s="319" t="s">
        <v>784</v>
      </c>
      <c r="D252" s="326"/>
      <c r="E252" s="327"/>
      <c r="F252" s="180"/>
      <c r="G252" s="180"/>
      <c r="H252" s="180"/>
      <c r="I252" s="86">
        <f>SUM(N252:N254)</f>
        <v>0</v>
      </c>
      <c r="J252" s="53">
        <f>SUMIF(Journals!D$14:D$920,TrialBalance!P252,Journals!J$14:J$920)+SUMIF(Journals!E$14:E$920,TrialBalance!P252,Journals!J$14:J$920)</f>
        <v>0</v>
      </c>
      <c r="K252" s="330"/>
      <c r="L252" s="332">
        <f t="shared" si="41"/>
        <v>0</v>
      </c>
      <c r="M252" s="81"/>
      <c r="N252" s="54">
        <f t="shared" si="42"/>
        <v>0</v>
      </c>
      <c r="P252" s="192" t="str">
        <f t="shared" si="44"/>
        <v>6200/021Motor vehicles - acc depr b/fwd</v>
      </c>
      <c r="Q252" s="76"/>
      <c r="R252" s="31"/>
      <c r="S252" s="77"/>
      <c r="T252" s="77"/>
      <c r="U252" s="31"/>
    </row>
    <row r="253" spans="1:21" x14ac:dyDescent="0.2">
      <c r="A253" s="315"/>
      <c r="B253" s="60" t="s">
        <v>3</v>
      </c>
      <c r="C253" s="319" t="s">
        <v>785</v>
      </c>
      <c r="D253" s="326"/>
      <c r="E253" s="327"/>
      <c r="F253" s="180">
        <f>TrialBalanceA!I253</f>
        <v>0</v>
      </c>
      <c r="G253" s="180">
        <f>TrialBalanceB!I253</f>
        <v>0</v>
      </c>
      <c r="H253" s="180">
        <f>TrialBalanceC!I253</f>
        <v>0</v>
      </c>
      <c r="I253" s="86">
        <f>-FARegister!W13</f>
        <v>0</v>
      </c>
      <c r="J253" s="53">
        <f>SUMIF(Journals!D$14:D$920,TrialBalance!P253,Journals!J$14:J$920)+SUMIF(Journals!E$14:E$920,TrialBalance!P253,Journals!J$14:J$920)</f>
        <v>0</v>
      </c>
      <c r="K253" s="330"/>
      <c r="L253" s="332">
        <f t="shared" si="41"/>
        <v>0</v>
      </c>
      <c r="M253" s="81"/>
      <c r="N253" s="54">
        <f t="shared" si="42"/>
        <v>0</v>
      </c>
      <c r="P253" s="192" t="str">
        <f t="shared" si="44"/>
        <v>6200/022Motor vehicles - depr this year</v>
      </c>
      <c r="Q253" s="76"/>
      <c r="R253" s="31"/>
      <c r="S253" s="77"/>
      <c r="T253" s="77"/>
      <c r="U253" s="31"/>
    </row>
    <row r="254" spans="1:21" x14ac:dyDescent="0.2">
      <c r="A254" s="315"/>
      <c r="B254" s="60" t="s">
        <v>4</v>
      </c>
      <c r="C254" s="319" t="s">
        <v>786</v>
      </c>
      <c r="D254" s="326"/>
      <c r="E254" s="327"/>
      <c r="F254" s="180">
        <f>TrialBalanceA!I254</f>
        <v>0</v>
      </c>
      <c r="G254" s="180">
        <f>TrialBalanceB!I254</f>
        <v>0</v>
      </c>
      <c r="H254" s="180">
        <f>TrialBalanceC!I254</f>
        <v>0</v>
      </c>
      <c r="I254" s="86"/>
      <c r="J254" s="53">
        <f>SUMIF(Journals!D$14:D$920,TrialBalance!P254,Journals!J$14:J$920)+SUMIF(Journals!E$14:E$920,TrialBalance!P254,Journals!J$14:J$920)</f>
        <v>0</v>
      </c>
      <c r="K254" s="330"/>
      <c r="L254" s="332">
        <f t="shared" si="41"/>
        <v>0</v>
      </c>
      <c r="M254" s="81"/>
      <c r="N254" s="54">
        <f t="shared" si="42"/>
        <v>0</v>
      </c>
      <c r="P254" s="192" t="str">
        <f t="shared" si="44"/>
        <v>6200/023Motor vehicles - acc depr on sales</v>
      </c>
      <c r="Q254" s="76"/>
      <c r="R254" s="31"/>
      <c r="S254" s="77"/>
      <c r="T254" s="57"/>
      <c r="U254" s="31"/>
    </row>
    <row r="255" spans="1:21" x14ac:dyDescent="0.2">
      <c r="A255" s="315"/>
      <c r="B255" s="60" t="s">
        <v>5</v>
      </c>
      <c r="C255" s="316" t="s">
        <v>128</v>
      </c>
      <c r="D255" s="326"/>
      <c r="E255" s="327"/>
      <c r="F255" s="180"/>
      <c r="G255" s="180"/>
      <c r="H255" s="180"/>
      <c r="I255" s="86"/>
      <c r="J255" s="53">
        <f>SUMIF(Journals!D$14:D$920,TrialBalance!P255,Journals!J$14:J$920)+SUMIF(Journals!E$14:E$920,TrialBalance!P255,Journals!J$14:J$920)</f>
        <v>0</v>
      </c>
      <c r="K255" s="330"/>
      <c r="L255" s="332">
        <f t="shared" si="41"/>
        <v>0</v>
      </c>
      <c r="M255" s="81"/>
      <c r="N255" s="54">
        <f t="shared" si="42"/>
        <v>0</v>
      </c>
      <c r="P255" s="192" t="str">
        <f t="shared" si="44"/>
        <v>6250/000ELECTRONIC EQUIPMENT - COST</v>
      </c>
      <c r="Q255" s="76"/>
      <c r="R255" s="31"/>
      <c r="S255" s="77"/>
      <c r="T255" s="57"/>
      <c r="U255" s="31"/>
    </row>
    <row r="256" spans="1:21" x14ac:dyDescent="0.2">
      <c r="A256" s="315"/>
      <c r="B256" s="60" t="s">
        <v>6</v>
      </c>
      <c r="C256" s="319" t="s">
        <v>787</v>
      </c>
      <c r="D256" s="326"/>
      <c r="E256" s="327"/>
      <c r="F256" s="180"/>
      <c r="G256" s="180"/>
      <c r="H256" s="180"/>
      <c r="I256" s="86">
        <f>SUM(N256:N258)</f>
        <v>0</v>
      </c>
      <c r="J256" s="53">
        <f>SUMIF(Journals!D$14:D$920,TrialBalance!P256,Journals!J$14:J$920)+SUMIF(Journals!E$14:E$920,TrialBalance!P256,Journals!J$14:J$920)</f>
        <v>0</v>
      </c>
      <c r="K256" s="330"/>
      <c r="L256" s="332">
        <f t="shared" si="41"/>
        <v>0</v>
      </c>
      <c r="M256" s="81"/>
      <c r="N256" s="54">
        <f t="shared" si="42"/>
        <v>0</v>
      </c>
      <c r="P256" s="192" t="str">
        <f t="shared" si="44"/>
        <v>6250/001Electronic equipment - cost b/fwd</v>
      </c>
      <c r="Q256" s="76"/>
      <c r="R256" s="31"/>
      <c r="S256" s="57"/>
      <c r="T256" s="57"/>
      <c r="U256" s="31"/>
    </row>
    <row r="257" spans="1:21" x14ac:dyDescent="0.2">
      <c r="A257" s="315"/>
      <c r="B257" s="60" t="s">
        <v>7</v>
      </c>
      <c r="C257" s="319" t="s">
        <v>788</v>
      </c>
      <c r="D257" s="326"/>
      <c r="E257" s="327"/>
      <c r="F257" s="180">
        <f>TrialBalanceA!I257</f>
        <v>0</v>
      </c>
      <c r="G257" s="180">
        <f>TrialBalanceB!I257</f>
        <v>0</v>
      </c>
      <c r="H257" s="180">
        <f>TrialBalanceC!I257</f>
        <v>0</v>
      </c>
      <c r="I257" s="86"/>
      <c r="J257" s="53">
        <f>SUMIF(Journals!D$14:D$920,TrialBalance!P257,Journals!J$14:J$920)+SUMIF(Journals!E$14:E$920,TrialBalance!P257,Journals!J$14:J$920)</f>
        <v>0</v>
      </c>
      <c r="K257" s="330"/>
      <c r="L257" s="332">
        <f t="shared" si="41"/>
        <v>0</v>
      </c>
      <c r="M257" s="81"/>
      <c r="N257" s="54">
        <f t="shared" si="42"/>
        <v>0</v>
      </c>
      <c r="P257" s="192" t="str">
        <f t="shared" si="44"/>
        <v>6250/002Electronic equipment - additions</v>
      </c>
      <c r="Q257" s="76"/>
      <c r="R257" s="31"/>
      <c r="S257" s="77"/>
      <c r="T257" s="57"/>
      <c r="U257" s="31"/>
    </row>
    <row r="258" spans="1:21" x14ac:dyDescent="0.2">
      <c r="A258" s="315"/>
      <c r="B258" s="60" t="s">
        <v>8</v>
      </c>
      <c r="C258" s="319" t="s">
        <v>789</v>
      </c>
      <c r="D258" s="326"/>
      <c r="E258" s="327"/>
      <c r="F258" s="180">
        <f>TrialBalanceA!I258</f>
        <v>0</v>
      </c>
      <c r="G258" s="180">
        <f>TrialBalanceB!I258</f>
        <v>0</v>
      </c>
      <c r="H258" s="180">
        <f>TrialBalanceC!I258</f>
        <v>0</v>
      </c>
      <c r="I258" s="86"/>
      <c r="J258" s="53">
        <f>SUMIF(Journals!D$14:D$920,TrialBalance!P258,Journals!J$14:J$920)+SUMIF(Journals!E$14:E$920,TrialBalance!P258,Journals!J$14:J$920)</f>
        <v>0</v>
      </c>
      <c r="K258" s="330"/>
      <c r="L258" s="332">
        <f t="shared" si="41"/>
        <v>0</v>
      </c>
      <c r="M258" s="81"/>
      <c r="N258" s="54">
        <f t="shared" si="42"/>
        <v>0</v>
      </c>
      <c r="P258" s="192" t="str">
        <f t="shared" si="44"/>
        <v>6250/003Electronic equipment - cost of sales</v>
      </c>
      <c r="Q258" s="76"/>
      <c r="R258" s="31"/>
      <c r="S258" s="77"/>
      <c r="T258" s="57"/>
      <c r="U258" s="31"/>
    </row>
    <row r="259" spans="1:21" x14ac:dyDescent="0.2">
      <c r="A259" s="315"/>
      <c r="B259" s="60" t="s">
        <v>9</v>
      </c>
      <c r="C259" s="316" t="s">
        <v>129</v>
      </c>
      <c r="D259" s="326"/>
      <c r="E259" s="327"/>
      <c r="F259" s="180"/>
      <c r="G259" s="180"/>
      <c r="H259" s="180"/>
      <c r="I259" s="86"/>
      <c r="J259" s="53">
        <f>SUMIF(Journals!D$14:D$920,TrialBalance!P259,Journals!J$14:J$920)+SUMIF(Journals!E$14:E$920,TrialBalance!P259,Journals!J$14:J$920)</f>
        <v>0</v>
      </c>
      <c r="K259" s="330"/>
      <c r="L259" s="332">
        <f t="shared" si="41"/>
        <v>0</v>
      </c>
      <c r="M259" s="81"/>
      <c r="N259" s="54">
        <f t="shared" si="42"/>
        <v>0</v>
      </c>
      <c r="P259" s="192" t="str">
        <f t="shared" si="44"/>
        <v>6250/020ELECTRONIC EQUIPMENT - ACC DEPR</v>
      </c>
      <c r="Q259" s="76"/>
      <c r="R259" s="31"/>
      <c r="S259" s="77"/>
      <c r="T259" s="57"/>
      <c r="U259" s="31"/>
    </row>
    <row r="260" spans="1:21" x14ac:dyDescent="0.2">
      <c r="A260" s="315"/>
      <c r="B260" s="60" t="s">
        <v>10</v>
      </c>
      <c r="C260" s="319" t="s">
        <v>790</v>
      </c>
      <c r="D260" s="326"/>
      <c r="E260" s="327"/>
      <c r="F260" s="180"/>
      <c r="G260" s="180"/>
      <c r="H260" s="180"/>
      <c r="I260" s="86">
        <f>SUM(N260:N262)</f>
        <v>0</v>
      </c>
      <c r="J260" s="53">
        <f>SUMIF(Journals!D$14:D$920,TrialBalance!P260,Journals!J$14:J$920)+SUMIF(Journals!E$14:E$920,TrialBalance!P260,Journals!J$14:J$920)</f>
        <v>0</v>
      </c>
      <c r="K260" s="330"/>
      <c r="L260" s="332">
        <f t="shared" si="41"/>
        <v>0</v>
      </c>
      <c r="M260" s="81"/>
      <c r="N260" s="54">
        <f t="shared" si="42"/>
        <v>0</v>
      </c>
      <c r="P260" s="192" t="str">
        <f t="shared" si="44"/>
        <v>6250/021Electronic equipment - acc depr b/fwd</v>
      </c>
      <c r="Q260" s="76"/>
      <c r="R260" s="31"/>
      <c r="S260" s="57"/>
      <c r="T260" s="57"/>
      <c r="U260" s="31"/>
    </row>
    <row r="261" spans="1:21" x14ac:dyDescent="0.2">
      <c r="A261" s="315"/>
      <c r="B261" s="60" t="s">
        <v>11</v>
      </c>
      <c r="C261" s="319" t="s">
        <v>791</v>
      </c>
      <c r="D261" s="326"/>
      <c r="E261" s="327"/>
      <c r="F261" s="180">
        <f>TrialBalanceA!I261</f>
        <v>0</v>
      </c>
      <c r="G261" s="180">
        <f>TrialBalanceB!I261</f>
        <v>0</v>
      </c>
      <c r="H261" s="180">
        <f>TrialBalanceC!I261</f>
        <v>0</v>
      </c>
      <c r="I261" s="86">
        <f>-FARegister!W14</f>
        <v>0</v>
      </c>
      <c r="J261" s="53">
        <f>SUMIF(Journals!D$14:D$920,TrialBalance!P261,Journals!J$14:J$920)+SUMIF(Journals!E$14:E$920,TrialBalance!P261,Journals!J$14:J$920)</f>
        <v>0</v>
      </c>
      <c r="K261" s="330"/>
      <c r="L261" s="332">
        <f t="shared" si="41"/>
        <v>0</v>
      </c>
      <c r="M261" s="81"/>
      <c r="N261" s="54">
        <f t="shared" si="42"/>
        <v>0</v>
      </c>
      <c r="P261" s="192" t="str">
        <f t="shared" si="44"/>
        <v>6250/022Electronic equipment - depr this year</v>
      </c>
      <c r="Q261" s="76"/>
      <c r="R261" s="31"/>
      <c r="S261" s="77"/>
      <c r="T261" s="57"/>
      <c r="U261" s="31"/>
    </row>
    <row r="262" spans="1:21" x14ac:dyDescent="0.2">
      <c r="A262" s="315"/>
      <c r="B262" s="60" t="s">
        <v>12</v>
      </c>
      <c r="C262" s="319" t="s">
        <v>792</v>
      </c>
      <c r="D262" s="326"/>
      <c r="E262" s="327"/>
      <c r="F262" s="180">
        <f>TrialBalanceA!I262</f>
        <v>0</v>
      </c>
      <c r="G262" s="180">
        <f>TrialBalanceB!I262</f>
        <v>0</v>
      </c>
      <c r="H262" s="180">
        <f>TrialBalanceC!I262</f>
        <v>0</v>
      </c>
      <c r="I262" s="86"/>
      <c r="J262" s="53">
        <f>SUMIF(Journals!D$14:D$920,TrialBalance!P262,Journals!J$14:J$920)+SUMIF(Journals!E$14:E$920,TrialBalance!P262,Journals!J$14:J$920)</f>
        <v>0</v>
      </c>
      <c r="K262" s="330"/>
      <c r="L262" s="332">
        <f t="shared" si="41"/>
        <v>0</v>
      </c>
      <c r="M262" s="81"/>
      <c r="N262" s="54">
        <f t="shared" si="42"/>
        <v>0</v>
      </c>
      <c r="P262" s="192" t="str">
        <f t="shared" si="44"/>
        <v>6250/023Electronic equipment - acc depr on sales</v>
      </c>
      <c r="Q262" s="76"/>
      <c r="R262" s="31"/>
      <c r="S262" s="77"/>
      <c r="T262" s="57"/>
      <c r="U262" s="31"/>
    </row>
    <row r="263" spans="1:21" x14ac:dyDescent="0.2">
      <c r="A263" s="315"/>
      <c r="B263" s="60" t="s">
        <v>15</v>
      </c>
      <c r="C263" s="316" t="s">
        <v>793</v>
      </c>
      <c r="D263" s="326"/>
      <c r="E263" s="327"/>
      <c r="F263" s="180"/>
      <c r="G263" s="180"/>
      <c r="H263" s="180"/>
      <c r="I263" s="86"/>
      <c r="J263" s="53">
        <f>SUMIF(Journals!D$14:D$920,TrialBalance!P263,Journals!J$14:J$920)+SUMIF(Journals!E$14:E$920,TrialBalance!P263,Journals!J$14:J$920)</f>
        <v>0</v>
      </c>
      <c r="K263" s="330"/>
      <c r="L263" s="332">
        <f t="shared" si="41"/>
        <v>0</v>
      </c>
      <c r="M263" s="81"/>
      <c r="N263" s="54">
        <f t="shared" si="42"/>
        <v>0</v>
      </c>
      <c r="P263" s="192" t="str">
        <f t="shared" si="44"/>
        <v>6350/000FURNITURE AND FITTINGS - COST</v>
      </c>
      <c r="Q263" s="76"/>
      <c r="R263" s="31"/>
      <c r="S263" s="77"/>
      <c r="T263" s="57"/>
      <c r="U263" s="31"/>
    </row>
    <row r="264" spans="1:21" x14ac:dyDescent="0.2">
      <c r="A264" s="315"/>
      <c r="B264" s="60" t="s">
        <v>16</v>
      </c>
      <c r="C264" s="319" t="s">
        <v>794</v>
      </c>
      <c r="D264" s="326"/>
      <c r="E264" s="327"/>
      <c r="F264" s="180"/>
      <c r="G264" s="180"/>
      <c r="H264" s="180"/>
      <c r="I264" s="86">
        <f>SUM(N264:N266)</f>
        <v>0</v>
      </c>
      <c r="J264" s="53">
        <f>SUMIF(Journals!D$14:D$920,TrialBalance!P264,Journals!J$14:J$920)+SUMIF(Journals!E$14:E$920,TrialBalance!P264,Journals!J$14:J$920)</f>
        <v>0</v>
      </c>
      <c r="K264" s="330"/>
      <c r="L264" s="332">
        <f t="shared" si="41"/>
        <v>0</v>
      </c>
      <c r="M264" s="81"/>
      <c r="N264" s="54">
        <f t="shared" si="42"/>
        <v>0</v>
      </c>
      <c r="P264" s="192" t="str">
        <f t="shared" si="44"/>
        <v>6350/001Furniture and fittings - cost b/fwd</v>
      </c>
      <c r="Q264" s="78"/>
      <c r="R264" s="31"/>
      <c r="S264" s="77"/>
      <c r="T264" s="57"/>
      <c r="U264" s="31"/>
    </row>
    <row r="265" spans="1:21" x14ac:dyDescent="0.2">
      <c r="A265" s="315"/>
      <c r="B265" s="60" t="s">
        <v>429</v>
      </c>
      <c r="C265" s="319" t="s">
        <v>795</v>
      </c>
      <c r="D265" s="326"/>
      <c r="E265" s="327"/>
      <c r="F265" s="180">
        <f>TrialBalanceA!I265</f>
        <v>0</v>
      </c>
      <c r="G265" s="180">
        <f>TrialBalanceB!I265</f>
        <v>0</v>
      </c>
      <c r="H265" s="180">
        <f>TrialBalanceC!I265</f>
        <v>0</v>
      </c>
      <c r="I265" s="86"/>
      <c r="J265" s="53">
        <f>SUMIF(Journals!D$14:D$920,TrialBalance!P265,Journals!J$14:J$920)+SUMIF(Journals!E$14:E$920,TrialBalance!P265,Journals!J$14:J$920)</f>
        <v>0</v>
      </c>
      <c r="K265" s="330"/>
      <c r="L265" s="332">
        <f t="shared" si="41"/>
        <v>0</v>
      </c>
      <c r="M265" s="81"/>
      <c r="N265" s="54">
        <f t="shared" si="42"/>
        <v>0</v>
      </c>
      <c r="P265" s="192" t="str">
        <f t="shared" ref="P265:P334" si="49">CONCATENATE(B265,C265)</f>
        <v>6350/002Furniture and fittings - additions</v>
      </c>
      <c r="Q265" s="76"/>
      <c r="R265" s="31"/>
      <c r="S265" s="77"/>
      <c r="T265" s="57"/>
      <c r="U265" s="31"/>
    </row>
    <row r="266" spans="1:21" x14ac:dyDescent="0.2">
      <c r="A266" s="315"/>
      <c r="B266" s="60" t="s">
        <v>445</v>
      </c>
      <c r="C266" s="319" t="s">
        <v>796</v>
      </c>
      <c r="D266" s="326"/>
      <c r="E266" s="327"/>
      <c r="F266" s="180">
        <f>TrialBalanceA!I266</f>
        <v>0</v>
      </c>
      <c r="G266" s="180">
        <f>TrialBalanceB!I266</f>
        <v>0</v>
      </c>
      <c r="H266" s="180">
        <f>TrialBalanceC!I266</f>
        <v>0</v>
      </c>
      <c r="I266" s="86"/>
      <c r="J266" s="53">
        <f>SUMIF(Journals!D$14:D$920,TrialBalance!P266,Journals!J$14:J$920)+SUMIF(Journals!E$14:E$920,TrialBalance!P266,Journals!J$14:J$920)</f>
        <v>0</v>
      </c>
      <c r="K266" s="330"/>
      <c r="L266" s="332">
        <f t="shared" si="41"/>
        <v>0</v>
      </c>
      <c r="M266" s="81"/>
      <c r="N266" s="54">
        <f t="shared" si="42"/>
        <v>0</v>
      </c>
      <c r="P266" s="192" t="str">
        <f t="shared" si="49"/>
        <v>6350/003Furniture and fittings - cost of sales</v>
      </c>
      <c r="Q266" s="76"/>
      <c r="R266" s="31"/>
      <c r="S266" s="77"/>
      <c r="T266" s="57"/>
      <c r="U266" s="31"/>
    </row>
    <row r="267" spans="1:21" x14ac:dyDescent="0.2">
      <c r="A267" s="315"/>
      <c r="B267" s="60" t="s">
        <v>274</v>
      </c>
      <c r="C267" s="316" t="s">
        <v>797</v>
      </c>
      <c r="D267" s="326"/>
      <c r="E267" s="326"/>
      <c r="F267" s="180"/>
      <c r="G267" s="180"/>
      <c r="H267" s="180"/>
      <c r="I267" s="86"/>
      <c r="J267" s="53">
        <f>SUMIF(Journals!D$14:D$920,TrialBalance!P267,Journals!J$14:J$920)+SUMIF(Journals!E$14:E$920,TrialBalance!P267,Journals!J$14:J$920)</f>
        <v>0</v>
      </c>
      <c r="K267" s="330"/>
      <c r="L267" s="332">
        <f t="shared" ref="L267:L370" si="50">ROUND(D267-E267+F267+G267+H267+J267+I267,0)</f>
        <v>0</v>
      </c>
      <c r="M267" s="81"/>
      <c r="N267" s="54">
        <f t="shared" si="42"/>
        <v>0</v>
      </c>
      <c r="P267" s="192" t="str">
        <f t="shared" si="49"/>
        <v>6350/020FURNITURE AND FITTINGS - ACC DEPR</v>
      </c>
      <c r="Q267" s="76"/>
      <c r="R267" s="31"/>
      <c r="S267" s="77"/>
      <c r="T267" s="57"/>
      <c r="U267" s="31"/>
    </row>
    <row r="268" spans="1:21" x14ac:dyDescent="0.2">
      <c r="A268" s="315"/>
      <c r="B268" s="60" t="s">
        <v>157</v>
      </c>
      <c r="C268" s="319" t="s">
        <v>798</v>
      </c>
      <c r="D268" s="326"/>
      <c r="E268" s="327"/>
      <c r="F268" s="180"/>
      <c r="G268" s="180"/>
      <c r="H268" s="180"/>
      <c r="I268" s="86">
        <f>SUM(N268:N270)</f>
        <v>0</v>
      </c>
      <c r="J268" s="53">
        <f>SUMIF(Journals!D$14:D$920,TrialBalance!P268,Journals!J$14:J$920)+SUMIF(Journals!E$14:E$920,TrialBalance!P268,Journals!J$14:J$920)</f>
        <v>0</v>
      </c>
      <c r="K268" s="330"/>
      <c r="L268" s="332">
        <f t="shared" si="50"/>
        <v>0</v>
      </c>
      <c r="M268" s="81"/>
      <c r="N268" s="54">
        <f t="shared" si="42"/>
        <v>0</v>
      </c>
      <c r="P268" s="192" t="str">
        <f t="shared" si="49"/>
        <v>6350/021Furniture and fittings - acc depr b/fwd</v>
      </c>
      <c r="Q268" s="76"/>
      <c r="R268" s="31"/>
      <c r="S268" s="77"/>
      <c r="T268" s="77"/>
      <c r="U268" s="31"/>
    </row>
    <row r="269" spans="1:21" x14ac:dyDescent="0.2">
      <c r="A269" s="315"/>
      <c r="B269" s="60" t="s">
        <v>158</v>
      </c>
      <c r="C269" s="319" t="s">
        <v>799</v>
      </c>
      <c r="D269" s="326"/>
      <c r="E269" s="327"/>
      <c r="F269" s="180">
        <f>TrialBalanceA!I269</f>
        <v>0</v>
      </c>
      <c r="G269" s="180">
        <f>TrialBalanceB!I269</f>
        <v>0</v>
      </c>
      <c r="H269" s="180">
        <f>TrialBalanceC!I269</f>
        <v>0</v>
      </c>
      <c r="I269" s="86">
        <f>-FARegister!W15</f>
        <v>0</v>
      </c>
      <c r="J269" s="53">
        <f>SUMIF(Journals!D$14:D$920,TrialBalance!P269,Journals!J$14:J$920)+SUMIF(Journals!E$14:E$920,TrialBalance!P269,Journals!J$14:J$920)</f>
        <v>0</v>
      </c>
      <c r="K269" s="330"/>
      <c r="L269" s="332">
        <f t="shared" si="50"/>
        <v>0</v>
      </c>
      <c r="M269" s="81"/>
      <c r="N269" s="54">
        <f t="shared" si="42"/>
        <v>0</v>
      </c>
      <c r="P269" s="192" t="str">
        <f t="shared" si="49"/>
        <v>6350/022Furniture and fittings - depr this year</v>
      </c>
      <c r="Q269" s="76"/>
      <c r="R269" s="31"/>
      <c r="S269" s="77"/>
      <c r="T269" s="57"/>
      <c r="U269" s="31"/>
    </row>
    <row r="270" spans="1:21" x14ac:dyDescent="0.2">
      <c r="A270" s="315"/>
      <c r="B270" s="60" t="s">
        <v>251</v>
      </c>
      <c r="C270" s="319" t="s">
        <v>800</v>
      </c>
      <c r="D270" s="326"/>
      <c r="E270" s="327"/>
      <c r="F270" s="180">
        <f>TrialBalanceA!I270</f>
        <v>0</v>
      </c>
      <c r="G270" s="180">
        <f>TrialBalanceB!I270</f>
        <v>0</v>
      </c>
      <c r="H270" s="180">
        <f>TrialBalanceC!I270</f>
        <v>0</v>
      </c>
      <c r="I270" s="86"/>
      <c r="J270" s="53">
        <f>SUMIF(Journals!D$14:D$920,TrialBalance!P270,Journals!J$14:J$920)+SUMIF(Journals!E$14:E$920,TrialBalance!P270,Journals!J$14:J$920)</f>
        <v>0</v>
      </c>
      <c r="K270" s="330"/>
      <c r="L270" s="332">
        <f t="shared" si="50"/>
        <v>0</v>
      </c>
      <c r="M270" s="81"/>
      <c r="N270" s="54">
        <f t="shared" si="42"/>
        <v>0</v>
      </c>
      <c r="P270" s="192" t="str">
        <f t="shared" si="49"/>
        <v>6350/023Furniture and fittings - acc depr on sales</v>
      </c>
      <c r="Q270" s="76"/>
      <c r="R270" s="31"/>
      <c r="S270" s="77"/>
      <c r="T270" s="57"/>
      <c r="U270" s="31"/>
    </row>
    <row r="271" spans="1:21" x14ac:dyDescent="0.2">
      <c r="A271" s="315"/>
      <c r="B271" s="60" t="s">
        <v>460</v>
      </c>
      <c r="C271" s="316" t="s">
        <v>1049</v>
      </c>
      <c r="D271" s="326"/>
      <c r="E271" s="327"/>
      <c r="F271" s="180"/>
      <c r="G271" s="180"/>
      <c r="H271" s="180"/>
      <c r="I271" s="86"/>
      <c r="J271" s="53">
        <f>SUMIF(Journals!D$14:D$920,TrialBalance!P271,Journals!J$14:J$920)+SUMIF(Journals!E$14:E$920,TrialBalance!P271,Journals!J$14:J$920)</f>
        <v>0</v>
      </c>
      <c r="K271" s="330"/>
      <c r="L271" s="332">
        <f t="shared" si="50"/>
        <v>0</v>
      </c>
      <c r="M271" s="81"/>
      <c r="N271" s="54">
        <f t="shared" ref="N271:N377" si="51">ROUND(SUM(A271),0)</f>
        <v>0</v>
      </c>
      <c r="P271" s="192" t="str">
        <f t="shared" si="49"/>
        <v>7000/000INTANGIBLE ASSETS</v>
      </c>
      <c r="Q271" s="76"/>
      <c r="R271" s="31"/>
      <c r="S271" s="77"/>
      <c r="T271" s="57"/>
      <c r="U271" s="31"/>
    </row>
    <row r="272" spans="1:21" x14ac:dyDescent="0.2">
      <c r="A272" s="315"/>
      <c r="B272" s="110" t="s">
        <v>1084</v>
      </c>
      <c r="C272" s="316" t="s">
        <v>1085</v>
      </c>
      <c r="D272" s="326"/>
      <c r="E272" s="327"/>
      <c r="F272" s="180"/>
      <c r="G272" s="180"/>
      <c r="H272" s="180"/>
      <c r="I272" s="86"/>
      <c r="J272" s="53">
        <f>SUMIF(Journals!D$14:D$920,TrialBalance!P272,Journals!J$14:J$920)+SUMIF(Journals!E$14:E$920,TrialBalance!P272,Journals!J$14:J$920)</f>
        <v>0</v>
      </c>
      <c r="K272" s="330"/>
      <c r="L272" s="332">
        <f t="shared" ref="L272:L289" si="52">ROUND(D272-E272+F272+G272+H272+J272+I272,0)</f>
        <v>0</v>
      </c>
      <c r="M272" s="81"/>
      <c r="N272" s="54">
        <f t="shared" ref="N272:N289" si="53">ROUND(SUM(A272),0)</f>
        <v>0</v>
      </c>
      <c r="P272" s="192" t="str">
        <f t="shared" ref="P272:P289" si="54">CONCATENATE(B272,C272)</f>
        <v>7000/001GOODWILL - COST</v>
      </c>
      <c r="Q272" s="76"/>
      <c r="R272" s="31"/>
      <c r="S272" s="77"/>
      <c r="T272" s="57"/>
      <c r="U272" s="31"/>
    </row>
    <row r="273" spans="1:21" x14ac:dyDescent="0.2">
      <c r="A273" s="315"/>
      <c r="B273" s="110" t="s">
        <v>1086</v>
      </c>
      <c r="C273" s="319" t="s">
        <v>1087</v>
      </c>
      <c r="D273" s="326"/>
      <c r="E273" s="327"/>
      <c r="F273" s="180"/>
      <c r="G273" s="180"/>
      <c r="H273" s="180"/>
      <c r="I273" s="86">
        <f>SUM(N273:N274)</f>
        <v>0</v>
      </c>
      <c r="J273" s="53">
        <f>SUMIF(Journals!D$14:D$920,TrialBalance!P273,Journals!J$14:J$920)+SUMIF(Journals!E$14:E$920,TrialBalance!P273,Journals!J$14:J$920)</f>
        <v>0</v>
      </c>
      <c r="K273" s="330"/>
      <c r="L273" s="332">
        <f t="shared" si="52"/>
        <v>0</v>
      </c>
      <c r="M273" s="81"/>
      <c r="N273" s="54">
        <f t="shared" si="53"/>
        <v>0</v>
      </c>
      <c r="P273" s="192" t="str">
        <f t="shared" si="54"/>
        <v>7000/002Goodwill - cost b/fwd</v>
      </c>
      <c r="Q273" s="76"/>
      <c r="R273" s="31"/>
      <c r="S273" s="77"/>
      <c r="T273" s="57"/>
      <c r="U273" s="31"/>
    </row>
    <row r="274" spans="1:21" x14ac:dyDescent="0.2">
      <c r="A274" s="315"/>
      <c r="B274" s="110" t="s">
        <v>1088</v>
      </c>
      <c r="C274" s="319" t="s">
        <v>1089</v>
      </c>
      <c r="D274" s="326"/>
      <c r="E274" s="327"/>
      <c r="F274" s="180">
        <f>TrialBalanceA!I274</f>
        <v>0</v>
      </c>
      <c r="G274" s="180">
        <f>TrialBalanceB!I274</f>
        <v>0</v>
      </c>
      <c r="H274" s="180">
        <f>TrialBalanceC!I274</f>
        <v>0</v>
      </c>
      <c r="I274" s="86"/>
      <c r="J274" s="53">
        <f>SUMIF(Journals!D$14:D$920,TrialBalance!P274,Journals!J$14:J$920)+SUMIF(Journals!E$14:E$920,TrialBalance!P274,Journals!J$14:J$920)</f>
        <v>0</v>
      </c>
      <c r="K274" s="330"/>
      <c r="L274" s="332">
        <f t="shared" si="52"/>
        <v>0</v>
      </c>
      <c r="M274" s="81"/>
      <c r="N274" s="54">
        <f t="shared" si="53"/>
        <v>0</v>
      </c>
      <c r="P274" s="192" t="str">
        <f t="shared" si="54"/>
        <v>7000/003Goodwill - additions</v>
      </c>
      <c r="Q274" s="76"/>
      <c r="R274" s="31"/>
      <c r="S274" s="77"/>
      <c r="T274" s="57"/>
      <c r="U274" s="31"/>
    </row>
    <row r="275" spans="1:21" x14ac:dyDescent="0.2">
      <c r="A275" s="315"/>
      <c r="B275" s="110" t="s">
        <v>1090</v>
      </c>
      <c r="C275" s="316" t="s">
        <v>1091</v>
      </c>
      <c r="D275" s="326"/>
      <c r="E275" s="327"/>
      <c r="F275" s="180"/>
      <c r="G275" s="180"/>
      <c r="H275" s="180"/>
      <c r="I275" s="86"/>
      <c r="J275" s="53">
        <f>SUMIF(Journals!D$14:D$920,TrialBalance!P275,Journals!J$14:J$920)+SUMIF(Journals!E$14:E$920,TrialBalance!P275,Journals!J$14:J$920)</f>
        <v>0</v>
      </c>
      <c r="K275" s="330"/>
      <c r="L275" s="332">
        <f t="shared" si="52"/>
        <v>0</v>
      </c>
      <c r="M275" s="81"/>
      <c r="N275" s="54">
        <f t="shared" si="53"/>
        <v>0</v>
      </c>
      <c r="P275" s="192" t="str">
        <f t="shared" si="54"/>
        <v>7000/005GOODWILL - ACC AMORTISATION</v>
      </c>
      <c r="Q275" s="76"/>
      <c r="R275" s="31"/>
      <c r="S275" s="77"/>
      <c r="T275" s="57"/>
      <c r="U275" s="31"/>
    </row>
    <row r="276" spans="1:21" x14ac:dyDescent="0.2">
      <c r="A276" s="315"/>
      <c r="B276" s="110" t="s">
        <v>1092</v>
      </c>
      <c r="C276" s="319" t="s">
        <v>1093</v>
      </c>
      <c r="D276" s="326"/>
      <c r="E276" s="327"/>
      <c r="F276" s="180"/>
      <c r="G276" s="180"/>
      <c r="H276" s="180"/>
      <c r="I276" s="86">
        <f>SUM(N276:N277)</f>
        <v>0</v>
      </c>
      <c r="J276" s="53">
        <f>SUMIF(Journals!D$14:D$920,TrialBalance!P276,Journals!J$14:J$920)+SUMIF(Journals!E$14:E$920,TrialBalance!P276,Journals!J$14:J$920)</f>
        <v>0</v>
      </c>
      <c r="K276" s="330"/>
      <c r="L276" s="332">
        <f t="shared" si="52"/>
        <v>0</v>
      </c>
      <c r="M276" s="81"/>
      <c r="N276" s="54">
        <f t="shared" si="53"/>
        <v>0</v>
      </c>
      <c r="P276" s="192" t="str">
        <f t="shared" si="54"/>
        <v>7000/006Goodwill - acc amortisation b/fwd</v>
      </c>
      <c r="Q276" s="76"/>
      <c r="R276" s="31"/>
      <c r="S276" s="77"/>
      <c r="T276" s="57"/>
      <c r="U276" s="31"/>
    </row>
    <row r="277" spans="1:21" x14ac:dyDescent="0.2">
      <c r="A277" s="315"/>
      <c r="B277" s="110" t="s">
        <v>1094</v>
      </c>
      <c r="C277" s="319" t="s">
        <v>1095</v>
      </c>
      <c r="D277" s="326"/>
      <c r="E277" s="327"/>
      <c r="F277" s="180">
        <f>TrialBalanceA!I277</f>
        <v>0</v>
      </c>
      <c r="G277" s="180">
        <f>TrialBalanceB!I277</f>
        <v>0</v>
      </c>
      <c r="H277" s="180">
        <f>TrialBalanceC!I277</f>
        <v>0</v>
      </c>
      <c r="I277" s="86"/>
      <c r="J277" s="53">
        <f>SUMIF(Journals!D$14:D$920,TrialBalance!P277,Journals!J$14:J$920)+SUMIF(Journals!E$14:E$920,TrialBalance!P277,Journals!J$14:J$920)</f>
        <v>0</v>
      </c>
      <c r="K277" s="330"/>
      <c r="L277" s="332">
        <f t="shared" si="52"/>
        <v>0</v>
      </c>
      <c r="M277" s="81"/>
      <c r="N277" s="54">
        <f t="shared" si="53"/>
        <v>0</v>
      </c>
      <c r="P277" s="192" t="str">
        <f t="shared" si="54"/>
        <v>7000/007Goodwill - amortisation this year</v>
      </c>
      <c r="Q277" s="76"/>
      <c r="R277" s="31"/>
      <c r="S277" s="77"/>
      <c r="T277" s="57"/>
      <c r="U277" s="31"/>
    </row>
    <row r="278" spans="1:21" x14ac:dyDescent="0.2">
      <c r="A278" s="315"/>
      <c r="B278" s="110" t="s">
        <v>461</v>
      </c>
      <c r="C278" s="316" t="s">
        <v>1096</v>
      </c>
      <c r="D278" s="326"/>
      <c r="E278" s="327"/>
      <c r="F278" s="180"/>
      <c r="G278" s="180"/>
      <c r="H278" s="180"/>
      <c r="I278" s="86"/>
      <c r="J278" s="53">
        <f>SUMIF(Journals!D$14:D$920,TrialBalance!P278,Journals!J$14:J$920)+SUMIF(Journals!E$14:E$920,TrialBalance!P278,Journals!J$14:J$920)</f>
        <v>0</v>
      </c>
      <c r="K278" s="330"/>
      <c r="L278" s="332">
        <f t="shared" si="52"/>
        <v>0</v>
      </c>
      <c r="M278" s="81"/>
      <c r="N278" s="54">
        <f t="shared" si="53"/>
        <v>0</v>
      </c>
      <c r="P278" s="192" t="str">
        <f t="shared" si="54"/>
        <v>7000/010GOODWILL - IMPAIRMENT</v>
      </c>
      <c r="Q278" s="76"/>
      <c r="R278" s="31"/>
      <c r="S278" s="77"/>
      <c r="T278" s="57"/>
      <c r="U278" s="31"/>
    </row>
    <row r="279" spans="1:21" x14ac:dyDescent="0.2">
      <c r="A279" s="315"/>
      <c r="B279" s="110" t="s">
        <v>621</v>
      </c>
      <c r="C279" s="319" t="s">
        <v>1097</v>
      </c>
      <c r="D279" s="326"/>
      <c r="E279" s="327"/>
      <c r="F279" s="180"/>
      <c r="G279" s="180"/>
      <c r="H279" s="180"/>
      <c r="I279" s="86">
        <f>SUM(N279:N280)</f>
        <v>0</v>
      </c>
      <c r="J279" s="53">
        <f>SUMIF(Journals!D$14:D$920,TrialBalance!P279,Journals!J$14:J$920)+SUMIF(Journals!E$14:E$920,TrialBalance!P279,Journals!J$14:J$920)</f>
        <v>0</v>
      </c>
      <c r="K279" s="330"/>
      <c r="L279" s="332">
        <f t="shared" si="52"/>
        <v>0</v>
      </c>
      <c r="M279" s="81"/>
      <c r="N279" s="54">
        <f t="shared" si="53"/>
        <v>0</v>
      </c>
      <c r="P279" s="192" t="str">
        <f t="shared" si="54"/>
        <v>7000/011Goodwill - impairment loss b/fwd</v>
      </c>
      <c r="Q279" s="76"/>
      <c r="R279" s="31"/>
      <c r="S279" s="77"/>
      <c r="T279" s="57"/>
      <c r="U279" s="31"/>
    </row>
    <row r="280" spans="1:21" x14ac:dyDescent="0.2">
      <c r="A280" s="315"/>
      <c r="B280" s="110" t="s">
        <v>1098</v>
      </c>
      <c r="C280" s="319" t="s">
        <v>1099</v>
      </c>
      <c r="D280" s="326"/>
      <c r="E280" s="327"/>
      <c r="F280" s="180">
        <f>TrialBalanceA!I280</f>
        <v>0</v>
      </c>
      <c r="G280" s="180">
        <f>TrialBalanceB!I280</f>
        <v>0</v>
      </c>
      <c r="H280" s="180">
        <f>TrialBalanceC!I280</f>
        <v>0</v>
      </c>
      <c r="I280" s="86"/>
      <c r="J280" s="53">
        <f>SUMIF(Journals!D$14:D$920,TrialBalance!P280,Journals!J$14:J$920)+SUMIF(Journals!E$14:E$920,TrialBalance!P280,Journals!J$14:J$920)</f>
        <v>0</v>
      </c>
      <c r="K280" s="330"/>
      <c r="L280" s="332">
        <f t="shared" si="52"/>
        <v>0</v>
      </c>
      <c r="M280" s="81"/>
      <c r="N280" s="54">
        <f t="shared" si="53"/>
        <v>0</v>
      </c>
      <c r="P280" s="192" t="str">
        <f t="shared" si="54"/>
        <v>7000/012Goodwill - impairment loss this year</v>
      </c>
      <c r="Q280" s="76"/>
      <c r="R280" s="31"/>
      <c r="S280" s="77"/>
      <c r="T280" s="57"/>
      <c r="U280" s="31"/>
    </row>
    <row r="281" spans="1:21" x14ac:dyDescent="0.2">
      <c r="A281" s="315"/>
      <c r="B281" s="110" t="s">
        <v>1100</v>
      </c>
      <c r="C281" s="316" t="s">
        <v>1101</v>
      </c>
      <c r="D281" s="326"/>
      <c r="E281" s="327"/>
      <c r="F281" s="180"/>
      <c r="G281" s="180"/>
      <c r="H281" s="180"/>
      <c r="I281" s="86"/>
      <c r="J281" s="53">
        <f>SUMIF(Journals!D$14:D$920,TrialBalance!P281,Journals!J$14:J$920)+SUMIF(Journals!E$14:E$920,TrialBalance!P281,Journals!J$14:J$920)</f>
        <v>0</v>
      </c>
      <c r="K281" s="330"/>
      <c r="L281" s="332">
        <f t="shared" si="52"/>
        <v>0</v>
      </c>
      <c r="M281" s="81"/>
      <c r="N281" s="54">
        <f t="shared" si="53"/>
        <v>0</v>
      </c>
      <c r="P281" s="192" t="str">
        <f t="shared" si="54"/>
        <v>7000/021PREPAID LEASE AGREEMENT - COST</v>
      </c>
      <c r="Q281" s="76"/>
      <c r="R281" s="31"/>
      <c r="S281" s="77"/>
      <c r="T281" s="57"/>
      <c r="U281" s="31"/>
    </row>
    <row r="282" spans="1:21" x14ac:dyDescent="0.2">
      <c r="A282" s="315"/>
      <c r="B282" s="110" t="s">
        <v>1102</v>
      </c>
      <c r="C282" s="319" t="s">
        <v>1103</v>
      </c>
      <c r="D282" s="326"/>
      <c r="E282" s="327"/>
      <c r="F282" s="180"/>
      <c r="G282" s="180"/>
      <c r="H282" s="180"/>
      <c r="I282" s="86">
        <f>SUM(N282:N283)</f>
        <v>0</v>
      </c>
      <c r="J282" s="53">
        <f>SUMIF(Journals!D$14:D$920,TrialBalance!P282,Journals!J$14:J$920)+SUMIF(Journals!E$14:E$920,TrialBalance!P282,Journals!J$14:J$920)</f>
        <v>0</v>
      </c>
      <c r="K282" s="330"/>
      <c r="L282" s="332">
        <f t="shared" si="52"/>
        <v>0</v>
      </c>
      <c r="M282" s="81"/>
      <c r="N282" s="54">
        <f t="shared" si="53"/>
        <v>0</v>
      </c>
      <c r="P282" s="192" t="str">
        <f t="shared" si="54"/>
        <v>7000/022Prepaid lease agreement - cost b/fwd</v>
      </c>
      <c r="Q282" s="76"/>
      <c r="R282" s="31"/>
      <c r="S282" s="77"/>
      <c r="T282" s="57"/>
      <c r="U282" s="31"/>
    </row>
    <row r="283" spans="1:21" x14ac:dyDescent="0.2">
      <c r="A283" s="315"/>
      <c r="B283" s="110" t="s">
        <v>1104</v>
      </c>
      <c r="C283" s="319" t="s">
        <v>1105</v>
      </c>
      <c r="D283" s="326"/>
      <c r="E283" s="327"/>
      <c r="F283" s="180">
        <f>TrialBalanceA!I283</f>
        <v>0</v>
      </c>
      <c r="G283" s="180">
        <f>TrialBalanceB!I283</f>
        <v>0</v>
      </c>
      <c r="H283" s="180">
        <f>TrialBalanceC!I283</f>
        <v>0</v>
      </c>
      <c r="I283" s="86"/>
      <c r="J283" s="53">
        <f>SUMIF(Journals!D$14:D$920,TrialBalance!P283,Journals!J$14:J$920)+SUMIF(Journals!E$14:E$920,TrialBalance!P283,Journals!J$14:J$920)</f>
        <v>0</v>
      </c>
      <c r="K283" s="330"/>
      <c r="L283" s="332">
        <f t="shared" si="52"/>
        <v>0</v>
      </c>
      <c r="M283" s="81"/>
      <c r="N283" s="54">
        <f t="shared" si="53"/>
        <v>0</v>
      </c>
      <c r="P283" s="192" t="str">
        <f t="shared" si="54"/>
        <v>7000/023Prepaid lease agreement - additions</v>
      </c>
      <c r="Q283" s="76"/>
      <c r="R283" s="31"/>
      <c r="S283" s="77"/>
      <c r="T283" s="57"/>
      <c r="U283" s="31"/>
    </row>
    <row r="284" spans="1:21" x14ac:dyDescent="0.2">
      <c r="A284" s="315"/>
      <c r="B284" s="110" t="s">
        <v>462</v>
      </c>
      <c r="C284" s="316" t="s">
        <v>1106</v>
      </c>
      <c r="D284" s="326"/>
      <c r="E284" s="327"/>
      <c r="F284" s="180"/>
      <c r="G284" s="180"/>
      <c r="H284" s="180"/>
      <c r="I284" s="86"/>
      <c r="J284" s="53">
        <f>SUMIF(Journals!D$14:D$920,TrialBalance!P284,Journals!J$14:J$920)+SUMIF(Journals!E$14:E$920,TrialBalance!P284,Journals!J$14:J$920)</f>
        <v>0</v>
      </c>
      <c r="K284" s="330"/>
      <c r="L284" s="332">
        <f t="shared" si="52"/>
        <v>0</v>
      </c>
      <c r="M284" s="81"/>
      <c r="N284" s="54">
        <f t="shared" si="53"/>
        <v>0</v>
      </c>
      <c r="P284" s="192" t="str">
        <f t="shared" si="54"/>
        <v>7000/025PREPAID LEASE AGREEMENT - ACC AMORTISATION</v>
      </c>
      <c r="Q284" s="76"/>
      <c r="R284" s="31"/>
      <c r="S284" s="77"/>
      <c r="T284" s="57"/>
      <c r="U284" s="31"/>
    </row>
    <row r="285" spans="1:21" x14ac:dyDescent="0.2">
      <c r="A285" s="315"/>
      <c r="B285" s="110" t="s">
        <v>1107</v>
      </c>
      <c r="C285" s="319" t="s">
        <v>1108</v>
      </c>
      <c r="D285" s="326"/>
      <c r="E285" s="327"/>
      <c r="F285" s="180"/>
      <c r="G285" s="180"/>
      <c r="H285" s="180"/>
      <c r="I285" s="86">
        <f>SUM(N285:N286)</f>
        <v>0</v>
      </c>
      <c r="J285" s="53">
        <f>SUMIF(Journals!D$14:D$920,TrialBalance!P285,Journals!J$14:J$920)+SUMIF(Journals!E$14:E$920,TrialBalance!P285,Journals!J$14:J$920)</f>
        <v>0</v>
      </c>
      <c r="K285" s="330"/>
      <c r="L285" s="332">
        <f t="shared" si="52"/>
        <v>0</v>
      </c>
      <c r="M285" s="81"/>
      <c r="N285" s="54">
        <f t="shared" si="53"/>
        <v>0</v>
      </c>
      <c r="P285" s="192" t="str">
        <f t="shared" si="54"/>
        <v>7000/026Prepaid lease agreement - acc amortisation b/fwd</v>
      </c>
      <c r="Q285" s="76"/>
      <c r="R285" s="31"/>
      <c r="S285" s="77"/>
      <c r="T285" s="57"/>
      <c r="U285" s="31"/>
    </row>
    <row r="286" spans="1:21" x14ac:dyDescent="0.2">
      <c r="A286" s="315"/>
      <c r="B286" s="110" t="s">
        <v>1109</v>
      </c>
      <c r="C286" s="319" t="s">
        <v>1110</v>
      </c>
      <c r="D286" s="326"/>
      <c r="E286" s="327"/>
      <c r="F286" s="180">
        <f>TrialBalanceA!I286</f>
        <v>0</v>
      </c>
      <c r="G286" s="180">
        <f>TrialBalanceB!I286</f>
        <v>0</v>
      </c>
      <c r="H286" s="180">
        <f>TrialBalanceC!I286</f>
        <v>0</v>
      </c>
      <c r="I286" s="86"/>
      <c r="J286" s="53">
        <f>SUMIF(Journals!D$14:D$920,TrialBalance!P286,Journals!J$14:J$920)+SUMIF(Journals!E$14:E$920,TrialBalance!P286,Journals!J$14:J$920)</f>
        <v>0</v>
      </c>
      <c r="K286" s="330"/>
      <c r="L286" s="332">
        <f t="shared" si="52"/>
        <v>0</v>
      </c>
      <c r="M286" s="81"/>
      <c r="N286" s="54">
        <f t="shared" si="53"/>
        <v>0</v>
      </c>
      <c r="P286" s="192" t="str">
        <f t="shared" si="54"/>
        <v>7000/027Prepaid lease agreement - amortisation this year</v>
      </c>
      <c r="Q286" s="76"/>
      <c r="R286" s="31"/>
      <c r="S286" s="77"/>
      <c r="T286" s="57"/>
      <c r="U286" s="31"/>
    </row>
    <row r="287" spans="1:21" x14ac:dyDescent="0.2">
      <c r="A287" s="315"/>
      <c r="B287" s="110" t="s">
        <v>1111</v>
      </c>
      <c r="C287" s="316" t="s">
        <v>1112</v>
      </c>
      <c r="D287" s="326"/>
      <c r="E287" s="327"/>
      <c r="F287" s="180"/>
      <c r="G287" s="180"/>
      <c r="H287" s="180"/>
      <c r="I287" s="86"/>
      <c r="J287" s="53">
        <f>SUMIF(Journals!D$14:D$920,TrialBalance!P287,Journals!J$14:J$920)+SUMIF(Journals!E$14:E$920,TrialBalance!P287,Journals!J$14:J$920)</f>
        <v>0</v>
      </c>
      <c r="K287" s="330"/>
      <c r="L287" s="332">
        <f t="shared" si="52"/>
        <v>0</v>
      </c>
      <c r="M287" s="81"/>
      <c r="N287" s="54">
        <f t="shared" si="53"/>
        <v>0</v>
      </c>
      <c r="P287" s="192" t="str">
        <f t="shared" si="54"/>
        <v>7000/030PREPAID LEASE AGREEMENT - IMPAIRMENT</v>
      </c>
      <c r="Q287" s="76"/>
      <c r="R287" s="31"/>
      <c r="S287" s="77"/>
      <c r="T287" s="57"/>
      <c r="U287" s="31"/>
    </row>
    <row r="288" spans="1:21" x14ac:dyDescent="0.2">
      <c r="A288" s="315"/>
      <c r="B288" s="110" t="s">
        <v>1113</v>
      </c>
      <c r="C288" s="319" t="s">
        <v>1114</v>
      </c>
      <c r="D288" s="326"/>
      <c r="E288" s="327"/>
      <c r="F288" s="180"/>
      <c r="G288" s="180"/>
      <c r="H288" s="180"/>
      <c r="I288" s="86">
        <f>SUM(N288:N289)</f>
        <v>0</v>
      </c>
      <c r="J288" s="53">
        <f>SUMIF(Journals!D$14:D$920,TrialBalance!P288,Journals!J$14:J$920)+SUMIF(Journals!E$14:E$920,TrialBalance!P288,Journals!J$14:J$920)</f>
        <v>0</v>
      </c>
      <c r="K288" s="330"/>
      <c r="L288" s="332">
        <f t="shared" si="52"/>
        <v>0</v>
      </c>
      <c r="M288" s="81"/>
      <c r="N288" s="54">
        <f t="shared" si="53"/>
        <v>0</v>
      </c>
      <c r="P288" s="192" t="str">
        <f t="shared" si="54"/>
        <v>7000/031Prepaid lease agreement - impairment loss b/fwd</v>
      </c>
      <c r="Q288" s="76"/>
      <c r="R288" s="31"/>
      <c r="S288" s="77"/>
      <c r="T288" s="57"/>
      <c r="U288" s="31"/>
    </row>
    <row r="289" spans="1:21" x14ac:dyDescent="0.2">
      <c r="A289" s="315"/>
      <c r="B289" s="110" t="s">
        <v>1115</v>
      </c>
      <c r="C289" s="319" t="s">
        <v>1116</v>
      </c>
      <c r="D289" s="326"/>
      <c r="E289" s="327"/>
      <c r="F289" s="180">
        <f>TrialBalanceA!I289</f>
        <v>0</v>
      </c>
      <c r="G289" s="180">
        <f>TrialBalanceB!I289</f>
        <v>0</v>
      </c>
      <c r="H289" s="180">
        <f>TrialBalanceC!I289</f>
        <v>0</v>
      </c>
      <c r="I289" s="86"/>
      <c r="J289" s="53">
        <f>SUMIF(Journals!D$14:D$920,TrialBalance!P289,Journals!J$14:J$920)+SUMIF(Journals!E$14:E$920,TrialBalance!P289,Journals!J$14:J$920)</f>
        <v>0</v>
      </c>
      <c r="K289" s="330"/>
      <c r="L289" s="332">
        <f t="shared" si="52"/>
        <v>0</v>
      </c>
      <c r="M289" s="81"/>
      <c r="N289" s="54">
        <f t="shared" si="53"/>
        <v>0</v>
      </c>
      <c r="P289" s="192" t="str">
        <f t="shared" si="54"/>
        <v>7000/032Prepaid lease agreement - impairment loss this year</v>
      </c>
      <c r="Q289" s="76"/>
      <c r="R289" s="31"/>
      <c r="S289" s="77"/>
      <c r="T289" s="57"/>
      <c r="U289" s="31"/>
    </row>
    <row r="290" spans="1:21" x14ac:dyDescent="0.2">
      <c r="A290" s="315"/>
      <c r="B290" s="60" t="s">
        <v>463</v>
      </c>
      <c r="C290" s="316" t="s">
        <v>183</v>
      </c>
      <c r="D290" s="326"/>
      <c r="E290" s="327"/>
      <c r="F290" s="180"/>
      <c r="G290" s="180"/>
      <c r="H290" s="180"/>
      <c r="I290" s="86"/>
      <c r="J290" s="53">
        <f>SUMIF(Journals!D$14:D$920,TrialBalance!P290,Journals!J$14:J$920)+SUMIF(Journals!E$14:E$920,TrialBalance!P290,Journals!J$14:J$920)</f>
        <v>0</v>
      </c>
      <c r="K290" s="330"/>
      <c r="L290" s="332">
        <f t="shared" si="50"/>
        <v>0</v>
      </c>
      <c r="M290" s="81"/>
      <c r="N290" s="54">
        <f t="shared" si="51"/>
        <v>0</v>
      </c>
      <c r="P290" s="192" t="str">
        <f t="shared" si="49"/>
        <v>7100/000INVESTMENTS</v>
      </c>
      <c r="Q290" s="76"/>
      <c r="R290" s="31"/>
      <c r="S290" s="77"/>
      <c r="T290" s="57"/>
      <c r="U290" s="31"/>
    </row>
    <row r="291" spans="1:21" x14ac:dyDescent="0.2">
      <c r="A291" s="315"/>
      <c r="B291" s="60" t="s">
        <v>464</v>
      </c>
      <c r="C291" s="317" t="s">
        <v>465</v>
      </c>
      <c r="D291" s="326"/>
      <c r="E291" s="327"/>
      <c r="F291" s="180"/>
      <c r="G291" s="180"/>
      <c r="H291" s="180"/>
      <c r="I291" s="86"/>
      <c r="J291" s="53">
        <f>SUMIF(Journals!D$14:D$920,TrialBalance!P291,Journals!J$14:J$920)+SUMIF(Journals!E$14:E$920,TrialBalance!P291,Journals!J$14:J$920)</f>
        <v>0</v>
      </c>
      <c r="K291" s="330"/>
      <c r="L291" s="332">
        <f t="shared" si="50"/>
        <v>0</v>
      </c>
      <c r="M291" s="81"/>
      <c r="N291" s="54">
        <f t="shared" si="51"/>
        <v>0</v>
      </c>
      <c r="P291" s="192" t="str">
        <f t="shared" si="49"/>
        <v>7100/100LISTED INVESTMENTS</v>
      </c>
      <c r="Q291" s="76"/>
      <c r="R291" s="31"/>
      <c r="S291" s="77"/>
      <c r="T291" s="57"/>
      <c r="U291" s="31"/>
    </row>
    <row r="292" spans="1:21" x14ac:dyDescent="0.2">
      <c r="A292" s="315"/>
      <c r="B292" s="60" t="s">
        <v>466</v>
      </c>
      <c r="C292" s="325"/>
      <c r="D292" s="326"/>
      <c r="E292" s="327"/>
      <c r="F292" s="180">
        <f>TrialBalanceA!I292-TrialBalanceA!K292</f>
        <v>0</v>
      </c>
      <c r="G292" s="180">
        <f>TrialBalanceB!I292-TrialBalanceB!K292</f>
        <v>0</v>
      </c>
      <c r="H292" s="180">
        <f>TrialBalanceC!I292-TrialBalanceC!K292</f>
        <v>0</v>
      </c>
      <c r="I292" s="86">
        <f>N292</f>
        <v>0</v>
      </c>
      <c r="J292" s="53">
        <f>SUMIF(Journals!D$14:D$920,TrialBalance!P292,Journals!J$14:J$920)+SUMIF(Journals!E$14:E$920,TrialBalance!P292,Journals!J$14:J$920)</f>
        <v>0</v>
      </c>
      <c r="K292" s="330"/>
      <c r="L292" s="332">
        <f t="shared" si="50"/>
        <v>0</v>
      </c>
      <c r="M292" s="81"/>
      <c r="N292" s="54">
        <f t="shared" si="51"/>
        <v>0</v>
      </c>
      <c r="P292" s="192" t="str">
        <f t="shared" si="49"/>
        <v>7100/101</v>
      </c>
      <c r="Q292" s="76"/>
      <c r="R292" s="31"/>
      <c r="S292" s="77"/>
      <c r="T292" s="57"/>
      <c r="U292" s="31"/>
    </row>
    <row r="293" spans="1:21" x14ac:dyDescent="0.2">
      <c r="A293" s="315"/>
      <c r="B293" s="60" t="s">
        <v>467</v>
      </c>
      <c r="C293" s="325"/>
      <c r="D293" s="326"/>
      <c r="E293" s="327"/>
      <c r="F293" s="180">
        <f>TrialBalanceA!I293-TrialBalanceA!K293</f>
        <v>0</v>
      </c>
      <c r="G293" s="180">
        <f>TrialBalanceB!I293-TrialBalanceB!K293</f>
        <v>0</v>
      </c>
      <c r="H293" s="180">
        <f>TrialBalanceC!I293-TrialBalanceC!K293</f>
        <v>0</v>
      </c>
      <c r="I293" s="86">
        <f>N293</f>
        <v>0</v>
      </c>
      <c r="J293" s="53">
        <f>SUMIF(Journals!D$14:D$920,TrialBalance!P293,Journals!J$14:J$920)+SUMIF(Journals!E$14:E$920,TrialBalance!P293,Journals!J$14:J$920)</f>
        <v>0</v>
      </c>
      <c r="K293" s="330"/>
      <c r="L293" s="332">
        <f t="shared" si="50"/>
        <v>0</v>
      </c>
      <c r="M293" s="81"/>
      <c r="N293" s="54">
        <f t="shared" si="51"/>
        <v>0</v>
      </c>
      <c r="P293" s="192" t="str">
        <f t="shared" si="49"/>
        <v>7100/102</v>
      </c>
      <c r="Q293" s="76"/>
      <c r="R293" s="31"/>
      <c r="S293" s="77"/>
      <c r="T293" s="57"/>
      <c r="U293" s="31"/>
    </row>
    <row r="294" spans="1:21" x14ac:dyDescent="0.2">
      <c r="A294" s="315"/>
      <c r="B294" s="60" t="s">
        <v>468</v>
      </c>
      <c r="C294" s="325"/>
      <c r="D294" s="326"/>
      <c r="E294" s="327"/>
      <c r="F294" s="180">
        <f>TrialBalanceA!I294-TrialBalanceA!K294</f>
        <v>0</v>
      </c>
      <c r="G294" s="180">
        <f>TrialBalanceB!I294-TrialBalanceB!K294</f>
        <v>0</v>
      </c>
      <c r="H294" s="180">
        <f>TrialBalanceC!I294-TrialBalanceC!K294</f>
        <v>0</v>
      </c>
      <c r="I294" s="86">
        <f>N294</f>
        <v>0</v>
      </c>
      <c r="J294" s="53">
        <f>SUMIF(Journals!D$14:D$920,TrialBalance!P294,Journals!J$14:J$920)+SUMIF(Journals!E$14:E$920,TrialBalance!P294,Journals!J$14:J$920)</f>
        <v>0</v>
      </c>
      <c r="K294" s="330"/>
      <c r="L294" s="332">
        <f t="shared" si="50"/>
        <v>0</v>
      </c>
      <c r="M294" s="81"/>
      <c r="N294" s="54">
        <f t="shared" si="51"/>
        <v>0</v>
      </c>
      <c r="P294" s="192" t="str">
        <f t="shared" si="49"/>
        <v>7100/103</v>
      </c>
      <c r="Q294" s="76"/>
      <c r="R294" s="31"/>
      <c r="S294" s="77"/>
      <c r="T294" s="57"/>
      <c r="U294" s="31"/>
    </row>
    <row r="295" spans="1:21" x14ac:dyDescent="0.2">
      <c r="A295" s="315"/>
      <c r="B295" s="60" t="s">
        <v>469</v>
      </c>
      <c r="C295" s="325"/>
      <c r="D295" s="326"/>
      <c r="E295" s="327"/>
      <c r="F295" s="180">
        <f>TrialBalanceA!I295-TrialBalanceA!K295</f>
        <v>0</v>
      </c>
      <c r="G295" s="180">
        <f>TrialBalanceB!I295-TrialBalanceB!K295</f>
        <v>0</v>
      </c>
      <c r="H295" s="180">
        <f>TrialBalanceC!I295-TrialBalanceC!K295</f>
        <v>0</v>
      </c>
      <c r="I295" s="86">
        <f>N295</f>
        <v>0</v>
      </c>
      <c r="J295" s="53">
        <f>SUMIF(Journals!D$14:D$920,TrialBalance!P295,Journals!J$14:J$920)+SUMIF(Journals!E$14:E$920,TrialBalance!P295,Journals!J$14:J$920)</f>
        <v>0</v>
      </c>
      <c r="K295" s="330"/>
      <c r="L295" s="332">
        <f t="shared" si="50"/>
        <v>0</v>
      </c>
      <c r="M295" s="81"/>
      <c r="N295" s="54">
        <f t="shared" si="51"/>
        <v>0</v>
      </c>
      <c r="P295" s="192" t="str">
        <f t="shared" si="49"/>
        <v>7100/104</v>
      </c>
      <c r="Q295" s="76"/>
      <c r="R295" s="31"/>
      <c r="S295" s="77"/>
      <c r="T295" s="57"/>
      <c r="U295" s="31"/>
    </row>
    <row r="296" spans="1:21" x14ac:dyDescent="0.2">
      <c r="A296" s="315"/>
      <c r="B296" s="60" t="s">
        <v>470</v>
      </c>
      <c r="C296" s="325"/>
      <c r="D296" s="326"/>
      <c r="E296" s="327"/>
      <c r="F296" s="180">
        <f>TrialBalanceA!I296-TrialBalanceA!K296</f>
        <v>0</v>
      </c>
      <c r="G296" s="180">
        <f>TrialBalanceB!I296-TrialBalanceB!K296</f>
        <v>0</v>
      </c>
      <c r="H296" s="180">
        <f>TrialBalanceC!I296-TrialBalanceC!K296</f>
        <v>0</v>
      </c>
      <c r="I296" s="86">
        <f>N296</f>
        <v>0</v>
      </c>
      <c r="J296" s="53">
        <f>SUMIF(Journals!D$14:D$920,TrialBalance!P296,Journals!J$14:J$920)+SUMIF(Journals!E$14:E$920,TrialBalance!P296,Journals!J$14:J$920)</f>
        <v>0</v>
      </c>
      <c r="K296" s="330"/>
      <c r="L296" s="332">
        <f t="shared" si="50"/>
        <v>0</v>
      </c>
      <c r="M296" s="81"/>
      <c r="N296" s="54">
        <f t="shared" si="51"/>
        <v>0</v>
      </c>
      <c r="P296" s="192" t="str">
        <f t="shared" si="49"/>
        <v>7100/105</v>
      </c>
      <c r="Q296" s="76"/>
      <c r="R296" s="31"/>
      <c r="S296" s="77"/>
      <c r="T296" s="57"/>
      <c r="U296" s="31"/>
    </row>
    <row r="297" spans="1:21" x14ac:dyDescent="0.2">
      <c r="A297" s="315"/>
      <c r="B297" s="60" t="s">
        <v>471</v>
      </c>
      <c r="C297" s="319" t="s">
        <v>920</v>
      </c>
      <c r="D297" s="326"/>
      <c r="E297" s="327"/>
      <c r="F297" s="180"/>
      <c r="G297" s="180"/>
      <c r="H297" s="180"/>
      <c r="I297" s="86"/>
      <c r="J297" s="53">
        <f>SUMIF(Journals!D$14:D$920,TrialBalance!P297,Journals!J$14:J$920)+SUMIF(Journals!E$14:E$920,TrialBalance!P297,Journals!J$14:J$920)</f>
        <v>0</v>
      </c>
      <c r="K297" s="330"/>
      <c r="L297" s="332">
        <f t="shared" si="50"/>
        <v>0</v>
      </c>
      <c r="M297" s="81"/>
      <c r="N297" s="54">
        <f t="shared" si="51"/>
        <v>0</v>
      </c>
      <c r="P297" s="192" t="str">
        <f t="shared" si="49"/>
        <v>7100/200SHARES IN PRIVATE COMPANIES</v>
      </c>
      <c r="Q297" s="76"/>
      <c r="R297" s="31"/>
      <c r="S297" s="77"/>
      <c r="T297" s="57"/>
      <c r="U297" s="31"/>
    </row>
    <row r="298" spans="1:21" x14ac:dyDescent="0.2">
      <c r="A298" s="315"/>
      <c r="B298" s="60" t="s">
        <v>472</v>
      </c>
      <c r="C298" s="325"/>
      <c r="D298" s="326"/>
      <c r="E298" s="327"/>
      <c r="F298" s="180">
        <f>TrialBalanceA!I298-TrialBalanceA!K298</f>
        <v>0</v>
      </c>
      <c r="G298" s="180">
        <f>TrialBalanceB!I298-TrialBalanceB!K298</f>
        <v>0</v>
      </c>
      <c r="H298" s="180">
        <f>TrialBalanceC!I298-TrialBalanceC!K298</f>
        <v>0</v>
      </c>
      <c r="I298" s="86">
        <f>N298</f>
        <v>0</v>
      </c>
      <c r="J298" s="53">
        <f>SUMIF(Journals!D$14:D$920,TrialBalance!P298,Journals!J$14:J$920)+SUMIF(Journals!E$14:E$920,TrialBalance!P298,Journals!J$14:J$920)</f>
        <v>0</v>
      </c>
      <c r="K298" s="330"/>
      <c r="L298" s="332">
        <f t="shared" si="50"/>
        <v>0</v>
      </c>
      <c r="M298" s="81"/>
      <c r="N298" s="54">
        <f t="shared" si="51"/>
        <v>0</v>
      </c>
      <c r="P298" s="192" t="str">
        <f t="shared" si="49"/>
        <v>7100/201</v>
      </c>
      <c r="Q298" s="76"/>
      <c r="R298" s="31"/>
      <c r="S298" s="77"/>
      <c r="T298" s="57"/>
      <c r="U298" s="31"/>
    </row>
    <row r="299" spans="1:21" x14ac:dyDescent="0.2">
      <c r="A299" s="315"/>
      <c r="B299" s="60" t="s">
        <v>473</v>
      </c>
      <c r="C299" s="325"/>
      <c r="D299" s="326"/>
      <c r="E299" s="327"/>
      <c r="F299" s="180">
        <f>TrialBalanceA!I299-TrialBalanceA!K299</f>
        <v>0</v>
      </c>
      <c r="G299" s="180">
        <f>TrialBalanceB!I299-TrialBalanceB!K299</f>
        <v>0</v>
      </c>
      <c r="H299" s="180">
        <f>TrialBalanceC!I299-TrialBalanceC!K299</f>
        <v>0</v>
      </c>
      <c r="I299" s="86">
        <f>N299</f>
        <v>0</v>
      </c>
      <c r="J299" s="53">
        <f>SUMIF(Journals!D$14:D$920,TrialBalance!P299,Journals!J$14:J$920)+SUMIF(Journals!E$14:E$920,TrialBalance!P299,Journals!J$14:J$920)</f>
        <v>0</v>
      </c>
      <c r="K299" s="330"/>
      <c r="L299" s="332">
        <f t="shared" si="50"/>
        <v>0</v>
      </c>
      <c r="M299" s="81"/>
      <c r="N299" s="54">
        <f t="shared" si="51"/>
        <v>0</v>
      </c>
      <c r="P299" s="192" t="str">
        <f t="shared" si="49"/>
        <v>7100/202</v>
      </c>
      <c r="Q299" s="76"/>
      <c r="R299" s="31"/>
      <c r="S299" s="77"/>
      <c r="T299" s="57"/>
      <c r="U299" s="31"/>
    </row>
    <row r="300" spans="1:21" x14ac:dyDescent="0.2">
      <c r="A300" s="315"/>
      <c r="B300" s="60" t="s">
        <v>474</v>
      </c>
      <c r="C300" s="325"/>
      <c r="D300" s="326"/>
      <c r="E300" s="327"/>
      <c r="F300" s="180">
        <f>TrialBalanceA!I300-TrialBalanceA!K300</f>
        <v>0</v>
      </c>
      <c r="G300" s="180">
        <f>TrialBalanceB!I300-TrialBalanceB!K300</f>
        <v>0</v>
      </c>
      <c r="H300" s="180">
        <f>TrialBalanceC!I300-TrialBalanceC!K300</f>
        <v>0</v>
      </c>
      <c r="I300" s="86">
        <f>N300</f>
        <v>0</v>
      </c>
      <c r="J300" s="53">
        <f>SUMIF(Journals!D$14:D$920,TrialBalance!P300,Journals!J$14:J$920)+SUMIF(Journals!E$14:E$920,TrialBalance!P300,Journals!J$14:J$920)</f>
        <v>0</v>
      </c>
      <c r="K300" s="330"/>
      <c r="L300" s="332">
        <f t="shared" si="50"/>
        <v>0</v>
      </c>
      <c r="M300" s="81"/>
      <c r="N300" s="54">
        <f t="shared" si="51"/>
        <v>0</v>
      </c>
      <c r="P300" s="192" t="str">
        <f t="shared" si="49"/>
        <v>7100/203</v>
      </c>
      <c r="Q300" s="76"/>
      <c r="R300" s="31"/>
      <c r="S300" s="77"/>
      <c r="T300" s="57"/>
      <c r="U300" s="31"/>
    </row>
    <row r="301" spans="1:21" x14ac:dyDescent="0.2">
      <c r="A301" s="315"/>
      <c r="B301" s="60" t="s">
        <v>475</v>
      </c>
      <c r="C301" s="325"/>
      <c r="D301" s="326"/>
      <c r="E301" s="327"/>
      <c r="F301" s="180">
        <f>TrialBalanceA!I301-TrialBalanceA!K301</f>
        <v>0</v>
      </c>
      <c r="G301" s="180">
        <f>TrialBalanceB!I301-TrialBalanceB!K301</f>
        <v>0</v>
      </c>
      <c r="H301" s="180">
        <f>TrialBalanceC!I301-TrialBalanceC!K301</f>
        <v>0</v>
      </c>
      <c r="I301" s="86">
        <f>N301</f>
        <v>0</v>
      </c>
      <c r="J301" s="53">
        <f>SUMIF(Journals!D$14:D$920,TrialBalance!P301,Journals!J$14:J$920)+SUMIF(Journals!E$14:E$920,TrialBalance!P301,Journals!J$14:J$920)</f>
        <v>0</v>
      </c>
      <c r="K301" s="330"/>
      <c r="L301" s="332">
        <f t="shared" si="50"/>
        <v>0</v>
      </c>
      <c r="M301" s="81"/>
      <c r="N301" s="54">
        <f t="shared" si="51"/>
        <v>0</v>
      </c>
      <c r="P301" s="192" t="str">
        <f t="shared" si="49"/>
        <v>7100/204</v>
      </c>
      <c r="Q301" s="76"/>
      <c r="R301" s="31"/>
      <c r="S301" s="77"/>
      <c r="T301" s="57"/>
      <c r="U301" s="31"/>
    </row>
    <row r="302" spans="1:21" x14ac:dyDescent="0.2">
      <c r="A302" s="315"/>
      <c r="B302" s="60" t="s">
        <v>159</v>
      </c>
      <c r="C302" s="325"/>
      <c r="D302" s="326"/>
      <c r="E302" s="327"/>
      <c r="F302" s="180">
        <f>TrialBalanceA!I302-TrialBalanceA!K302</f>
        <v>0</v>
      </c>
      <c r="G302" s="180">
        <f>TrialBalanceB!I302-TrialBalanceB!K302</f>
        <v>0</v>
      </c>
      <c r="H302" s="180">
        <f>TrialBalanceC!I302-TrialBalanceC!K302</f>
        <v>0</v>
      </c>
      <c r="I302" s="86">
        <f>N302</f>
        <v>0</v>
      </c>
      <c r="J302" s="53">
        <f>SUMIF(Journals!D$14:D$920,TrialBalance!P302,Journals!J$14:J$920)+SUMIF(Journals!E$14:E$920,TrialBalance!P302,Journals!J$14:J$920)</f>
        <v>0</v>
      </c>
      <c r="K302" s="330"/>
      <c r="L302" s="332">
        <f>ROUND(D302-E302+F302+G302+H302+J302+I302,0)</f>
        <v>0</v>
      </c>
      <c r="M302" s="81"/>
      <c r="N302" s="54">
        <f>ROUND(SUM(A302),0)</f>
        <v>0</v>
      </c>
      <c r="P302" s="192" t="str">
        <f t="shared" si="49"/>
        <v>7100/205</v>
      </c>
      <c r="Q302" s="76"/>
      <c r="R302" s="31"/>
      <c r="S302" s="77"/>
      <c r="T302" s="57"/>
      <c r="U302" s="31"/>
    </row>
    <row r="303" spans="1:21" x14ac:dyDescent="0.2">
      <c r="A303" s="315"/>
      <c r="B303" s="110" t="s">
        <v>904</v>
      </c>
      <c r="C303" s="325"/>
      <c r="D303" s="326"/>
      <c r="E303" s="327"/>
      <c r="F303" s="180">
        <f>TrialBalanceA!I303-TrialBalanceA!K303</f>
        <v>0</v>
      </c>
      <c r="G303" s="180">
        <f>TrialBalanceB!I303-TrialBalanceB!K303</f>
        <v>0</v>
      </c>
      <c r="H303" s="180">
        <f>TrialBalanceC!I303-TrialBalanceC!K303</f>
        <v>0</v>
      </c>
      <c r="I303" s="86">
        <f t="shared" ref="I303:I311" si="55">N303</f>
        <v>0</v>
      </c>
      <c r="J303" s="53">
        <f>SUMIF(Journals!D$14:D$920,TrialBalance!P303,Journals!J$14:J$920)+SUMIF(Journals!E$14:E$920,TrialBalance!P303,Journals!J$14:J$920)</f>
        <v>0</v>
      </c>
      <c r="K303" s="330"/>
      <c r="L303" s="332">
        <f t="shared" ref="L303:L311" si="56">ROUND(D303-E303+F303+G303+H303+J303+I303,0)</f>
        <v>0</v>
      </c>
      <c r="M303" s="81"/>
      <c r="N303" s="54">
        <f t="shared" ref="N303:N311" si="57">ROUND(SUM(A303),0)</f>
        <v>0</v>
      </c>
      <c r="P303" s="192" t="str">
        <f t="shared" ref="P303:P312" si="58">CONCATENATE(B303,C303)</f>
        <v>7100/206</v>
      </c>
      <c r="Q303" s="76"/>
      <c r="R303" s="31"/>
      <c r="S303" s="77"/>
      <c r="T303" s="57"/>
      <c r="U303" s="31"/>
    </row>
    <row r="304" spans="1:21" x14ac:dyDescent="0.2">
      <c r="A304" s="315"/>
      <c r="B304" s="110" t="s">
        <v>905</v>
      </c>
      <c r="C304" s="325"/>
      <c r="D304" s="326"/>
      <c r="E304" s="327"/>
      <c r="F304" s="180">
        <f>TrialBalanceA!I304-TrialBalanceA!K304</f>
        <v>0</v>
      </c>
      <c r="G304" s="180">
        <f>TrialBalanceB!I304-TrialBalanceB!K304</f>
        <v>0</v>
      </c>
      <c r="H304" s="180">
        <f>TrialBalanceC!I304-TrialBalanceC!K304</f>
        <v>0</v>
      </c>
      <c r="I304" s="86">
        <f t="shared" si="55"/>
        <v>0</v>
      </c>
      <c r="J304" s="53">
        <f>SUMIF(Journals!D$14:D$920,TrialBalance!P304,Journals!J$14:J$920)+SUMIF(Journals!E$14:E$920,TrialBalance!P304,Journals!J$14:J$920)</f>
        <v>0</v>
      </c>
      <c r="K304" s="330"/>
      <c r="L304" s="332">
        <f t="shared" si="56"/>
        <v>0</v>
      </c>
      <c r="M304" s="81"/>
      <c r="N304" s="54">
        <f t="shared" si="57"/>
        <v>0</v>
      </c>
      <c r="P304" s="192" t="str">
        <f t="shared" si="58"/>
        <v>7100/207</v>
      </c>
      <c r="Q304" s="76"/>
      <c r="R304" s="31"/>
      <c r="S304" s="77"/>
      <c r="T304" s="57"/>
      <c r="U304" s="31"/>
    </row>
    <row r="305" spans="1:21" x14ac:dyDescent="0.2">
      <c r="A305" s="315"/>
      <c r="B305" s="110" t="s">
        <v>906</v>
      </c>
      <c r="C305" s="325"/>
      <c r="D305" s="326"/>
      <c r="E305" s="327"/>
      <c r="F305" s="180">
        <f>TrialBalanceA!I305-TrialBalanceA!K305</f>
        <v>0</v>
      </c>
      <c r="G305" s="180">
        <f>TrialBalanceB!I305-TrialBalanceB!K305</f>
        <v>0</v>
      </c>
      <c r="H305" s="180">
        <f>TrialBalanceC!I305-TrialBalanceC!K305</f>
        <v>0</v>
      </c>
      <c r="I305" s="86">
        <f t="shared" si="55"/>
        <v>0</v>
      </c>
      <c r="J305" s="53">
        <f>SUMIF(Journals!D$14:D$920,TrialBalance!P305,Journals!J$14:J$920)+SUMIF(Journals!E$14:E$920,TrialBalance!P305,Journals!J$14:J$920)</f>
        <v>0</v>
      </c>
      <c r="K305" s="330"/>
      <c r="L305" s="332">
        <f t="shared" si="56"/>
        <v>0</v>
      </c>
      <c r="M305" s="81"/>
      <c r="N305" s="54">
        <f t="shared" si="57"/>
        <v>0</v>
      </c>
      <c r="P305" s="192" t="str">
        <f t="shared" si="58"/>
        <v>7100/208</v>
      </c>
      <c r="Q305" s="76"/>
      <c r="R305" s="31"/>
      <c r="S305" s="77"/>
      <c r="T305" s="57"/>
      <c r="U305" s="31"/>
    </row>
    <row r="306" spans="1:21" x14ac:dyDescent="0.2">
      <c r="A306" s="315"/>
      <c r="B306" s="110" t="s">
        <v>907</v>
      </c>
      <c r="C306" s="325"/>
      <c r="D306" s="326"/>
      <c r="E306" s="327"/>
      <c r="F306" s="180">
        <f>TrialBalanceA!I306-TrialBalanceA!K306</f>
        <v>0</v>
      </c>
      <c r="G306" s="180">
        <f>TrialBalanceB!I306-TrialBalanceB!K306</f>
        <v>0</v>
      </c>
      <c r="H306" s="180">
        <f>TrialBalanceC!I306-TrialBalanceC!K306</f>
        <v>0</v>
      </c>
      <c r="I306" s="86">
        <f t="shared" si="55"/>
        <v>0</v>
      </c>
      <c r="J306" s="53">
        <f>SUMIF(Journals!D$14:D$920,TrialBalance!P306,Journals!J$14:J$920)+SUMIF(Journals!E$14:E$920,TrialBalance!P306,Journals!J$14:J$920)</f>
        <v>0</v>
      </c>
      <c r="K306" s="330"/>
      <c r="L306" s="332">
        <f t="shared" si="56"/>
        <v>0</v>
      </c>
      <c r="M306" s="81"/>
      <c r="N306" s="54">
        <f t="shared" si="57"/>
        <v>0</v>
      </c>
      <c r="P306" s="192" t="str">
        <f t="shared" si="58"/>
        <v>7100/209</v>
      </c>
      <c r="Q306" s="76"/>
      <c r="R306" s="31"/>
      <c r="S306" s="77"/>
      <c r="T306" s="57"/>
      <c r="U306" s="31"/>
    </row>
    <row r="307" spans="1:21" x14ac:dyDescent="0.2">
      <c r="A307" s="315"/>
      <c r="B307" s="110" t="s">
        <v>908</v>
      </c>
      <c r="C307" s="325"/>
      <c r="D307" s="326"/>
      <c r="E307" s="327"/>
      <c r="F307" s="180">
        <f>TrialBalanceA!I307-TrialBalanceA!K307</f>
        <v>0</v>
      </c>
      <c r="G307" s="180">
        <f>TrialBalanceB!I307-TrialBalanceB!K307</f>
        <v>0</v>
      </c>
      <c r="H307" s="180">
        <f>TrialBalanceC!I307-TrialBalanceC!K307</f>
        <v>0</v>
      </c>
      <c r="I307" s="86">
        <f t="shared" si="55"/>
        <v>0</v>
      </c>
      <c r="J307" s="53">
        <f>SUMIF(Journals!D$14:D$920,TrialBalance!P307,Journals!J$14:J$920)+SUMIF(Journals!E$14:E$920,TrialBalance!P307,Journals!J$14:J$920)</f>
        <v>0</v>
      </c>
      <c r="K307" s="330"/>
      <c r="L307" s="332">
        <f t="shared" si="56"/>
        <v>0</v>
      </c>
      <c r="M307" s="81"/>
      <c r="N307" s="54">
        <f t="shared" si="57"/>
        <v>0</v>
      </c>
      <c r="P307" s="192" t="str">
        <f t="shared" si="58"/>
        <v>7100/210</v>
      </c>
      <c r="Q307" s="76"/>
      <c r="R307" s="31"/>
      <c r="S307" s="77"/>
      <c r="T307" s="57"/>
      <c r="U307" s="31"/>
    </row>
    <row r="308" spans="1:21" x14ac:dyDescent="0.2">
      <c r="A308" s="315"/>
      <c r="B308" s="110" t="s">
        <v>909</v>
      </c>
      <c r="C308" s="325"/>
      <c r="D308" s="326"/>
      <c r="E308" s="327"/>
      <c r="F308" s="180">
        <f>TrialBalanceA!I308-TrialBalanceA!K308</f>
        <v>0</v>
      </c>
      <c r="G308" s="180">
        <f>TrialBalanceB!I308-TrialBalanceB!K308</f>
        <v>0</v>
      </c>
      <c r="H308" s="180">
        <f>TrialBalanceC!I308-TrialBalanceC!K308</f>
        <v>0</v>
      </c>
      <c r="I308" s="86">
        <f t="shared" si="55"/>
        <v>0</v>
      </c>
      <c r="J308" s="53">
        <f>SUMIF(Journals!D$14:D$920,TrialBalance!P308,Journals!J$14:J$920)+SUMIF(Journals!E$14:E$920,TrialBalance!P308,Journals!J$14:J$920)</f>
        <v>0</v>
      </c>
      <c r="K308" s="330"/>
      <c r="L308" s="332">
        <f t="shared" si="56"/>
        <v>0</v>
      </c>
      <c r="M308" s="81"/>
      <c r="N308" s="54">
        <f t="shared" si="57"/>
        <v>0</v>
      </c>
      <c r="P308" s="192" t="str">
        <f t="shared" si="58"/>
        <v>7100/211</v>
      </c>
      <c r="Q308" s="76"/>
      <c r="R308" s="31"/>
      <c r="S308" s="77"/>
      <c r="T308" s="57"/>
      <c r="U308" s="31"/>
    </row>
    <row r="309" spans="1:21" x14ac:dyDescent="0.2">
      <c r="A309" s="315"/>
      <c r="B309" s="110" t="s">
        <v>910</v>
      </c>
      <c r="C309" s="325"/>
      <c r="D309" s="326"/>
      <c r="E309" s="327"/>
      <c r="F309" s="180">
        <f>TrialBalanceA!I309-TrialBalanceA!K309</f>
        <v>0</v>
      </c>
      <c r="G309" s="180">
        <f>TrialBalanceB!I309-TrialBalanceB!K309</f>
        <v>0</v>
      </c>
      <c r="H309" s="180">
        <f>TrialBalanceC!I309-TrialBalanceC!K309</f>
        <v>0</v>
      </c>
      <c r="I309" s="86">
        <f t="shared" si="55"/>
        <v>0</v>
      </c>
      <c r="J309" s="53">
        <f>SUMIF(Journals!D$14:D$920,TrialBalance!P309,Journals!J$14:J$920)+SUMIF(Journals!E$14:E$920,TrialBalance!P309,Journals!J$14:J$920)</f>
        <v>0</v>
      </c>
      <c r="K309" s="330"/>
      <c r="L309" s="332">
        <f t="shared" si="56"/>
        <v>0</v>
      </c>
      <c r="M309" s="81"/>
      <c r="N309" s="54">
        <f t="shared" si="57"/>
        <v>0</v>
      </c>
      <c r="P309" s="192" t="str">
        <f t="shared" si="58"/>
        <v>7100/212</v>
      </c>
      <c r="Q309" s="76"/>
      <c r="R309" s="31"/>
      <c r="S309" s="77"/>
      <c r="T309" s="57"/>
      <c r="U309" s="31"/>
    </row>
    <row r="310" spans="1:21" x14ac:dyDescent="0.2">
      <c r="A310" s="315"/>
      <c r="B310" s="110" t="s">
        <v>911</v>
      </c>
      <c r="C310" s="325"/>
      <c r="D310" s="326"/>
      <c r="E310" s="327"/>
      <c r="F310" s="180">
        <f>TrialBalanceA!I310-TrialBalanceA!K310</f>
        <v>0</v>
      </c>
      <c r="G310" s="180">
        <f>TrialBalanceB!I310-TrialBalanceB!K310</f>
        <v>0</v>
      </c>
      <c r="H310" s="180">
        <f>TrialBalanceC!I310-TrialBalanceC!K310</f>
        <v>0</v>
      </c>
      <c r="I310" s="86">
        <f t="shared" si="55"/>
        <v>0</v>
      </c>
      <c r="J310" s="53">
        <f>SUMIF(Journals!D$14:D$920,TrialBalance!P310,Journals!J$14:J$920)+SUMIF(Journals!E$14:E$920,TrialBalance!P310,Journals!J$14:J$920)</f>
        <v>0</v>
      </c>
      <c r="K310" s="330"/>
      <c r="L310" s="332">
        <f t="shared" si="56"/>
        <v>0</v>
      </c>
      <c r="M310" s="81"/>
      <c r="N310" s="54">
        <f t="shared" si="57"/>
        <v>0</v>
      </c>
      <c r="P310" s="192" t="str">
        <f t="shared" si="58"/>
        <v>7100/213</v>
      </c>
      <c r="Q310" s="76"/>
      <c r="R310" s="31"/>
      <c r="S310" s="77"/>
      <c r="T310" s="57"/>
      <c r="U310" s="31"/>
    </row>
    <row r="311" spans="1:21" x14ac:dyDescent="0.2">
      <c r="A311" s="315"/>
      <c r="B311" s="110" t="s">
        <v>912</v>
      </c>
      <c r="C311" s="325"/>
      <c r="D311" s="326"/>
      <c r="E311" s="327"/>
      <c r="F311" s="180">
        <f>TrialBalanceA!I311-TrialBalanceA!K311</f>
        <v>0</v>
      </c>
      <c r="G311" s="180">
        <f>TrialBalanceB!I311-TrialBalanceB!K311</f>
        <v>0</v>
      </c>
      <c r="H311" s="180">
        <f>TrialBalanceC!I311-TrialBalanceC!K311</f>
        <v>0</v>
      </c>
      <c r="I311" s="86">
        <f t="shared" si="55"/>
        <v>0</v>
      </c>
      <c r="J311" s="53">
        <f>SUMIF(Journals!D$14:D$920,TrialBalance!P311,Journals!J$14:J$920)+SUMIF(Journals!E$14:E$920,TrialBalance!P311,Journals!J$14:J$920)</f>
        <v>0</v>
      </c>
      <c r="K311" s="330"/>
      <c r="L311" s="332">
        <f t="shared" si="56"/>
        <v>0</v>
      </c>
      <c r="M311" s="81"/>
      <c r="N311" s="54">
        <f t="shared" si="57"/>
        <v>0</v>
      </c>
      <c r="P311" s="192" t="str">
        <f t="shared" si="58"/>
        <v>7100/214</v>
      </c>
      <c r="Q311" s="76"/>
      <c r="R311" s="31"/>
      <c r="S311" s="77"/>
      <c r="T311" s="57"/>
      <c r="U311" s="31"/>
    </row>
    <row r="312" spans="1:21" x14ac:dyDescent="0.2">
      <c r="A312" s="315"/>
      <c r="B312" s="110" t="s">
        <v>913</v>
      </c>
      <c r="C312" s="325"/>
      <c r="D312" s="326"/>
      <c r="E312" s="327"/>
      <c r="F312" s="180">
        <f>TrialBalanceA!I312-TrialBalanceA!K312</f>
        <v>0</v>
      </c>
      <c r="G312" s="180">
        <f>TrialBalanceB!I312-TrialBalanceB!K312</f>
        <v>0</v>
      </c>
      <c r="H312" s="180">
        <f>TrialBalanceC!I312-TrialBalanceC!K312</f>
        <v>0</v>
      </c>
      <c r="I312" s="86">
        <f>N312</f>
        <v>0</v>
      </c>
      <c r="J312" s="53">
        <f>SUMIF(Journals!D$14:D$920,TrialBalance!P312,Journals!J$14:J$920)+SUMIF(Journals!E$14:E$920,TrialBalance!P312,Journals!J$14:J$920)</f>
        <v>0</v>
      </c>
      <c r="K312" s="330"/>
      <c r="L312" s="332">
        <f>ROUND(D312-E312+F312+G312+H312+J312+I312,0)</f>
        <v>0</v>
      </c>
      <c r="M312" s="81"/>
      <c r="N312" s="54">
        <f>ROUND(SUM(A312),0)</f>
        <v>0</v>
      </c>
      <c r="P312" s="192" t="str">
        <f t="shared" si="58"/>
        <v>7100/215</v>
      </c>
      <c r="Q312" s="76"/>
      <c r="R312" s="31"/>
      <c r="S312" s="77"/>
      <c r="T312" s="57"/>
      <c r="U312" s="31"/>
    </row>
    <row r="313" spans="1:21" x14ac:dyDescent="0.2">
      <c r="A313" s="315"/>
      <c r="B313" s="110" t="s">
        <v>921</v>
      </c>
      <c r="C313" s="319" t="s">
        <v>922</v>
      </c>
      <c r="D313" s="326"/>
      <c r="E313" s="327"/>
      <c r="F313" s="180"/>
      <c r="G313" s="180"/>
      <c r="H313" s="180"/>
      <c r="I313" s="86"/>
      <c r="J313" s="53">
        <f>SUMIF(Journals!D$14:D$920,TrialBalance!P313,Journals!J$14:J$920)+SUMIF(Journals!E$14:E$920,TrialBalance!P313,Journals!J$14:J$920)</f>
        <v>0</v>
      </c>
      <c r="K313" s="330"/>
      <c r="L313" s="332">
        <f>ROUND(D313-E313+F313+G313+H313+J313+I313,0)</f>
        <v>0</v>
      </c>
      <c r="M313" s="81"/>
      <c r="N313" s="54">
        <f>ROUND(SUM(A313),0)</f>
        <v>0</v>
      </c>
      <c r="P313" s="192" t="str">
        <f t="shared" ref="P313:P318" si="59">CONCATENATE(B313,C313)</f>
        <v>7100/250MEMBER'S INTEREST IN CLOSE CORPORATIONS</v>
      </c>
      <c r="Q313" s="76"/>
      <c r="R313" s="31"/>
      <c r="S313" s="77"/>
      <c r="T313" s="57"/>
      <c r="U313" s="31"/>
    </row>
    <row r="314" spans="1:21" x14ac:dyDescent="0.2">
      <c r="A314" s="315"/>
      <c r="B314" s="110" t="s">
        <v>923</v>
      </c>
      <c r="C314" s="325"/>
      <c r="D314" s="326"/>
      <c r="E314" s="327"/>
      <c r="F314" s="180">
        <f>TrialBalanceA!I314-TrialBalanceA!K314</f>
        <v>0</v>
      </c>
      <c r="G314" s="180">
        <f>TrialBalanceB!I314-TrialBalanceB!K314</f>
        <v>0</v>
      </c>
      <c r="H314" s="180">
        <f>TrialBalanceC!I314-TrialBalanceC!K314</f>
        <v>0</v>
      </c>
      <c r="I314" s="86">
        <f t="shared" ref="I314:I318" si="60">N314</f>
        <v>0</v>
      </c>
      <c r="J314" s="53">
        <f>SUMIF(Journals!D$14:D$920,TrialBalance!P314,Journals!J$14:J$920)+SUMIF(Journals!E$14:E$920,TrialBalance!P314,Journals!J$14:J$920)</f>
        <v>0</v>
      </c>
      <c r="K314" s="330"/>
      <c r="L314" s="332">
        <f t="shared" ref="L314:L318" si="61">ROUND(D314-E314+F314+G314+H314+J314+I314,0)</f>
        <v>0</v>
      </c>
      <c r="M314" s="81"/>
      <c r="N314" s="54">
        <f t="shared" ref="N314:N318" si="62">ROUND(SUM(A314),0)</f>
        <v>0</v>
      </c>
      <c r="P314" s="192" t="str">
        <f t="shared" si="59"/>
        <v>7100/251</v>
      </c>
      <c r="Q314" s="76"/>
      <c r="R314" s="31"/>
      <c r="S314" s="77"/>
      <c r="T314" s="57"/>
      <c r="U314" s="31"/>
    </row>
    <row r="315" spans="1:21" x14ac:dyDescent="0.2">
      <c r="A315" s="315"/>
      <c r="B315" s="110" t="s">
        <v>924</v>
      </c>
      <c r="C315" s="325"/>
      <c r="D315" s="326"/>
      <c r="E315" s="327"/>
      <c r="F315" s="180">
        <f>TrialBalanceA!I315-TrialBalanceA!K315</f>
        <v>0</v>
      </c>
      <c r="G315" s="180">
        <f>TrialBalanceB!I315-TrialBalanceB!K315</f>
        <v>0</v>
      </c>
      <c r="H315" s="180">
        <f>TrialBalanceC!I315-TrialBalanceC!K315</f>
        <v>0</v>
      </c>
      <c r="I315" s="86">
        <f t="shared" si="60"/>
        <v>0</v>
      </c>
      <c r="J315" s="53">
        <f>SUMIF(Journals!D$14:D$920,TrialBalance!P315,Journals!J$14:J$920)+SUMIF(Journals!E$14:E$920,TrialBalance!P315,Journals!J$14:J$920)</f>
        <v>0</v>
      </c>
      <c r="K315" s="330"/>
      <c r="L315" s="332">
        <f t="shared" si="61"/>
        <v>0</v>
      </c>
      <c r="M315" s="81"/>
      <c r="N315" s="54">
        <f t="shared" si="62"/>
        <v>0</v>
      </c>
      <c r="P315" s="192" t="str">
        <f t="shared" si="59"/>
        <v>7100/252</v>
      </c>
      <c r="Q315" s="76"/>
      <c r="R315" s="31"/>
      <c r="S315" s="77"/>
      <c r="T315" s="57"/>
      <c r="U315" s="31"/>
    </row>
    <row r="316" spans="1:21" x14ac:dyDescent="0.2">
      <c r="A316" s="315"/>
      <c r="B316" s="110" t="s">
        <v>925</v>
      </c>
      <c r="C316" s="325"/>
      <c r="D316" s="326"/>
      <c r="E316" s="327"/>
      <c r="F316" s="180">
        <f>TrialBalanceA!I316-TrialBalanceA!K316</f>
        <v>0</v>
      </c>
      <c r="G316" s="180">
        <f>TrialBalanceB!I316-TrialBalanceB!K316</f>
        <v>0</v>
      </c>
      <c r="H316" s="180">
        <f>TrialBalanceC!I316-TrialBalanceC!K316</f>
        <v>0</v>
      </c>
      <c r="I316" s="86">
        <f t="shared" si="60"/>
        <v>0</v>
      </c>
      <c r="J316" s="53">
        <f>SUMIF(Journals!D$14:D$920,TrialBalance!P316,Journals!J$14:J$920)+SUMIF(Journals!E$14:E$920,TrialBalance!P316,Journals!J$14:J$920)</f>
        <v>0</v>
      </c>
      <c r="K316" s="330"/>
      <c r="L316" s="332">
        <f t="shared" si="61"/>
        <v>0</v>
      </c>
      <c r="M316" s="81"/>
      <c r="N316" s="54">
        <f t="shared" si="62"/>
        <v>0</v>
      </c>
      <c r="P316" s="192" t="str">
        <f t="shared" si="59"/>
        <v>7100/253</v>
      </c>
      <c r="Q316" s="76"/>
      <c r="R316" s="31"/>
      <c r="S316" s="77"/>
      <c r="T316" s="57"/>
      <c r="U316" s="31"/>
    </row>
    <row r="317" spans="1:21" x14ac:dyDescent="0.2">
      <c r="A317" s="315"/>
      <c r="B317" s="110" t="s">
        <v>926</v>
      </c>
      <c r="C317" s="325"/>
      <c r="D317" s="326"/>
      <c r="E317" s="327"/>
      <c r="F317" s="180">
        <f>TrialBalanceA!I317-TrialBalanceA!K317</f>
        <v>0</v>
      </c>
      <c r="G317" s="180">
        <f>TrialBalanceB!I317-TrialBalanceB!K317</f>
        <v>0</v>
      </c>
      <c r="H317" s="180">
        <f>TrialBalanceC!I317-TrialBalanceC!K317</f>
        <v>0</v>
      </c>
      <c r="I317" s="86">
        <f t="shared" si="60"/>
        <v>0</v>
      </c>
      <c r="J317" s="53">
        <f>SUMIF(Journals!D$14:D$920,TrialBalance!P317,Journals!J$14:J$920)+SUMIF(Journals!E$14:E$920,TrialBalance!P317,Journals!J$14:J$920)</f>
        <v>0</v>
      </c>
      <c r="K317" s="330"/>
      <c r="L317" s="332">
        <f t="shared" si="61"/>
        <v>0</v>
      </c>
      <c r="M317" s="81"/>
      <c r="N317" s="54">
        <f t="shared" si="62"/>
        <v>0</v>
      </c>
      <c r="P317" s="192" t="str">
        <f t="shared" si="59"/>
        <v>7100/254</v>
      </c>
      <c r="Q317" s="76"/>
      <c r="R317" s="31"/>
      <c r="S317" s="77"/>
      <c r="T317" s="57"/>
      <c r="U317" s="31"/>
    </row>
    <row r="318" spans="1:21" x14ac:dyDescent="0.2">
      <c r="A318" s="315"/>
      <c r="B318" s="110" t="s">
        <v>927</v>
      </c>
      <c r="C318" s="325"/>
      <c r="D318" s="326"/>
      <c r="E318" s="327"/>
      <c r="F318" s="180">
        <f>TrialBalanceA!I318-TrialBalanceA!K318</f>
        <v>0</v>
      </c>
      <c r="G318" s="180">
        <f>TrialBalanceB!I318-TrialBalanceB!K318</f>
        <v>0</v>
      </c>
      <c r="H318" s="180">
        <f>TrialBalanceC!I318-TrialBalanceC!K318</f>
        <v>0</v>
      </c>
      <c r="I318" s="86">
        <f t="shared" si="60"/>
        <v>0</v>
      </c>
      <c r="J318" s="53">
        <f>SUMIF(Journals!D$14:D$920,TrialBalance!P318,Journals!J$14:J$920)+SUMIF(Journals!E$14:E$920,TrialBalance!P318,Journals!J$14:J$920)</f>
        <v>0</v>
      </c>
      <c r="K318" s="330"/>
      <c r="L318" s="332">
        <f t="shared" si="61"/>
        <v>0</v>
      </c>
      <c r="M318" s="81"/>
      <c r="N318" s="54">
        <f t="shared" si="62"/>
        <v>0</v>
      </c>
      <c r="P318" s="192" t="str">
        <f t="shared" si="59"/>
        <v>7100/255</v>
      </c>
      <c r="Q318" s="76"/>
      <c r="R318" s="31"/>
      <c r="S318" s="77"/>
      <c r="T318" s="57"/>
      <c r="U318" s="31"/>
    </row>
    <row r="319" spans="1:21" x14ac:dyDescent="0.2">
      <c r="A319" s="315"/>
      <c r="B319" s="110" t="s">
        <v>914</v>
      </c>
      <c r="C319" s="319" t="s">
        <v>379</v>
      </c>
      <c r="D319" s="326"/>
      <c r="E319" s="327"/>
      <c r="F319" s="180"/>
      <c r="G319" s="180"/>
      <c r="H319" s="180"/>
      <c r="I319" s="86"/>
      <c r="J319" s="53">
        <f>SUMIF(Journals!D$14:D$920,TrialBalance!P319,Journals!J$14:J$920)+SUMIF(Journals!E$14:E$920,TrialBalance!P319,Journals!J$14:J$920)</f>
        <v>0</v>
      </c>
      <c r="K319" s="330"/>
      <c r="L319" s="332">
        <f>ROUND(D319-E319+F319+G319+H319+J319+I319,0)</f>
        <v>0</v>
      </c>
      <c r="M319" s="81"/>
      <c r="N319" s="54">
        <f>ROUND(SUM(A319),0)</f>
        <v>0</v>
      </c>
      <c r="P319" s="192" t="str">
        <f t="shared" ref="P319:P324" si="63">CONCATENATE(B319,C319)</f>
        <v>7100/300OTHER INVESTMENTS</v>
      </c>
      <c r="Q319" s="76"/>
      <c r="R319" s="31"/>
      <c r="S319" s="77"/>
      <c r="T319" s="57"/>
      <c r="U319" s="31"/>
    </row>
    <row r="320" spans="1:21" x14ac:dyDescent="0.2">
      <c r="A320" s="315"/>
      <c r="B320" s="110" t="s">
        <v>915</v>
      </c>
      <c r="C320" s="325"/>
      <c r="D320" s="326"/>
      <c r="E320" s="327"/>
      <c r="F320" s="180">
        <f>TrialBalanceA!I320-TrialBalanceA!K320</f>
        <v>0</v>
      </c>
      <c r="G320" s="180">
        <f>TrialBalanceB!I320-TrialBalanceB!K320</f>
        <v>0</v>
      </c>
      <c r="H320" s="180">
        <f>TrialBalanceC!I320-TrialBalanceC!K320</f>
        <v>0</v>
      </c>
      <c r="I320" s="86">
        <f t="shared" ref="I320:I323" si="64">N320</f>
        <v>0</v>
      </c>
      <c r="J320" s="53">
        <f>SUMIF(Journals!D$14:D$920,TrialBalance!P320,Journals!J$14:J$920)+SUMIF(Journals!E$14:E$920,TrialBalance!P320,Journals!J$14:J$920)</f>
        <v>0</v>
      </c>
      <c r="K320" s="330"/>
      <c r="L320" s="332">
        <f t="shared" ref="L320:L323" si="65">ROUND(D320-E320+F320+G320+H320+J320+I320,0)</f>
        <v>0</v>
      </c>
      <c r="M320" s="81"/>
      <c r="N320" s="54">
        <f t="shared" ref="N320:N323" si="66">ROUND(SUM(A320),0)</f>
        <v>0</v>
      </c>
      <c r="P320" s="192" t="str">
        <f t="shared" si="63"/>
        <v>7100/301</v>
      </c>
      <c r="Q320" s="76"/>
      <c r="R320" s="31"/>
      <c r="S320" s="77"/>
      <c r="T320" s="57"/>
      <c r="U320" s="31"/>
    </row>
    <row r="321" spans="1:21" x14ac:dyDescent="0.2">
      <c r="A321" s="315"/>
      <c r="B321" s="110" t="s">
        <v>916</v>
      </c>
      <c r="C321" s="325"/>
      <c r="D321" s="326"/>
      <c r="E321" s="327"/>
      <c r="F321" s="180">
        <f>TrialBalanceA!I321-TrialBalanceA!K321</f>
        <v>0</v>
      </c>
      <c r="G321" s="180">
        <f>TrialBalanceB!I321-TrialBalanceB!K321</f>
        <v>0</v>
      </c>
      <c r="H321" s="180">
        <f>TrialBalanceC!I321-TrialBalanceC!K321</f>
        <v>0</v>
      </c>
      <c r="I321" s="86">
        <f t="shared" si="64"/>
        <v>0</v>
      </c>
      <c r="J321" s="53">
        <f>SUMIF(Journals!D$14:D$920,TrialBalance!P321,Journals!J$14:J$920)+SUMIF(Journals!E$14:E$920,TrialBalance!P321,Journals!J$14:J$920)</f>
        <v>0</v>
      </c>
      <c r="K321" s="330"/>
      <c r="L321" s="332">
        <f t="shared" si="65"/>
        <v>0</v>
      </c>
      <c r="M321" s="81"/>
      <c r="N321" s="54">
        <f t="shared" si="66"/>
        <v>0</v>
      </c>
      <c r="P321" s="192" t="str">
        <f t="shared" si="63"/>
        <v>7100/302</v>
      </c>
      <c r="Q321" s="76"/>
      <c r="R321" s="31"/>
      <c r="S321" s="77"/>
      <c r="T321" s="57"/>
      <c r="U321" s="31"/>
    </row>
    <row r="322" spans="1:21" x14ac:dyDescent="0.2">
      <c r="A322" s="315"/>
      <c r="B322" s="110" t="s">
        <v>917</v>
      </c>
      <c r="C322" s="325"/>
      <c r="D322" s="326"/>
      <c r="E322" s="327"/>
      <c r="F322" s="180">
        <f>TrialBalanceA!I322-TrialBalanceA!K322</f>
        <v>0</v>
      </c>
      <c r="G322" s="180">
        <f>TrialBalanceB!I322-TrialBalanceB!K322</f>
        <v>0</v>
      </c>
      <c r="H322" s="180">
        <f>TrialBalanceC!I322-TrialBalanceC!K322</f>
        <v>0</v>
      </c>
      <c r="I322" s="86">
        <f t="shared" si="64"/>
        <v>0</v>
      </c>
      <c r="J322" s="53">
        <f>SUMIF(Journals!D$14:D$920,TrialBalance!P322,Journals!J$14:J$920)+SUMIF(Journals!E$14:E$920,TrialBalance!P322,Journals!J$14:J$920)</f>
        <v>0</v>
      </c>
      <c r="K322" s="330"/>
      <c r="L322" s="332">
        <f t="shared" si="65"/>
        <v>0</v>
      </c>
      <c r="M322" s="81"/>
      <c r="N322" s="54">
        <f t="shared" si="66"/>
        <v>0</v>
      </c>
      <c r="P322" s="192" t="str">
        <f t="shared" si="63"/>
        <v>7100/303</v>
      </c>
      <c r="Q322" s="76"/>
      <c r="R322" s="31"/>
      <c r="S322" s="77"/>
      <c r="T322" s="57"/>
      <c r="U322" s="31"/>
    </row>
    <row r="323" spans="1:21" x14ac:dyDescent="0.2">
      <c r="A323" s="315"/>
      <c r="B323" s="110" t="s">
        <v>918</v>
      </c>
      <c r="C323" s="325"/>
      <c r="D323" s="326"/>
      <c r="E323" s="327"/>
      <c r="F323" s="180">
        <f>TrialBalanceA!I323-TrialBalanceA!K323</f>
        <v>0</v>
      </c>
      <c r="G323" s="180">
        <f>TrialBalanceB!I323-TrialBalanceB!K323</f>
        <v>0</v>
      </c>
      <c r="H323" s="180">
        <f>TrialBalanceC!I323-TrialBalanceC!K323</f>
        <v>0</v>
      </c>
      <c r="I323" s="86">
        <f t="shared" si="64"/>
        <v>0</v>
      </c>
      <c r="J323" s="53">
        <f>SUMIF(Journals!D$14:D$920,TrialBalance!P323,Journals!J$14:J$920)+SUMIF(Journals!E$14:E$920,TrialBalance!P323,Journals!J$14:J$920)</f>
        <v>0</v>
      </c>
      <c r="K323" s="330"/>
      <c r="L323" s="332">
        <f t="shared" si="65"/>
        <v>0</v>
      </c>
      <c r="M323" s="81"/>
      <c r="N323" s="54">
        <f t="shared" si="66"/>
        <v>0</v>
      </c>
      <c r="P323" s="192" t="str">
        <f t="shared" si="63"/>
        <v>7100/304</v>
      </c>
      <c r="Q323" s="76"/>
      <c r="R323" s="31"/>
      <c r="S323" s="77"/>
      <c r="T323" s="57"/>
      <c r="U323" s="31"/>
    </row>
    <row r="324" spans="1:21" x14ac:dyDescent="0.2">
      <c r="A324" s="315"/>
      <c r="B324" s="110" t="s">
        <v>919</v>
      </c>
      <c r="C324" s="325"/>
      <c r="D324" s="326"/>
      <c r="E324" s="327"/>
      <c r="F324" s="180">
        <f>TrialBalanceA!I324-TrialBalanceA!K324</f>
        <v>0</v>
      </c>
      <c r="G324" s="180">
        <f>TrialBalanceB!I324-TrialBalanceB!K324</f>
        <v>0</v>
      </c>
      <c r="H324" s="180">
        <f>TrialBalanceC!I324-TrialBalanceC!K324</f>
        <v>0</v>
      </c>
      <c r="I324" s="86">
        <f>N324</f>
        <v>0</v>
      </c>
      <c r="J324" s="53">
        <f>SUMIF(Journals!D$14:D$920,TrialBalance!P324,Journals!J$14:J$920)+SUMIF(Journals!E$14:E$920,TrialBalance!P324,Journals!J$14:J$920)</f>
        <v>0</v>
      </c>
      <c r="K324" s="330"/>
      <c r="L324" s="332">
        <f>ROUND(D324-E324+F324+G324+H324+J324+I324,0)</f>
        <v>0</v>
      </c>
      <c r="M324" s="81"/>
      <c r="N324" s="54">
        <f>ROUND(SUM(A324),0)</f>
        <v>0</v>
      </c>
      <c r="P324" s="192" t="str">
        <f t="shared" si="63"/>
        <v>7100/305</v>
      </c>
      <c r="Q324" s="76"/>
      <c r="R324" s="31"/>
      <c r="S324" s="77"/>
      <c r="T324" s="57"/>
      <c r="U324" s="31"/>
    </row>
    <row r="325" spans="1:21" x14ac:dyDescent="0.2">
      <c r="A325" s="315"/>
      <c r="B325" s="60" t="s">
        <v>160</v>
      </c>
      <c r="C325" s="319" t="s">
        <v>744</v>
      </c>
      <c r="D325" s="326"/>
      <c r="E325" s="327"/>
      <c r="F325" s="180"/>
      <c r="G325" s="180"/>
      <c r="H325" s="180"/>
      <c r="I325" s="86"/>
      <c r="J325" s="53">
        <f>SUMIF(Journals!D$14:D$920,TrialBalance!P325,Journals!J$14:J$920)+SUMIF(Journals!E$14:E$920,TrialBalance!P325,Journals!J$14:J$920)</f>
        <v>0</v>
      </c>
      <c r="K325" s="330"/>
      <c r="L325" s="332">
        <f t="shared" si="50"/>
        <v>0</v>
      </c>
      <c r="M325" s="81"/>
      <c r="N325" s="54">
        <f t="shared" si="51"/>
        <v>0</v>
      </c>
      <c r="P325" s="192" t="str">
        <f t="shared" si="49"/>
        <v>7450/000CONNECTED ENTITIES LOANS</v>
      </c>
      <c r="Q325" s="76"/>
      <c r="R325" s="31"/>
      <c r="S325" s="77"/>
      <c r="T325" s="57"/>
      <c r="U325" s="31"/>
    </row>
    <row r="326" spans="1:21" x14ac:dyDescent="0.2">
      <c r="A326" s="315"/>
      <c r="B326" s="60" t="s">
        <v>160</v>
      </c>
      <c r="C326" s="319" t="s">
        <v>644</v>
      </c>
      <c r="D326" s="326"/>
      <c r="E326" s="327"/>
      <c r="F326" s="180"/>
      <c r="G326" s="180"/>
      <c r="H326" s="180"/>
      <c r="I326" s="86"/>
      <c r="J326" s="53">
        <f>SUMIF(Journals!D$14:D$920,TrialBalance!P326,Journals!J$14:J$920)+SUMIF(Journals!E$14:E$920,TrialBalance!P326,Journals!J$14:J$920)</f>
        <v>0</v>
      </c>
      <c r="K326" s="330"/>
      <c r="L326" s="332">
        <f t="shared" ref="L326" si="67">ROUND(D326-E326+F326+G326+H326+J326+I326,0)</f>
        <v>0</v>
      </c>
      <c r="M326" s="81"/>
      <c r="N326" s="54">
        <f t="shared" si="51"/>
        <v>0</v>
      </c>
      <c r="P326" s="192" t="str">
        <f t="shared" si="49"/>
        <v>7450/000Interest bearing</v>
      </c>
      <c r="Q326" s="76"/>
      <c r="R326" s="31"/>
      <c r="S326" s="77"/>
      <c r="T326" s="57"/>
      <c r="U326" s="31"/>
    </row>
    <row r="327" spans="1:21" x14ac:dyDescent="0.2">
      <c r="A327" s="315"/>
      <c r="B327" s="60" t="s">
        <v>161</v>
      </c>
      <c r="C327" s="325"/>
      <c r="D327" s="326"/>
      <c r="E327" s="327"/>
      <c r="F327" s="180">
        <f>TrialBalanceA!I327-TrialBalanceA!K327</f>
        <v>0</v>
      </c>
      <c r="G327" s="180">
        <f>TrialBalanceB!I327-TrialBalanceB!K327</f>
        <v>0</v>
      </c>
      <c r="H327" s="180">
        <f>TrialBalanceC!I327-TrialBalanceC!K327</f>
        <v>0</v>
      </c>
      <c r="I327" s="86">
        <f>N327</f>
        <v>0</v>
      </c>
      <c r="J327" s="53">
        <f>SUMIF(Journals!D$14:D$920,TrialBalance!P327,Journals!J$14:J$920)+SUMIF(Journals!E$14:E$920,TrialBalance!P327,Journals!J$14:J$920)</f>
        <v>0</v>
      </c>
      <c r="K327" s="330"/>
      <c r="L327" s="332">
        <f>ROUND(D327-E327+F327+G327+H327+J327+I327,0)</f>
        <v>0</v>
      </c>
      <c r="M327" s="81"/>
      <c r="N327" s="54">
        <f t="shared" si="51"/>
        <v>0</v>
      </c>
      <c r="P327" s="192" t="str">
        <f t="shared" si="49"/>
        <v>7450/001</v>
      </c>
      <c r="Q327" s="76"/>
      <c r="R327" s="31"/>
      <c r="S327" s="77"/>
      <c r="T327" s="57"/>
      <c r="U327" s="31"/>
    </row>
    <row r="328" spans="1:21" x14ac:dyDescent="0.2">
      <c r="A328" s="315"/>
      <c r="B328" s="60" t="s">
        <v>162</v>
      </c>
      <c r="C328" s="325"/>
      <c r="D328" s="326"/>
      <c r="E328" s="327"/>
      <c r="F328" s="180">
        <f>TrialBalanceA!I328-TrialBalanceA!K328</f>
        <v>0</v>
      </c>
      <c r="G328" s="180">
        <f>TrialBalanceB!I328-TrialBalanceB!K328</f>
        <v>0</v>
      </c>
      <c r="H328" s="180">
        <f>TrialBalanceC!I328-TrialBalanceC!K328</f>
        <v>0</v>
      </c>
      <c r="I328" s="86">
        <f t="shared" ref="I328:I329" si="68">N328</f>
        <v>0</v>
      </c>
      <c r="J328" s="53">
        <f>SUMIF(Journals!D$14:D$920,TrialBalance!P328,Journals!J$14:J$920)+SUMIF(Journals!E$14:E$920,TrialBalance!P328,Journals!J$14:J$920)</f>
        <v>0</v>
      </c>
      <c r="K328" s="330"/>
      <c r="L328" s="332">
        <f t="shared" ref="L328:L329" si="69">ROUND(D328-E328+F328+G328+H328+J328+I328,0)</f>
        <v>0</v>
      </c>
      <c r="M328" s="81"/>
      <c r="N328" s="54">
        <f t="shared" ref="N328:N329" si="70">ROUND(SUM(A328),0)</f>
        <v>0</v>
      </c>
      <c r="P328" s="192" t="str">
        <f t="shared" ref="P328:P329" si="71">CONCATENATE(B328,C328)</f>
        <v>7450/002</v>
      </c>
      <c r="Q328" s="76"/>
      <c r="R328" s="31"/>
      <c r="S328" s="77"/>
      <c r="T328" s="57"/>
      <c r="U328" s="31"/>
    </row>
    <row r="329" spans="1:21" x14ac:dyDescent="0.2">
      <c r="A329" s="315"/>
      <c r="B329" s="110" t="s">
        <v>163</v>
      </c>
      <c r="C329" s="325"/>
      <c r="D329" s="326"/>
      <c r="E329" s="327"/>
      <c r="F329" s="180">
        <f>TrialBalanceA!I329-TrialBalanceA!K329</f>
        <v>0</v>
      </c>
      <c r="G329" s="180">
        <f>TrialBalanceB!I329-TrialBalanceB!K329</f>
        <v>0</v>
      </c>
      <c r="H329" s="180">
        <f>TrialBalanceC!I329-TrialBalanceC!K329</f>
        <v>0</v>
      </c>
      <c r="I329" s="86">
        <f t="shared" si="68"/>
        <v>0</v>
      </c>
      <c r="J329" s="53">
        <f>SUMIF(Journals!D$14:D$920,TrialBalance!P329,Journals!J$14:J$920)+SUMIF(Journals!E$14:E$920,TrialBalance!P329,Journals!J$14:J$920)</f>
        <v>0</v>
      </c>
      <c r="K329" s="330"/>
      <c r="L329" s="332">
        <f t="shared" si="69"/>
        <v>0</v>
      </c>
      <c r="M329" s="81"/>
      <c r="N329" s="54">
        <f t="shared" si="70"/>
        <v>0</v>
      </c>
      <c r="P329" s="192" t="str">
        <f t="shared" si="71"/>
        <v>7450/003</v>
      </c>
      <c r="Q329" s="76"/>
      <c r="R329" s="31"/>
      <c r="S329" s="77"/>
      <c r="T329" s="57"/>
      <c r="U329" s="31"/>
    </row>
    <row r="330" spans="1:21" x14ac:dyDescent="0.2">
      <c r="A330" s="315"/>
      <c r="B330" s="110" t="s">
        <v>428</v>
      </c>
      <c r="C330" s="325"/>
      <c r="D330" s="326"/>
      <c r="E330" s="327"/>
      <c r="F330" s="180">
        <f>TrialBalanceA!I330-TrialBalanceA!K330</f>
        <v>0</v>
      </c>
      <c r="G330" s="180">
        <f>TrialBalanceB!I330-TrialBalanceB!K330</f>
        <v>0</v>
      </c>
      <c r="H330" s="180">
        <f>TrialBalanceC!I330-TrialBalanceC!K330</f>
        <v>0</v>
      </c>
      <c r="I330" s="86">
        <f>N330</f>
        <v>0</v>
      </c>
      <c r="J330" s="53">
        <f>SUMIF(Journals!D$14:D$920,TrialBalance!P330,Journals!J$14:J$920)+SUMIF(Journals!E$14:E$920,TrialBalance!P330,Journals!J$14:J$920)</f>
        <v>0</v>
      </c>
      <c r="K330" s="330"/>
      <c r="L330" s="332">
        <f>ROUND(D330-E330+F330+G330+H330+J330+I330,0)</f>
        <v>0</v>
      </c>
      <c r="M330" s="81"/>
      <c r="N330" s="54">
        <f t="shared" si="51"/>
        <v>0</v>
      </c>
      <c r="P330" s="192" t="str">
        <f t="shared" si="49"/>
        <v>7450/004</v>
      </c>
      <c r="Q330" s="76"/>
      <c r="R330" s="31"/>
      <c r="S330" s="77"/>
      <c r="T330" s="57"/>
      <c r="U330" s="31"/>
    </row>
    <row r="331" spans="1:21" x14ac:dyDescent="0.2">
      <c r="A331" s="315"/>
      <c r="B331" s="60" t="s">
        <v>160</v>
      </c>
      <c r="C331" s="319" t="s">
        <v>643</v>
      </c>
      <c r="D331" s="326"/>
      <c r="E331" s="327"/>
      <c r="F331" s="180"/>
      <c r="G331" s="180"/>
      <c r="H331" s="180"/>
      <c r="I331" s="86"/>
      <c r="J331" s="53">
        <f>SUMIF(Journals!D$14:D$920,TrialBalance!P331,Journals!J$14:J$920)+SUMIF(Journals!E$14:E$920,TrialBalance!P331,Journals!J$14:J$920)</f>
        <v>0</v>
      </c>
      <c r="K331" s="330"/>
      <c r="L331" s="332">
        <f t="shared" ref="L331" si="72">ROUND(D331-E331+F331+G331+H331+J331+I331,0)</f>
        <v>0</v>
      </c>
      <c r="M331" s="81"/>
      <c r="N331" s="54">
        <f t="shared" si="51"/>
        <v>0</v>
      </c>
      <c r="P331" s="192" t="str">
        <f t="shared" si="49"/>
        <v>7450/000Interest free</v>
      </c>
      <c r="Q331" s="76"/>
      <c r="R331" s="31"/>
      <c r="S331" s="77"/>
      <c r="T331" s="57"/>
      <c r="U331" s="31"/>
    </row>
    <row r="332" spans="1:21" x14ac:dyDescent="0.2">
      <c r="A332" s="315"/>
      <c r="B332" s="60" t="s">
        <v>163</v>
      </c>
      <c r="C332" s="325"/>
      <c r="D332" s="326"/>
      <c r="E332" s="327"/>
      <c r="F332" s="180">
        <f>TrialBalanceA!I332-TrialBalanceA!K332</f>
        <v>0</v>
      </c>
      <c r="G332" s="180">
        <f>TrialBalanceB!I332-TrialBalanceB!K332</f>
        <v>0</v>
      </c>
      <c r="H332" s="180">
        <f>TrialBalanceC!I332-TrialBalanceC!K332</f>
        <v>0</v>
      </c>
      <c r="I332" s="86">
        <f>N332</f>
        <v>0</v>
      </c>
      <c r="J332" s="53">
        <f>SUMIF(Journals!D$14:D$920,TrialBalance!P332,Journals!J$14:J$920)+SUMIF(Journals!E$14:E$920,TrialBalance!P332,Journals!J$14:J$920)</f>
        <v>0</v>
      </c>
      <c r="K332" s="330"/>
      <c r="L332" s="332">
        <f t="shared" si="50"/>
        <v>0</v>
      </c>
      <c r="M332" s="81"/>
      <c r="N332" s="54">
        <f t="shared" si="51"/>
        <v>0</v>
      </c>
      <c r="P332" s="192" t="str">
        <f t="shared" si="49"/>
        <v>7450/003</v>
      </c>
      <c r="Q332" s="76"/>
      <c r="R332" s="31"/>
      <c r="S332" s="77"/>
      <c r="T332" s="57"/>
      <c r="U332" s="31"/>
    </row>
    <row r="333" spans="1:21" x14ac:dyDescent="0.2">
      <c r="A333" s="315"/>
      <c r="B333" s="60" t="s">
        <v>428</v>
      </c>
      <c r="C333" s="325"/>
      <c r="D333" s="326"/>
      <c r="E333" s="327"/>
      <c r="F333" s="180">
        <f>TrialBalanceA!I333-TrialBalanceA!K333</f>
        <v>0</v>
      </c>
      <c r="G333" s="180">
        <f>TrialBalanceB!I333-TrialBalanceB!K333</f>
        <v>0</v>
      </c>
      <c r="H333" s="180">
        <f>TrialBalanceC!I333-TrialBalanceC!K333</f>
        <v>0</v>
      </c>
      <c r="I333" s="86">
        <f>N333</f>
        <v>0</v>
      </c>
      <c r="J333" s="53">
        <f>SUMIF(Journals!D$14:D$920,TrialBalance!P333,Journals!J$14:J$920)+SUMIF(Journals!E$14:E$920,TrialBalance!P333,Journals!J$14:J$920)</f>
        <v>0</v>
      </c>
      <c r="K333" s="330"/>
      <c r="L333" s="332">
        <f t="shared" ref="L333" si="73">ROUND(D333-E333+F333+G333+H333+J333+I333,0)</f>
        <v>0</v>
      </c>
      <c r="M333" s="81"/>
      <c r="N333" s="54">
        <f t="shared" ref="N333" si="74">ROUND(SUM(A333),0)</f>
        <v>0</v>
      </c>
      <c r="P333" s="192" t="str">
        <f t="shared" ref="P333" si="75">CONCATENATE(B333,C333)</f>
        <v>7450/004</v>
      </c>
      <c r="Q333" s="76"/>
      <c r="R333" s="31"/>
      <c r="S333" s="77"/>
      <c r="T333" s="57"/>
      <c r="U333" s="31"/>
    </row>
    <row r="334" spans="1:21" x14ac:dyDescent="0.2">
      <c r="A334" s="315"/>
      <c r="B334" s="60" t="s">
        <v>294</v>
      </c>
      <c r="C334" s="325"/>
      <c r="D334" s="326"/>
      <c r="E334" s="327"/>
      <c r="F334" s="180">
        <f>TrialBalanceA!I334-TrialBalanceA!K334</f>
        <v>0</v>
      </c>
      <c r="G334" s="180">
        <f>TrialBalanceB!I334-TrialBalanceB!K334</f>
        <v>0</v>
      </c>
      <c r="H334" s="180">
        <f>TrialBalanceC!I334-TrialBalanceC!K334</f>
        <v>0</v>
      </c>
      <c r="I334" s="86">
        <f>N334</f>
        <v>0</v>
      </c>
      <c r="J334" s="53">
        <f>SUMIF(Journals!D$14:D$920,TrialBalance!P334,Journals!J$14:J$920)+SUMIF(Journals!E$14:E$920,TrialBalance!P334,Journals!J$14:J$920)</f>
        <v>0</v>
      </c>
      <c r="K334" s="330"/>
      <c r="L334" s="332">
        <f t="shared" si="50"/>
        <v>0</v>
      </c>
      <c r="M334" s="81"/>
      <c r="N334" s="54">
        <f t="shared" si="51"/>
        <v>0</v>
      </c>
      <c r="P334" s="192" t="str">
        <f t="shared" si="49"/>
        <v>7450/005</v>
      </c>
      <c r="Q334" s="76"/>
      <c r="R334" s="31"/>
      <c r="S334" s="77"/>
      <c r="T334" s="57"/>
      <c r="U334" s="31"/>
    </row>
    <row r="335" spans="1:21" x14ac:dyDescent="0.2">
      <c r="A335" s="315"/>
      <c r="B335" s="110" t="s">
        <v>760</v>
      </c>
      <c r="C335" s="325"/>
      <c r="D335" s="326"/>
      <c r="E335" s="327"/>
      <c r="F335" s="180">
        <f>TrialBalanceA!I335-TrialBalanceA!K335</f>
        <v>0</v>
      </c>
      <c r="G335" s="180">
        <f>TrialBalanceB!I335-TrialBalanceB!K335</f>
        <v>0</v>
      </c>
      <c r="H335" s="180">
        <f>TrialBalanceC!I335-TrialBalanceC!K335</f>
        <v>0</v>
      </c>
      <c r="I335" s="86">
        <f>N335</f>
        <v>0</v>
      </c>
      <c r="J335" s="53">
        <f>SUMIF(Journals!D$14:D$920,TrialBalance!P335,Journals!J$14:J$920)+SUMIF(Journals!E$14:E$920,TrialBalance!P335,Journals!J$14:J$920)</f>
        <v>0</v>
      </c>
      <c r="K335" s="330"/>
      <c r="L335" s="332">
        <f t="shared" si="50"/>
        <v>0</v>
      </c>
      <c r="M335" s="81"/>
      <c r="N335" s="54">
        <f t="shared" si="51"/>
        <v>0</v>
      </c>
      <c r="P335" s="192" t="str">
        <f t="shared" ref="P335:P371" si="76">CONCATENATE(B335,C335)</f>
        <v>7450/006</v>
      </c>
      <c r="Q335" s="76"/>
      <c r="R335" s="31"/>
      <c r="S335" s="77"/>
      <c r="T335" s="57"/>
      <c r="U335" s="31"/>
    </row>
    <row r="336" spans="1:21" x14ac:dyDescent="0.2">
      <c r="A336" s="315"/>
      <c r="B336" s="60" t="s">
        <v>295</v>
      </c>
      <c r="C336" s="318" t="s">
        <v>729</v>
      </c>
      <c r="D336" s="327"/>
      <c r="E336" s="327"/>
      <c r="F336" s="180"/>
      <c r="G336" s="180"/>
      <c r="H336" s="180"/>
      <c r="I336" s="86"/>
      <c r="J336" s="53">
        <f>SUMIF(Journals!D$14:D$920,TrialBalance!P336,Journals!J$14:J$920)+SUMIF(Journals!E$14:E$920,TrialBalance!P336,Journals!J$14:J$920)</f>
        <v>0</v>
      </c>
      <c r="K336" s="331" t="s">
        <v>560</v>
      </c>
      <c r="L336" s="332">
        <f t="shared" si="50"/>
        <v>0</v>
      </c>
      <c r="M336" s="81"/>
      <c r="N336" s="54">
        <f t="shared" si="51"/>
        <v>0</v>
      </c>
      <c r="P336" s="192" t="str">
        <f t="shared" si="76"/>
        <v>7460/000OTHER NON - CURRENT RECEIVABLES</v>
      </c>
      <c r="Q336" s="76"/>
      <c r="R336" s="31"/>
      <c r="S336" s="77"/>
      <c r="T336" s="57"/>
      <c r="U336" s="31"/>
    </row>
    <row r="337" spans="1:21" x14ac:dyDescent="0.2">
      <c r="A337" s="315"/>
      <c r="B337" s="60" t="s">
        <v>295</v>
      </c>
      <c r="C337" s="318" t="s">
        <v>644</v>
      </c>
      <c r="D337" s="327"/>
      <c r="E337" s="327"/>
      <c r="F337" s="180"/>
      <c r="G337" s="180"/>
      <c r="H337" s="180"/>
      <c r="I337" s="86"/>
      <c r="J337" s="53">
        <f>SUMIF(Journals!D$14:D$920,TrialBalance!P337,Journals!J$14:J$920)+SUMIF(Journals!E$14:E$920,TrialBalance!P337,Journals!J$14:J$920)</f>
        <v>0</v>
      </c>
      <c r="K337" s="331"/>
      <c r="L337" s="332">
        <f t="shared" ref="L337" si="77">ROUND(D337-E337+F337+G337+H337+J337+I337,0)</f>
        <v>0</v>
      </c>
      <c r="M337" s="81"/>
      <c r="N337" s="54">
        <f t="shared" si="51"/>
        <v>0</v>
      </c>
      <c r="P337" s="192" t="str">
        <f t="shared" si="76"/>
        <v>7460/000Interest bearing</v>
      </c>
      <c r="Q337" s="76"/>
      <c r="R337" s="31"/>
      <c r="S337" s="77"/>
      <c r="T337" s="57"/>
      <c r="U337" s="31"/>
    </row>
    <row r="338" spans="1:21" x14ac:dyDescent="0.2">
      <c r="A338" s="315"/>
      <c r="B338" s="60" t="s">
        <v>297</v>
      </c>
      <c r="C338" s="325"/>
      <c r="D338" s="327"/>
      <c r="E338" s="327"/>
      <c r="F338" s="180">
        <f>TrialBalanceA!I338-TrialBalanceA!K338</f>
        <v>0</v>
      </c>
      <c r="G338" s="180">
        <f>TrialBalanceB!I338-TrialBalanceB!K338</f>
        <v>0</v>
      </c>
      <c r="H338" s="180">
        <f>TrialBalanceC!I338-TrialBalanceC!K338</f>
        <v>0</v>
      </c>
      <c r="I338" s="86">
        <f t="shared" ref="I338:I346" si="78">N338</f>
        <v>0</v>
      </c>
      <c r="J338" s="53">
        <f>SUMIF(Journals!D$14:D$920,TrialBalance!P338,Journals!J$14:J$920)+SUMIF(Journals!E$14:E$920,TrialBalance!P338,Journals!J$14:J$920)</f>
        <v>0</v>
      </c>
      <c r="K338" s="330"/>
      <c r="L338" s="332">
        <f t="shared" si="50"/>
        <v>0</v>
      </c>
      <c r="M338" s="81"/>
      <c r="N338" s="54">
        <f t="shared" si="51"/>
        <v>0</v>
      </c>
      <c r="P338" s="192" t="str">
        <f t="shared" si="76"/>
        <v>7460/001</v>
      </c>
      <c r="Q338" s="78"/>
      <c r="R338" s="31"/>
      <c r="S338" s="77"/>
      <c r="T338" s="57"/>
      <c r="U338" s="31"/>
    </row>
    <row r="339" spans="1:21" x14ac:dyDescent="0.2">
      <c r="A339" s="315"/>
      <c r="B339" s="60" t="s">
        <v>298</v>
      </c>
      <c r="C339" s="325"/>
      <c r="D339" s="326"/>
      <c r="E339" s="327"/>
      <c r="F339" s="180">
        <f>TrialBalanceA!I339-TrialBalanceA!K339</f>
        <v>0</v>
      </c>
      <c r="G339" s="180">
        <f>TrialBalanceB!I339-TrialBalanceB!K339</f>
        <v>0</v>
      </c>
      <c r="H339" s="180">
        <f>TrialBalanceC!I339-TrialBalanceC!K339</f>
        <v>0</v>
      </c>
      <c r="I339" s="86">
        <f t="shared" si="78"/>
        <v>0</v>
      </c>
      <c r="J339" s="53">
        <f>SUMIF(Journals!D$14:D$920,TrialBalance!P339,Journals!J$14:J$920)+SUMIF(Journals!E$14:E$920,TrialBalance!P339,Journals!J$14:J$920)</f>
        <v>0</v>
      </c>
      <c r="K339" s="330"/>
      <c r="L339" s="332">
        <f t="shared" si="50"/>
        <v>0</v>
      </c>
      <c r="M339" s="81"/>
      <c r="N339" s="54">
        <f t="shared" si="51"/>
        <v>0</v>
      </c>
      <c r="P339" s="192" t="str">
        <f t="shared" si="76"/>
        <v>7460/002</v>
      </c>
      <c r="Q339" s="76"/>
      <c r="R339" s="31"/>
      <c r="S339" s="77"/>
      <c r="T339" s="57"/>
      <c r="U339" s="31"/>
    </row>
    <row r="340" spans="1:21" x14ac:dyDescent="0.2">
      <c r="A340" s="315"/>
      <c r="B340" s="110" t="s">
        <v>299</v>
      </c>
      <c r="C340" s="325"/>
      <c r="D340" s="326"/>
      <c r="E340" s="327"/>
      <c r="F340" s="180">
        <f>TrialBalanceA!I340-TrialBalanceA!K340</f>
        <v>0</v>
      </c>
      <c r="G340" s="180">
        <f>TrialBalanceB!I340-TrialBalanceB!K340</f>
        <v>0</v>
      </c>
      <c r="H340" s="180">
        <f>TrialBalanceC!I340-TrialBalanceC!K340</f>
        <v>0</v>
      </c>
      <c r="I340" s="86">
        <f t="shared" ref="I340" si="79">N340</f>
        <v>0</v>
      </c>
      <c r="J340" s="53">
        <f>SUMIF(Journals!D$14:D$920,TrialBalance!P340,Journals!J$14:J$920)+SUMIF(Journals!E$14:E$920,TrialBalance!P340,Journals!J$14:J$920)</f>
        <v>0</v>
      </c>
      <c r="K340" s="330"/>
      <c r="L340" s="332">
        <f t="shared" ref="L340" si="80">ROUND(D340-E340+F340+G340+H340+J340+I340,0)</f>
        <v>0</v>
      </c>
      <c r="M340" s="81"/>
      <c r="N340" s="54">
        <f t="shared" ref="N340" si="81">ROUND(SUM(A340),0)</f>
        <v>0</v>
      </c>
      <c r="P340" s="192" t="str">
        <f t="shared" ref="P340" si="82">CONCATENATE(B340,C340)</f>
        <v>7460/003</v>
      </c>
      <c r="Q340" s="76"/>
      <c r="R340" s="31"/>
      <c r="S340" s="77"/>
      <c r="T340" s="57"/>
      <c r="U340" s="31"/>
    </row>
    <row r="341" spans="1:21" x14ac:dyDescent="0.2">
      <c r="A341" s="315"/>
      <c r="B341" s="110" t="s">
        <v>611</v>
      </c>
      <c r="C341" s="325"/>
      <c r="D341" s="326"/>
      <c r="E341" s="327"/>
      <c r="F341" s="180">
        <f>TrialBalanceA!I341-TrialBalanceA!K341</f>
        <v>0</v>
      </c>
      <c r="G341" s="180">
        <f>TrialBalanceB!I341-TrialBalanceB!K341</f>
        <v>0</v>
      </c>
      <c r="H341" s="180">
        <f>TrialBalanceC!I341-TrialBalanceC!K341</f>
        <v>0</v>
      </c>
      <c r="I341" s="86">
        <f t="shared" si="78"/>
        <v>0</v>
      </c>
      <c r="J341" s="53">
        <f>SUMIF(Journals!D$14:D$920,TrialBalance!P341,Journals!J$14:J$920)+SUMIF(Journals!E$14:E$920,TrialBalance!P341,Journals!J$14:J$920)</f>
        <v>0</v>
      </c>
      <c r="K341" s="330"/>
      <c r="L341" s="332">
        <f t="shared" si="50"/>
        <v>0</v>
      </c>
      <c r="M341" s="81"/>
      <c r="N341" s="54">
        <f t="shared" si="51"/>
        <v>0</v>
      </c>
      <c r="P341" s="192" t="str">
        <f t="shared" si="76"/>
        <v>7460/004</v>
      </c>
      <c r="Q341" s="76"/>
      <c r="R341" s="31"/>
      <c r="S341" s="77"/>
      <c r="T341" s="57"/>
      <c r="U341" s="31"/>
    </row>
    <row r="342" spans="1:21" x14ac:dyDescent="0.2">
      <c r="A342" s="315"/>
      <c r="B342" s="60" t="s">
        <v>295</v>
      </c>
      <c r="C342" s="319" t="s">
        <v>643</v>
      </c>
      <c r="D342" s="326"/>
      <c r="E342" s="327"/>
      <c r="F342" s="180"/>
      <c r="G342" s="180"/>
      <c r="H342" s="180"/>
      <c r="I342" s="86"/>
      <c r="J342" s="53">
        <f>SUMIF(Journals!D$14:D$920,TrialBalance!P342,Journals!J$14:J$920)+SUMIF(Journals!E$14:E$920,TrialBalance!P342,Journals!J$14:J$920)</f>
        <v>0</v>
      </c>
      <c r="K342" s="330"/>
      <c r="L342" s="332">
        <f t="shared" ref="L342" si="83">ROUND(D342-E342+F342+G342+H342+J342+I342,0)</f>
        <v>0</v>
      </c>
      <c r="M342" s="81"/>
      <c r="N342" s="54">
        <f t="shared" si="51"/>
        <v>0</v>
      </c>
      <c r="P342" s="192" t="str">
        <f t="shared" si="76"/>
        <v>7460/000Interest free</v>
      </c>
      <c r="Q342" s="76"/>
      <c r="R342" s="31"/>
      <c r="S342" s="77"/>
      <c r="T342" s="57"/>
      <c r="U342" s="31"/>
    </row>
    <row r="343" spans="1:21" x14ac:dyDescent="0.2">
      <c r="A343" s="315"/>
      <c r="B343" s="110" t="s">
        <v>611</v>
      </c>
      <c r="C343" s="325"/>
      <c r="D343" s="326"/>
      <c r="E343" s="327"/>
      <c r="F343" s="180">
        <f>TrialBalanceA!I343-TrialBalanceA!K343</f>
        <v>0</v>
      </c>
      <c r="G343" s="180">
        <f>TrialBalanceB!I343-TrialBalanceB!K343</f>
        <v>0</v>
      </c>
      <c r="H343" s="180">
        <f>TrialBalanceC!I343-TrialBalanceC!K343</f>
        <v>0</v>
      </c>
      <c r="I343" s="86">
        <f t="shared" si="78"/>
        <v>0</v>
      </c>
      <c r="J343" s="53">
        <f>SUMIF(Journals!D$14:D$920,TrialBalance!P343,Journals!J$14:J$920)+SUMIF(Journals!E$14:E$920,TrialBalance!P343,Journals!J$14:J$920)</f>
        <v>0</v>
      </c>
      <c r="K343" s="330"/>
      <c r="L343" s="332">
        <f t="shared" si="50"/>
        <v>0</v>
      </c>
      <c r="M343" s="81"/>
      <c r="N343" s="54">
        <f t="shared" si="51"/>
        <v>0</v>
      </c>
      <c r="P343" s="192" t="str">
        <f t="shared" si="76"/>
        <v>7460/004</v>
      </c>
      <c r="Q343" s="76"/>
      <c r="R343" s="31"/>
      <c r="S343" s="77"/>
      <c r="T343" s="57"/>
      <c r="U343" s="31"/>
    </row>
    <row r="344" spans="1:21" x14ac:dyDescent="0.2">
      <c r="A344" s="315"/>
      <c r="B344" s="110" t="s">
        <v>612</v>
      </c>
      <c r="C344" s="325"/>
      <c r="D344" s="326"/>
      <c r="E344" s="327"/>
      <c r="F344" s="180">
        <f>TrialBalanceA!I344-TrialBalanceA!K344</f>
        <v>0</v>
      </c>
      <c r="G344" s="180">
        <f>TrialBalanceB!I344-TrialBalanceB!K344</f>
        <v>0</v>
      </c>
      <c r="H344" s="180">
        <f>TrialBalanceC!I344-TrialBalanceC!K344</f>
        <v>0</v>
      </c>
      <c r="I344" s="86">
        <f t="shared" si="78"/>
        <v>0</v>
      </c>
      <c r="J344" s="53">
        <f>SUMIF(Journals!D$14:D$920,TrialBalance!P344,Journals!J$14:J$920)+SUMIF(Journals!E$14:E$920,TrialBalance!P344,Journals!J$14:J$920)</f>
        <v>0</v>
      </c>
      <c r="K344" s="330"/>
      <c r="L344" s="332">
        <f t="shared" si="50"/>
        <v>0</v>
      </c>
      <c r="M344" s="81"/>
      <c r="N344" s="54">
        <f t="shared" si="51"/>
        <v>0</v>
      </c>
      <c r="P344" s="192" t="str">
        <f t="shared" si="76"/>
        <v>7460/005</v>
      </c>
      <c r="Q344" s="76"/>
      <c r="R344" s="31"/>
      <c r="S344" s="77"/>
      <c r="T344" s="57"/>
      <c r="U344" s="31"/>
    </row>
    <row r="345" spans="1:21" x14ac:dyDescent="0.2">
      <c r="A345" s="315"/>
      <c r="B345" s="110" t="s">
        <v>300</v>
      </c>
      <c r="C345" s="325"/>
      <c r="D345" s="326"/>
      <c r="E345" s="327"/>
      <c r="F345" s="180">
        <f>TrialBalanceA!I345-TrialBalanceA!K345</f>
        <v>0</v>
      </c>
      <c r="G345" s="180">
        <f>TrialBalanceB!I345-TrialBalanceB!K345</f>
        <v>0</v>
      </c>
      <c r="H345" s="180">
        <f>TrialBalanceC!I345-TrialBalanceC!K345</f>
        <v>0</v>
      </c>
      <c r="I345" s="86">
        <f t="shared" si="78"/>
        <v>0</v>
      </c>
      <c r="J345" s="53">
        <f>SUMIF(Journals!D$14:D$920,TrialBalance!P345,Journals!J$14:J$920)+SUMIF(Journals!E$14:E$920,TrialBalance!P345,Journals!J$14:J$920)</f>
        <v>0</v>
      </c>
      <c r="K345" s="330"/>
      <c r="L345" s="332">
        <f t="shared" si="50"/>
        <v>0</v>
      </c>
      <c r="M345" s="81"/>
      <c r="N345" s="54">
        <f t="shared" si="51"/>
        <v>0</v>
      </c>
      <c r="P345" s="192" t="str">
        <f t="shared" si="76"/>
        <v>7460/006</v>
      </c>
      <c r="Q345" s="76"/>
      <c r="R345" s="31"/>
      <c r="S345" s="77"/>
      <c r="T345" s="57"/>
      <c r="U345" s="31"/>
    </row>
    <row r="346" spans="1:21" x14ac:dyDescent="0.2">
      <c r="A346" s="315"/>
      <c r="B346" s="110" t="s">
        <v>301</v>
      </c>
      <c r="C346" s="325"/>
      <c r="D346" s="326"/>
      <c r="E346" s="327"/>
      <c r="F346" s="180">
        <f>TrialBalanceA!I346-TrialBalanceA!K346</f>
        <v>0</v>
      </c>
      <c r="G346" s="180">
        <f>TrialBalanceB!I346-TrialBalanceB!K346</f>
        <v>0</v>
      </c>
      <c r="H346" s="180">
        <f>TrialBalanceC!I346-TrialBalanceC!K346</f>
        <v>0</v>
      </c>
      <c r="I346" s="86">
        <f t="shared" si="78"/>
        <v>0</v>
      </c>
      <c r="J346" s="53">
        <f>SUMIF(Journals!D$14:D$920,TrialBalance!P346,Journals!J$14:J$920)+SUMIF(Journals!E$14:E$920,TrialBalance!P346,Journals!J$14:J$920)</f>
        <v>0</v>
      </c>
      <c r="K346" s="330"/>
      <c r="L346" s="332">
        <f t="shared" si="50"/>
        <v>0</v>
      </c>
      <c r="M346" s="81"/>
      <c r="N346" s="54">
        <f t="shared" si="51"/>
        <v>0</v>
      </c>
      <c r="P346" s="192" t="str">
        <f t="shared" si="76"/>
        <v>7460/007</v>
      </c>
      <c r="Q346" s="76"/>
      <c r="R346" s="31"/>
      <c r="S346" s="77"/>
      <c r="T346" s="57"/>
      <c r="U346" s="31"/>
    </row>
    <row r="347" spans="1:21" x14ac:dyDescent="0.2">
      <c r="A347" s="315"/>
      <c r="B347" s="110" t="s">
        <v>485</v>
      </c>
      <c r="C347" s="325"/>
      <c r="D347" s="326"/>
      <c r="E347" s="327"/>
      <c r="F347" s="180">
        <f>TrialBalanceA!I347-TrialBalanceA!K347</f>
        <v>0</v>
      </c>
      <c r="G347" s="180">
        <f>TrialBalanceB!I347-TrialBalanceB!K347</f>
        <v>0</v>
      </c>
      <c r="H347" s="180">
        <f>TrialBalanceC!I347-TrialBalanceC!K347</f>
        <v>0</v>
      </c>
      <c r="I347" s="86">
        <f>N347</f>
        <v>0</v>
      </c>
      <c r="J347" s="53">
        <f>SUMIF(Journals!D$14:D$920,TrialBalance!P347,Journals!J$14:J$920)+SUMIF(Journals!E$14:E$920,TrialBalance!P347,Journals!J$14:J$920)</f>
        <v>0</v>
      </c>
      <c r="K347" s="330"/>
      <c r="L347" s="332">
        <f>ROUND(D347-E347+F347+G347+H347+J347+I347,0)</f>
        <v>0</v>
      </c>
      <c r="M347" s="81"/>
      <c r="N347" s="54">
        <f>ROUND(SUM(A347),0)</f>
        <v>0</v>
      </c>
      <c r="P347" s="192" t="str">
        <f t="shared" si="76"/>
        <v>7460/008</v>
      </c>
      <c r="Q347" s="76"/>
      <c r="R347" s="31"/>
      <c r="S347" s="77"/>
      <c r="T347" s="57"/>
      <c r="U347" s="31"/>
    </row>
    <row r="348" spans="1:21" x14ac:dyDescent="0.2">
      <c r="A348" s="315"/>
      <c r="B348" s="110" t="s">
        <v>929</v>
      </c>
      <c r="C348" s="319" t="s">
        <v>930</v>
      </c>
      <c r="D348" s="326"/>
      <c r="E348" s="327"/>
      <c r="F348" s="180"/>
      <c r="G348" s="180"/>
      <c r="H348" s="180"/>
      <c r="I348" s="86"/>
      <c r="J348" s="53">
        <f>SUMIF(Journals!D$14:D$920,TrialBalance!P348,Journals!J$14:J$920)+SUMIF(Journals!E$14:E$920,TrialBalance!P348,Journals!J$14:J$920)</f>
        <v>0</v>
      </c>
      <c r="K348" s="330"/>
      <c r="L348" s="332">
        <f t="shared" ref="L348:L350" si="84">ROUND(D348-E348+F348+G348+H348+J348+I348,0)</f>
        <v>0</v>
      </c>
      <c r="M348" s="81"/>
      <c r="N348" s="54">
        <f t="shared" ref="N348:N351" si="85">ROUND(SUM(A348),0)</f>
        <v>0</v>
      </c>
      <c r="P348" s="192" t="str">
        <f t="shared" ref="P348:P351" si="86">CONCATENATE(B348,C348)</f>
        <v>7480/000NET CAPITAL OF BUSINESS</v>
      </c>
      <c r="Q348" s="76"/>
      <c r="R348" s="31"/>
      <c r="S348" s="77"/>
      <c r="T348" s="57"/>
      <c r="U348" s="31"/>
    </row>
    <row r="349" spans="1:21" x14ac:dyDescent="0.2">
      <c r="A349" s="315"/>
      <c r="B349" s="110" t="s">
        <v>931</v>
      </c>
      <c r="C349" s="325"/>
      <c r="D349" s="326"/>
      <c r="E349" s="327"/>
      <c r="F349" s="180">
        <f>TrialBalanceA!I349-TrialBalanceA!K349</f>
        <v>0</v>
      </c>
      <c r="G349" s="180">
        <f>TrialBalanceB!I349-TrialBalanceB!K349</f>
        <v>0</v>
      </c>
      <c r="H349" s="180">
        <f>TrialBalanceC!I349-TrialBalanceC!K349</f>
        <v>0</v>
      </c>
      <c r="I349" s="86">
        <f t="shared" ref="I349:I350" si="87">N349</f>
        <v>0</v>
      </c>
      <c r="J349" s="53">
        <f>SUMIF(Journals!D$14:D$920,TrialBalance!P349,Journals!J$14:J$920)+SUMIF(Journals!E$14:E$920,TrialBalance!P349,Journals!J$14:J$920)</f>
        <v>0</v>
      </c>
      <c r="K349" s="330"/>
      <c r="L349" s="332">
        <f t="shared" si="84"/>
        <v>0</v>
      </c>
      <c r="M349" s="81"/>
      <c r="N349" s="54">
        <f t="shared" si="85"/>
        <v>0</v>
      </c>
      <c r="P349" s="192" t="str">
        <f t="shared" si="86"/>
        <v>7480/001</v>
      </c>
      <c r="Q349" s="76"/>
      <c r="R349" s="31"/>
      <c r="S349" s="77"/>
      <c r="T349" s="57"/>
      <c r="U349" s="31"/>
    </row>
    <row r="350" spans="1:21" x14ac:dyDescent="0.2">
      <c r="A350" s="315"/>
      <c r="B350" s="110" t="s">
        <v>932</v>
      </c>
      <c r="C350" s="325"/>
      <c r="D350" s="326"/>
      <c r="E350" s="327"/>
      <c r="F350" s="180">
        <f>TrialBalanceA!I350-TrialBalanceA!K350</f>
        <v>0</v>
      </c>
      <c r="G350" s="180">
        <f>TrialBalanceB!I350-TrialBalanceB!K350</f>
        <v>0</v>
      </c>
      <c r="H350" s="180">
        <f>TrialBalanceC!I350-TrialBalanceC!K350</f>
        <v>0</v>
      </c>
      <c r="I350" s="86">
        <f t="shared" si="87"/>
        <v>0</v>
      </c>
      <c r="J350" s="53">
        <f>SUMIF(Journals!D$14:D$920,TrialBalance!P350,Journals!J$14:J$920)+SUMIF(Journals!E$14:E$920,TrialBalance!P350,Journals!J$14:J$920)</f>
        <v>0</v>
      </c>
      <c r="K350" s="330"/>
      <c r="L350" s="332">
        <f t="shared" si="84"/>
        <v>0</v>
      </c>
      <c r="M350" s="81"/>
      <c r="N350" s="54">
        <f t="shared" si="85"/>
        <v>0</v>
      </c>
      <c r="P350" s="192" t="str">
        <f t="shared" si="86"/>
        <v>7480/002</v>
      </c>
      <c r="Q350" s="76"/>
      <c r="R350" s="31"/>
      <c r="S350" s="77"/>
      <c r="T350" s="57"/>
      <c r="U350" s="31"/>
    </row>
    <row r="351" spans="1:21" x14ac:dyDescent="0.2">
      <c r="A351" s="315"/>
      <c r="B351" s="110" t="s">
        <v>933</v>
      </c>
      <c r="C351" s="325"/>
      <c r="D351" s="326"/>
      <c r="E351" s="327"/>
      <c r="F351" s="180">
        <f>TrialBalanceA!I351-TrialBalanceA!K351</f>
        <v>0</v>
      </c>
      <c r="G351" s="180">
        <f>TrialBalanceB!I351-TrialBalanceB!K351</f>
        <v>0</v>
      </c>
      <c r="H351" s="180">
        <f>TrialBalanceC!I351-TrialBalanceC!K351</f>
        <v>0</v>
      </c>
      <c r="I351" s="86">
        <f>N351</f>
        <v>0</v>
      </c>
      <c r="J351" s="53">
        <f>SUMIF(Journals!D$14:D$920,TrialBalance!P351,Journals!J$14:J$920)+SUMIF(Journals!E$14:E$920,TrialBalance!P351,Journals!J$14:J$920)</f>
        <v>0</v>
      </c>
      <c r="K351" s="330"/>
      <c r="L351" s="332">
        <f>ROUND(D351-E351+F351+G351+H351+J351+I351,0)</f>
        <v>0</v>
      </c>
      <c r="M351" s="81"/>
      <c r="N351" s="54">
        <f t="shared" si="85"/>
        <v>0</v>
      </c>
      <c r="P351" s="192" t="str">
        <f t="shared" si="86"/>
        <v>7480/003</v>
      </c>
      <c r="Q351" s="76"/>
      <c r="R351" s="31"/>
      <c r="S351" s="77"/>
      <c r="T351" s="57"/>
      <c r="U351" s="31"/>
    </row>
    <row r="352" spans="1:21" x14ac:dyDescent="0.2">
      <c r="A352" s="315"/>
      <c r="B352" s="60" t="s">
        <v>423</v>
      </c>
      <c r="C352" s="316" t="s">
        <v>55</v>
      </c>
      <c r="D352" s="326"/>
      <c r="E352" s="327"/>
      <c r="F352" s="180"/>
      <c r="G352" s="180"/>
      <c r="H352" s="180"/>
      <c r="I352" s="86"/>
      <c r="J352" s="53">
        <f>SUMIF(Journals!D$14:D$920,TrialBalance!P352,Journals!J$14:J$920)+SUMIF(Journals!E$14:E$920,TrialBalance!P352,Journals!J$14:J$920)</f>
        <v>0</v>
      </c>
      <c r="K352" s="331" t="s">
        <v>560</v>
      </c>
      <c r="L352" s="332">
        <f t="shared" si="50"/>
        <v>0</v>
      </c>
      <c r="M352" s="81"/>
      <c r="N352" s="54">
        <f t="shared" si="51"/>
        <v>0</v>
      </c>
      <c r="P352" s="192" t="str">
        <f t="shared" si="76"/>
        <v>7500/000INVENTORY</v>
      </c>
      <c r="Q352" s="76"/>
      <c r="R352" s="31"/>
      <c r="S352" s="77"/>
      <c r="T352" s="57"/>
      <c r="U352" s="31"/>
    </row>
    <row r="353" spans="1:21" x14ac:dyDescent="0.2">
      <c r="A353" s="315"/>
      <c r="B353" s="60" t="s">
        <v>424</v>
      </c>
      <c r="C353" s="317" t="s">
        <v>425</v>
      </c>
      <c r="D353" s="326"/>
      <c r="E353" s="327"/>
      <c r="F353" s="180">
        <f>TrialBalanceA!I353-TrialBalanceA!K353</f>
        <v>0</v>
      </c>
      <c r="G353" s="180">
        <f>TrialBalanceB!I353-TrialBalanceB!K353</f>
        <v>0</v>
      </c>
      <c r="H353" s="180">
        <f>TrialBalanceC!I353-TrialBalanceC!K353</f>
        <v>0</v>
      </c>
      <c r="I353" s="86">
        <f>N353</f>
        <v>0</v>
      </c>
      <c r="J353" s="53">
        <f>SUMIF(Journals!D$14:D$920,TrialBalance!P353,Journals!J$14:J$920)+SUMIF(Journals!E$14:E$920,TrialBalance!P353,Journals!J$14:J$920)</f>
        <v>0</v>
      </c>
      <c r="K353" s="330"/>
      <c r="L353" s="332">
        <f t="shared" si="50"/>
        <v>0</v>
      </c>
      <c r="M353" s="81"/>
      <c r="N353" s="54">
        <f t="shared" si="51"/>
        <v>0</v>
      </c>
      <c r="P353" s="192" t="str">
        <f t="shared" si="76"/>
        <v>7500/001Raw materials</v>
      </c>
      <c r="Q353" s="76"/>
      <c r="R353" s="31"/>
      <c r="S353" s="77"/>
      <c r="T353" s="57"/>
      <c r="U353" s="31"/>
    </row>
    <row r="354" spans="1:21" x14ac:dyDescent="0.2">
      <c r="A354" s="315"/>
      <c r="B354" s="60" t="s">
        <v>22</v>
      </c>
      <c r="C354" s="317" t="s">
        <v>23</v>
      </c>
      <c r="D354" s="326"/>
      <c r="E354" s="327"/>
      <c r="F354" s="180">
        <f>TrialBalanceA!I354-TrialBalanceA!K354</f>
        <v>0</v>
      </c>
      <c r="G354" s="180">
        <f>TrialBalanceB!I354-TrialBalanceB!K354</f>
        <v>0</v>
      </c>
      <c r="H354" s="180">
        <f>TrialBalanceC!I354-TrialBalanceC!K354</f>
        <v>0</v>
      </c>
      <c r="I354" s="86">
        <f>N354</f>
        <v>0</v>
      </c>
      <c r="J354" s="53">
        <f>SUMIF(Journals!D$14:D$920,TrialBalance!P354,Journals!J$14:J$920)+SUMIF(Journals!E$14:E$920,TrialBalance!P354,Journals!J$14:J$920)</f>
        <v>0</v>
      </c>
      <c r="K354" s="330"/>
      <c r="L354" s="332">
        <f t="shared" si="50"/>
        <v>0</v>
      </c>
      <c r="M354" s="81"/>
      <c r="N354" s="54">
        <f t="shared" si="51"/>
        <v>0</v>
      </c>
      <c r="P354" s="192" t="str">
        <f t="shared" si="76"/>
        <v>7500/002Work in progress</v>
      </c>
      <c r="Q354" s="76"/>
      <c r="R354" s="31"/>
      <c r="S354" s="77"/>
      <c r="T354" s="57"/>
      <c r="U354" s="31"/>
    </row>
    <row r="355" spans="1:21" x14ac:dyDescent="0.2">
      <c r="A355" s="315"/>
      <c r="B355" s="60" t="s">
        <v>24</v>
      </c>
      <c r="C355" s="317" t="s">
        <v>25</v>
      </c>
      <c r="D355" s="326"/>
      <c r="E355" s="327"/>
      <c r="F355" s="180">
        <f>TrialBalanceA!I355-TrialBalanceA!K355</f>
        <v>0</v>
      </c>
      <c r="G355" s="180">
        <f>TrialBalanceB!I355-TrialBalanceB!K355</f>
        <v>0</v>
      </c>
      <c r="H355" s="180">
        <f>TrialBalanceC!I355-TrialBalanceC!K355</f>
        <v>0</v>
      </c>
      <c r="I355" s="86">
        <f>N355</f>
        <v>0</v>
      </c>
      <c r="J355" s="53">
        <f>SUMIF(Journals!D$14:D$920,TrialBalance!P355,Journals!J$14:J$920)+SUMIF(Journals!E$14:E$920,TrialBalance!P355,Journals!J$14:J$920)</f>
        <v>0</v>
      </c>
      <c r="K355" s="330"/>
      <c r="L355" s="332">
        <f t="shared" si="50"/>
        <v>0</v>
      </c>
      <c r="M355" s="81"/>
      <c r="N355" s="54">
        <f t="shared" si="51"/>
        <v>0</v>
      </c>
      <c r="P355" s="192" t="str">
        <f t="shared" si="76"/>
        <v>7500/003Finished goods</v>
      </c>
      <c r="Q355" s="76"/>
      <c r="R355" s="31"/>
      <c r="S355" s="77"/>
      <c r="T355" s="57"/>
      <c r="U355" s="31"/>
    </row>
    <row r="356" spans="1:21" x14ac:dyDescent="0.2">
      <c r="A356" s="315"/>
      <c r="B356" s="60" t="s">
        <v>28</v>
      </c>
      <c r="C356" s="317" t="s">
        <v>29</v>
      </c>
      <c r="D356" s="326"/>
      <c r="E356" s="327"/>
      <c r="F356" s="180">
        <f>TrialBalanceA!I356-TrialBalanceA!K356</f>
        <v>0</v>
      </c>
      <c r="G356" s="180">
        <f>TrialBalanceB!I356-TrialBalanceB!K356</f>
        <v>0</v>
      </c>
      <c r="H356" s="180">
        <f>TrialBalanceC!I356-TrialBalanceC!K356</f>
        <v>0</v>
      </c>
      <c r="I356" s="86">
        <f>N356</f>
        <v>0</v>
      </c>
      <c r="J356" s="53">
        <f>SUMIF(Journals!D$14:D$920,TrialBalance!P356,Journals!J$14:J$920)+SUMIF(Journals!E$14:E$920,TrialBalance!P356,Journals!J$14:J$920)</f>
        <v>0</v>
      </c>
      <c r="K356" s="331"/>
      <c r="L356" s="332">
        <f t="shared" si="50"/>
        <v>0</v>
      </c>
      <c r="M356" s="81"/>
      <c r="N356" s="54">
        <f t="shared" si="51"/>
        <v>0</v>
      </c>
      <c r="P356" s="192" t="str">
        <f t="shared" si="76"/>
        <v>7500/004Trading stock</v>
      </c>
      <c r="Q356" s="76"/>
      <c r="R356" s="31"/>
      <c r="S356" s="57"/>
      <c r="T356" s="57"/>
      <c r="U356" s="31"/>
    </row>
    <row r="357" spans="1:21" x14ac:dyDescent="0.2">
      <c r="A357" s="315"/>
      <c r="B357" s="60" t="s">
        <v>31</v>
      </c>
      <c r="C357" s="316" t="s">
        <v>32</v>
      </c>
      <c r="D357" s="326"/>
      <c r="E357" s="327"/>
      <c r="F357" s="180"/>
      <c r="G357" s="180"/>
      <c r="H357" s="180"/>
      <c r="I357" s="86"/>
      <c r="J357" s="53">
        <f>SUMIF(Journals!D$14:D$920,TrialBalance!P357,Journals!J$14:J$920)+SUMIF(Journals!E$14:E$920,TrialBalance!P357,Journals!J$14:J$920)</f>
        <v>0</v>
      </c>
      <c r="K357" s="331" t="s">
        <v>560</v>
      </c>
      <c r="L357" s="332">
        <f t="shared" si="50"/>
        <v>0</v>
      </c>
      <c r="M357" s="81"/>
      <c r="N357" s="54">
        <f t="shared" si="51"/>
        <v>0</v>
      </c>
      <c r="P357" s="192" t="str">
        <f t="shared" si="76"/>
        <v>8000/000DEBTORS</v>
      </c>
      <c r="Q357" s="76"/>
      <c r="R357" s="31"/>
      <c r="S357" s="77"/>
      <c r="T357" s="57"/>
      <c r="U357" s="31"/>
    </row>
    <row r="358" spans="1:21" x14ac:dyDescent="0.2">
      <c r="A358" s="315"/>
      <c r="B358" s="60" t="s">
        <v>33</v>
      </c>
      <c r="C358" s="317" t="s">
        <v>34</v>
      </c>
      <c r="D358" s="326"/>
      <c r="E358" s="327"/>
      <c r="F358" s="180">
        <f>TrialBalanceA!I358-TrialBalanceA!K358</f>
        <v>0</v>
      </c>
      <c r="G358" s="180">
        <f>TrialBalanceB!I358-TrialBalanceB!K358</f>
        <v>0</v>
      </c>
      <c r="H358" s="180">
        <f>TrialBalanceC!I358-TrialBalanceC!K358</f>
        <v>0</v>
      </c>
      <c r="I358" s="86">
        <f>N358</f>
        <v>0</v>
      </c>
      <c r="J358" s="53">
        <f>SUMIF(Journals!D$14:D$920,TrialBalance!P358,Journals!J$14:J$920)+SUMIF(Journals!E$14:E$920,TrialBalance!P358,Journals!J$14:J$920)</f>
        <v>0</v>
      </c>
      <c r="K358" s="330"/>
      <c r="L358" s="332">
        <f t="shared" si="50"/>
        <v>0</v>
      </c>
      <c r="M358" s="81"/>
      <c r="N358" s="54">
        <f t="shared" si="51"/>
        <v>0</v>
      </c>
      <c r="P358" s="192" t="str">
        <f t="shared" si="76"/>
        <v>8010/000Trade debtors</v>
      </c>
      <c r="Q358" s="78"/>
      <c r="R358" s="31"/>
      <c r="S358" s="77"/>
      <c r="T358" s="57"/>
      <c r="U358" s="31"/>
    </row>
    <row r="359" spans="1:21" x14ac:dyDescent="0.2">
      <c r="A359" s="315"/>
      <c r="B359" s="110" t="s">
        <v>35</v>
      </c>
      <c r="C359" s="319" t="s">
        <v>561</v>
      </c>
      <c r="D359" s="326"/>
      <c r="E359" s="327"/>
      <c r="F359" s="180">
        <f>TrialBalanceA!I359-TrialBalanceA!K359</f>
        <v>0</v>
      </c>
      <c r="G359" s="180">
        <f>TrialBalanceB!I359-TrialBalanceB!K359</f>
        <v>0</v>
      </c>
      <c r="H359" s="180">
        <f>TrialBalanceC!I359-TrialBalanceC!K359</f>
        <v>0</v>
      </c>
      <c r="I359" s="86">
        <f t="shared" ref="I359" si="88">N359</f>
        <v>0</v>
      </c>
      <c r="J359" s="53">
        <f>SUMIF(Journals!D$14:D$920,TrialBalance!P359,Journals!J$14:J$920)+SUMIF(Journals!E$14:E$920,TrialBalance!P359,Journals!J$14:J$920)</f>
        <v>0</v>
      </c>
      <c r="K359" s="330"/>
      <c r="L359" s="332">
        <f t="shared" si="50"/>
        <v>0</v>
      </c>
      <c r="M359" s="81"/>
      <c r="N359" s="54">
        <f t="shared" si="51"/>
        <v>0</v>
      </c>
      <c r="P359" s="192" t="str">
        <f t="shared" si="76"/>
        <v>8020/000Less: Provision for doubtful debts</v>
      </c>
      <c r="Q359" s="76"/>
      <c r="R359" s="31"/>
      <c r="S359" s="77"/>
      <c r="T359" s="57"/>
      <c r="U359" s="31"/>
    </row>
    <row r="360" spans="1:21" x14ac:dyDescent="0.2">
      <c r="A360" s="315"/>
      <c r="B360" s="110" t="s">
        <v>563</v>
      </c>
      <c r="C360" s="317" t="s">
        <v>327</v>
      </c>
      <c r="D360" s="326"/>
      <c r="E360" s="327"/>
      <c r="F360" s="180">
        <f>TrialBalanceA!I360-TrialBalanceA!K360</f>
        <v>0</v>
      </c>
      <c r="G360" s="180">
        <f>TrialBalanceB!I360-TrialBalanceB!K360</f>
        <v>0</v>
      </c>
      <c r="H360" s="180">
        <f>TrialBalanceC!I360-TrialBalanceC!K360</f>
        <v>0</v>
      </c>
      <c r="I360" s="86">
        <f>N360</f>
        <v>0</v>
      </c>
      <c r="J360" s="53">
        <f>SUMIF(Journals!D$14:D$920,TrialBalance!P360,Journals!J$14:J$920)+SUMIF(Journals!E$14:E$920,TrialBalance!P360,Journals!J$14:J$920)</f>
        <v>0</v>
      </c>
      <c r="K360" s="330"/>
      <c r="L360" s="332">
        <f t="shared" si="50"/>
        <v>0</v>
      </c>
      <c r="M360" s="81"/>
      <c r="N360" s="54">
        <f t="shared" si="51"/>
        <v>0</v>
      </c>
      <c r="P360" s="192" t="str">
        <f t="shared" si="76"/>
        <v>8030/000Service deposits</v>
      </c>
      <c r="Q360" s="76"/>
      <c r="R360" s="31"/>
      <c r="S360" s="77"/>
      <c r="T360" s="57"/>
      <c r="U360" s="31"/>
    </row>
    <row r="361" spans="1:21" x14ac:dyDescent="0.2">
      <c r="A361" s="315"/>
      <c r="B361" s="60" t="s">
        <v>476</v>
      </c>
      <c r="C361" s="319" t="s">
        <v>801</v>
      </c>
      <c r="D361" s="326"/>
      <c r="E361" s="326"/>
      <c r="F361" s="180">
        <f>TrialBalanceA!I361-TrialBalanceA!K361</f>
        <v>0</v>
      </c>
      <c r="G361" s="180">
        <f>TrialBalanceB!I361-TrialBalanceB!K361</f>
        <v>0</v>
      </c>
      <c r="H361" s="180">
        <f>TrialBalanceC!I361-TrialBalanceC!K361</f>
        <v>0</v>
      </c>
      <c r="I361" s="86">
        <f>N361</f>
        <v>0</v>
      </c>
      <c r="J361" s="53">
        <f>SUMIF(Journals!D$14:D$920,TrialBalance!P361,Journals!J$14:J$920)+SUMIF(Journals!E$14:E$920,TrialBalance!P361,Journals!J$14:J$920)</f>
        <v>0</v>
      </c>
      <c r="K361" s="330"/>
      <c r="L361" s="332">
        <f t="shared" si="50"/>
        <v>0</v>
      </c>
      <c r="M361" s="81"/>
      <c r="N361" s="54">
        <f t="shared" si="51"/>
        <v>0</v>
      </c>
      <c r="P361" s="192" t="str">
        <f t="shared" si="76"/>
        <v>8200/000Sundry customers</v>
      </c>
      <c r="Q361" s="76"/>
      <c r="R361" s="31"/>
      <c r="S361" s="77"/>
      <c r="T361" s="57"/>
      <c r="U361" s="31"/>
    </row>
    <row r="362" spans="1:21" x14ac:dyDescent="0.2">
      <c r="A362" s="315"/>
      <c r="B362" s="60" t="s">
        <v>477</v>
      </c>
      <c r="C362" s="317" t="s">
        <v>382</v>
      </c>
      <c r="D362" s="326"/>
      <c r="E362" s="327"/>
      <c r="F362" s="180">
        <f>TrialBalanceA!I362-TrialBalanceA!K362</f>
        <v>0</v>
      </c>
      <c r="G362" s="180">
        <f>TrialBalanceB!I362-TrialBalanceB!K362</f>
        <v>0</v>
      </c>
      <c r="H362" s="180">
        <f>TrialBalanceC!I362-TrialBalanceC!K362</f>
        <v>0</v>
      </c>
      <c r="I362" s="86">
        <f>N362</f>
        <v>0</v>
      </c>
      <c r="J362" s="53">
        <f>SUMIF(Journals!D$14:D$920,TrialBalance!P362,Journals!J$14:J$920)+SUMIF(Journals!E$14:E$920,TrialBalance!P362,Journals!J$14:J$920)</f>
        <v>0</v>
      </c>
      <c r="K362" s="330"/>
      <c r="L362" s="332">
        <f t="shared" si="50"/>
        <v>0</v>
      </c>
      <c r="M362" s="81"/>
      <c r="N362" s="54">
        <f t="shared" si="51"/>
        <v>0</v>
      </c>
      <c r="P362" s="192" t="str">
        <f t="shared" si="76"/>
        <v>8200/010Prepayments</v>
      </c>
      <c r="Q362" s="76"/>
      <c r="R362" s="31"/>
      <c r="S362" s="77"/>
      <c r="T362" s="57"/>
      <c r="U362" s="31"/>
    </row>
    <row r="363" spans="1:21" x14ac:dyDescent="0.2">
      <c r="A363" s="315"/>
      <c r="B363" s="60" t="s">
        <v>244</v>
      </c>
      <c r="C363" s="318" t="s">
        <v>534</v>
      </c>
      <c r="D363" s="327"/>
      <c r="E363" s="327"/>
      <c r="F363" s="180">
        <f>TrialBalanceA!I363-TrialBalanceA!K363</f>
        <v>0</v>
      </c>
      <c r="G363" s="180">
        <f>TrialBalanceB!I363-TrialBalanceB!K363</f>
        <v>0</v>
      </c>
      <c r="H363" s="180">
        <f>TrialBalanceC!I363-TrialBalanceC!K363</f>
        <v>0</v>
      </c>
      <c r="I363" s="86">
        <f>N363</f>
        <v>0</v>
      </c>
      <c r="J363" s="53">
        <f>SUMIF(Journals!D$14:D$920,TrialBalance!P363,Journals!J$14:J$920)+SUMIF(Journals!E$14:E$920,TrialBalance!P363,Journals!J$14:J$920)</f>
        <v>0</v>
      </c>
      <c r="K363" s="330"/>
      <c r="L363" s="332">
        <f t="shared" si="50"/>
        <v>0</v>
      </c>
      <c r="M363" s="81"/>
      <c r="N363" s="54">
        <f t="shared" si="51"/>
        <v>0</v>
      </c>
      <c r="P363" s="192" t="str">
        <f t="shared" si="76"/>
        <v>8200/020Staff loans</v>
      </c>
      <c r="Q363" s="76"/>
      <c r="R363" s="31"/>
      <c r="S363" s="77"/>
      <c r="T363" s="57"/>
      <c r="U363" s="31"/>
    </row>
    <row r="364" spans="1:21" x14ac:dyDescent="0.2">
      <c r="A364" s="315"/>
      <c r="B364" s="60" t="s">
        <v>245</v>
      </c>
      <c r="C364" s="321" t="s">
        <v>132</v>
      </c>
      <c r="D364" s="327"/>
      <c r="E364" s="327"/>
      <c r="F364" s="180"/>
      <c r="G364" s="180"/>
      <c r="H364" s="180"/>
      <c r="I364" s="86"/>
      <c r="J364" s="53">
        <f>SUMIF(Journals!D$14:D$920,TrialBalance!P364,Journals!J$14:J$920)+SUMIF(Journals!E$14:E$920,TrialBalance!P364,Journals!J$14:J$920)</f>
        <v>0</v>
      </c>
      <c r="K364" s="331" t="s">
        <v>560</v>
      </c>
      <c r="L364" s="332">
        <f t="shared" si="50"/>
        <v>0</v>
      </c>
      <c r="M364" s="81"/>
      <c r="N364" s="54">
        <f t="shared" si="51"/>
        <v>0</v>
      </c>
      <c r="P364" s="192" t="str">
        <f t="shared" si="76"/>
        <v>8400/000BANK ACCOUNTS</v>
      </c>
      <c r="Q364" s="76"/>
      <c r="R364" s="31"/>
      <c r="S364" s="77"/>
      <c r="T364" s="57"/>
      <c r="U364" s="31"/>
    </row>
    <row r="365" spans="1:21" x14ac:dyDescent="0.2">
      <c r="A365" s="315"/>
      <c r="B365" s="60" t="s">
        <v>246</v>
      </c>
      <c r="C365" s="320"/>
      <c r="D365" s="329"/>
      <c r="E365" s="329"/>
      <c r="F365" s="180">
        <f>TrialBalanceA!I365-TrialBalanceA!K365</f>
        <v>0</v>
      </c>
      <c r="G365" s="180">
        <f>TrialBalanceB!I365-TrialBalanceB!K365</f>
        <v>0</v>
      </c>
      <c r="H365" s="180">
        <f>TrialBalanceC!I365-TrialBalanceC!K365</f>
        <v>0</v>
      </c>
      <c r="I365" s="86">
        <f t="shared" ref="I365:I371" si="89">N365</f>
        <v>0</v>
      </c>
      <c r="J365" s="53">
        <f>SUMIF(Journals!D$14:D$920,TrialBalance!P365,Journals!J$14:J$920)+SUMIF(Journals!E$14:E$920,TrialBalance!P365,Journals!J$14:J$920)</f>
        <v>0</v>
      </c>
      <c r="K365" s="330"/>
      <c r="L365" s="332">
        <f>ROUND(D365-E365+F365+G365+H365+J365+I365,0)</f>
        <v>0</v>
      </c>
      <c r="M365" s="81"/>
      <c r="N365" s="54">
        <f t="shared" si="51"/>
        <v>0</v>
      </c>
      <c r="P365" s="192" t="str">
        <f t="shared" si="76"/>
        <v>8410/000</v>
      </c>
      <c r="Q365" s="78"/>
      <c r="R365" s="31"/>
      <c r="S365" s="77"/>
      <c r="T365" s="57"/>
      <c r="U365" s="31"/>
    </row>
    <row r="366" spans="1:21" x14ac:dyDescent="0.2">
      <c r="A366" s="315"/>
      <c r="B366" s="60" t="s">
        <v>247</v>
      </c>
      <c r="C366" s="320"/>
      <c r="D366" s="329"/>
      <c r="E366" s="326"/>
      <c r="F366" s="180">
        <f>TrialBalanceA!I366-TrialBalanceA!K366</f>
        <v>0</v>
      </c>
      <c r="G366" s="180">
        <f>TrialBalanceB!I366-TrialBalanceB!K366</f>
        <v>0</v>
      </c>
      <c r="H366" s="180">
        <f>TrialBalanceC!I366-TrialBalanceC!K366</f>
        <v>0</v>
      </c>
      <c r="I366" s="86">
        <f t="shared" si="89"/>
        <v>0</v>
      </c>
      <c r="J366" s="53">
        <f>SUMIF(Journals!D$14:D$920,TrialBalance!P366,Journals!J$14:J$920)+SUMIF(Journals!E$14:E$920,TrialBalance!P366,Journals!J$14:J$920)</f>
        <v>0</v>
      </c>
      <c r="K366" s="330"/>
      <c r="L366" s="332">
        <f t="shared" si="50"/>
        <v>0</v>
      </c>
      <c r="M366" s="81"/>
      <c r="N366" s="54">
        <f t="shared" si="51"/>
        <v>0</v>
      </c>
      <c r="P366" s="192" t="str">
        <f t="shared" si="76"/>
        <v>8420/000</v>
      </c>
      <c r="Q366" s="76"/>
      <c r="R366" s="31"/>
      <c r="S366" s="77"/>
      <c r="T366" s="57"/>
      <c r="U366" s="31"/>
    </row>
    <row r="367" spans="1:21" x14ac:dyDescent="0.2">
      <c r="A367" s="315"/>
      <c r="B367" s="60" t="s">
        <v>248</v>
      </c>
      <c r="C367" s="320"/>
      <c r="D367" s="329"/>
      <c r="E367" s="326"/>
      <c r="F367" s="180">
        <f>TrialBalanceA!I367-TrialBalanceA!K367</f>
        <v>0</v>
      </c>
      <c r="G367" s="180">
        <f>TrialBalanceB!I367-TrialBalanceB!K367</f>
        <v>0</v>
      </c>
      <c r="H367" s="180">
        <f>TrialBalanceC!I367-TrialBalanceC!K367</f>
        <v>0</v>
      </c>
      <c r="I367" s="86">
        <f t="shared" si="89"/>
        <v>0</v>
      </c>
      <c r="J367" s="53">
        <f>SUMIF(Journals!D$14:D$920,TrialBalance!P367,Journals!J$14:J$920)+SUMIF(Journals!E$14:E$920,TrialBalance!P367,Journals!J$14:J$920)</f>
        <v>0</v>
      </c>
      <c r="K367" s="330"/>
      <c r="L367" s="332">
        <f t="shared" si="50"/>
        <v>0</v>
      </c>
      <c r="M367" s="81"/>
      <c r="N367" s="54">
        <f t="shared" si="51"/>
        <v>0</v>
      </c>
      <c r="P367" s="192" t="str">
        <f t="shared" si="76"/>
        <v>8430/000</v>
      </c>
      <c r="Q367" s="76"/>
      <c r="R367" s="31"/>
      <c r="S367" s="77"/>
      <c r="T367" s="57"/>
      <c r="U367" s="31"/>
    </row>
    <row r="368" spans="1:21" x14ac:dyDescent="0.2">
      <c r="A368" s="315"/>
      <c r="B368" s="60" t="s">
        <v>249</v>
      </c>
      <c r="C368" s="320"/>
      <c r="D368" s="329"/>
      <c r="E368" s="327"/>
      <c r="F368" s="180">
        <f>TrialBalanceA!I368-TrialBalanceA!K368</f>
        <v>0</v>
      </c>
      <c r="G368" s="180">
        <f>TrialBalanceB!I368-TrialBalanceB!K368</f>
        <v>0</v>
      </c>
      <c r="H368" s="180">
        <f>TrialBalanceC!I368-TrialBalanceC!K368</f>
        <v>0</v>
      </c>
      <c r="I368" s="86">
        <f t="shared" si="89"/>
        <v>0</v>
      </c>
      <c r="J368" s="53">
        <f>SUMIF(Journals!D$14:D$920,TrialBalance!P368,Journals!J$14:J$920)+SUMIF(Journals!E$14:E$920,TrialBalance!P368,Journals!J$14:J$920)</f>
        <v>0</v>
      </c>
      <c r="K368" s="330"/>
      <c r="L368" s="332">
        <f t="shared" si="50"/>
        <v>0</v>
      </c>
      <c r="M368" s="81"/>
      <c r="N368" s="54">
        <f t="shared" si="51"/>
        <v>0</v>
      </c>
      <c r="P368" s="192" t="str">
        <f t="shared" si="76"/>
        <v>8440/000</v>
      </c>
      <c r="Q368" s="76"/>
      <c r="R368" s="31"/>
      <c r="S368" s="77"/>
      <c r="T368" s="57"/>
      <c r="U368" s="31"/>
    </row>
    <row r="369" spans="1:21" x14ac:dyDescent="0.2">
      <c r="A369" s="315"/>
      <c r="B369" s="60" t="s">
        <v>250</v>
      </c>
      <c r="C369" s="320"/>
      <c r="D369" s="329"/>
      <c r="E369" s="327"/>
      <c r="F369" s="180">
        <f>TrialBalanceA!I369-TrialBalanceA!K369</f>
        <v>0</v>
      </c>
      <c r="G369" s="180">
        <f>TrialBalanceB!I369-TrialBalanceB!K369</f>
        <v>0</v>
      </c>
      <c r="H369" s="180">
        <f>TrialBalanceC!I369-TrialBalanceC!K369</f>
        <v>0</v>
      </c>
      <c r="I369" s="86">
        <f t="shared" si="89"/>
        <v>0</v>
      </c>
      <c r="J369" s="53">
        <f>SUMIF(Journals!D$14:D$920,TrialBalance!P369,Journals!J$14:J$920)+SUMIF(Journals!E$14:E$920,TrialBalance!P369,Journals!J$14:J$920)</f>
        <v>0</v>
      </c>
      <c r="K369" s="330"/>
      <c r="L369" s="332">
        <f t="shared" si="50"/>
        <v>0</v>
      </c>
      <c r="M369" s="81"/>
      <c r="N369" s="54">
        <f t="shared" si="51"/>
        <v>0</v>
      </c>
      <c r="P369" s="192" t="str">
        <f t="shared" si="76"/>
        <v>8450/000</v>
      </c>
      <c r="Q369" s="76"/>
      <c r="R369" s="31"/>
      <c r="S369" s="77"/>
      <c r="T369" s="57"/>
      <c r="U369" s="31"/>
    </row>
    <row r="370" spans="1:21" x14ac:dyDescent="0.2">
      <c r="A370" s="315"/>
      <c r="B370" s="60" t="s">
        <v>133</v>
      </c>
      <c r="C370" s="320"/>
      <c r="D370" s="329"/>
      <c r="E370" s="327"/>
      <c r="F370" s="180">
        <f>TrialBalanceA!I370-TrialBalanceA!K370</f>
        <v>0</v>
      </c>
      <c r="G370" s="180">
        <f>TrialBalanceB!I370-TrialBalanceB!K370</f>
        <v>0</v>
      </c>
      <c r="H370" s="180">
        <f>TrialBalanceC!I370-TrialBalanceC!K370</f>
        <v>0</v>
      </c>
      <c r="I370" s="86">
        <f t="shared" si="89"/>
        <v>0</v>
      </c>
      <c r="J370" s="53">
        <f>SUMIF(Journals!D$14:D$920,TrialBalance!P370,Journals!J$14:J$920)+SUMIF(Journals!E$14:E$920,TrialBalance!P370,Journals!J$14:J$920)</f>
        <v>0</v>
      </c>
      <c r="K370" s="330"/>
      <c r="L370" s="332">
        <f t="shared" si="50"/>
        <v>0</v>
      </c>
      <c r="M370" s="81"/>
      <c r="N370" s="54">
        <f t="shared" si="51"/>
        <v>0</v>
      </c>
      <c r="P370" s="192" t="str">
        <f t="shared" si="76"/>
        <v>8460/000</v>
      </c>
      <c r="Q370" s="76"/>
      <c r="R370" s="31"/>
      <c r="S370" s="77"/>
      <c r="T370" s="57"/>
      <c r="U370" s="31"/>
    </row>
    <row r="371" spans="1:21" x14ac:dyDescent="0.2">
      <c r="A371" s="315"/>
      <c r="B371" s="60" t="s">
        <v>430</v>
      </c>
      <c r="C371" s="323" t="s">
        <v>431</v>
      </c>
      <c r="D371" s="326"/>
      <c r="E371" s="326"/>
      <c r="F371" s="180">
        <f>TrialBalanceA!I371-TrialBalanceA!K371</f>
        <v>0</v>
      </c>
      <c r="G371" s="180">
        <f>TrialBalanceB!I371-TrialBalanceB!K371</f>
        <v>0</v>
      </c>
      <c r="H371" s="180">
        <f>TrialBalanceC!I371-TrialBalanceC!K371</f>
        <v>0</v>
      </c>
      <c r="I371" s="86">
        <f t="shared" si="89"/>
        <v>0</v>
      </c>
      <c r="J371" s="53">
        <f>SUMIF(Journals!D$14:D$920,TrialBalance!P371,Journals!J$14:J$920)+SUMIF(Journals!E$14:E$920,TrialBalance!P371,Journals!J$14:J$920)</f>
        <v>0</v>
      </c>
      <c r="K371" s="330"/>
      <c r="L371" s="332">
        <f t="shared" ref="L371:L397" si="90">ROUND(D371-E371+F371+G371+H371+J371+I371,0)</f>
        <v>0</v>
      </c>
      <c r="M371" s="81"/>
      <c r="N371" s="54">
        <f t="shared" si="51"/>
        <v>0</v>
      </c>
      <c r="P371" s="192" t="str">
        <f t="shared" si="76"/>
        <v>8500/000Cash on hand</v>
      </c>
      <c r="Q371" s="76"/>
      <c r="R371" s="31"/>
      <c r="S371" s="77"/>
      <c r="T371" s="57"/>
      <c r="U371" s="31"/>
    </row>
    <row r="372" spans="1:21" x14ac:dyDescent="0.2">
      <c r="A372" s="315"/>
      <c r="B372" s="60" t="s">
        <v>432</v>
      </c>
      <c r="C372" s="321" t="s">
        <v>289</v>
      </c>
      <c r="D372" s="327"/>
      <c r="E372" s="327"/>
      <c r="F372" s="180"/>
      <c r="G372" s="180"/>
      <c r="H372" s="180"/>
      <c r="I372" s="86"/>
      <c r="J372" s="53">
        <f>SUMIF(Journals!D$14:D$920,TrialBalance!P372,Journals!J$14:J$920)+SUMIF(Journals!E$14:E$920,TrialBalance!P372,Journals!J$14:J$920)</f>
        <v>0</v>
      </c>
      <c r="K372" s="330"/>
      <c r="L372" s="332">
        <f t="shared" si="90"/>
        <v>0</v>
      </c>
      <c r="M372" s="81"/>
      <c r="N372" s="54">
        <f t="shared" si="51"/>
        <v>0</v>
      </c>
      <c r="P372" s="192" t="str">
        <f t="shared" ref="P372:P397" si="91">CONCATENATE(B372,C372)</f>
        <v>8900/000SHORT TERM LOANS</v>
      </c>
      <c r="Q372" s="76"/>
      <c r="R372" s="31"/>
      <c r="S372" s="77"/>
      <c r="T372" s="57"/>
      <c r="U372" s="31"/>
    </row>
    <row r="373" spans="1:21" x14ac:dyDescent="0.2">
      <c r="A373" s="315"/>
      <c r="B373" s="60" t="s">
        <v>433</v>
      </c>
      <c r="C373" s="320"/>
      <c r="D373" s="326"/>
      <c r="E373" s="327"/>
      <c r="F373" s="180">
        <f>TrialBalanceA!I373-TrialBalanceA!K373</f>
        <v>0</v>
      </c>
      <c r="G373" s="180">
        <f>TrialBalanceB!I373-TrialBalanceB!K373</f>
        <v>0</v>
      </c>
      <c r="H373" s="180">
        <f>TrialBalanceC!I373-TrialBalanceC!K373</f>
        <v>0</v>
      </c>
      <c r="I373" s="86">
        <f>N373</f>
        <v>0</v>
      </c>
      <c r="J373" s="53">
        <f>SUMIF(Journals!D$14:D$920,TrialBalance!P373,Journals!J$14:J$920)+SUMIF(Journals!E$14:E$920,TrialBalance!P373,Journals!J$14:J$920)</f>
        <v>0</v>
      </c>
      <c r="K373" s="330"/>
      <c r="L373" s="332">
        <f t="shared" si="90"/>
        <v>0</v>
      </c>
      <c r="M373" s="81"/>
      <c r="N373" s="54">
        <f t="shared" si="51"/>
        <v>0</v>
      </c>
      <c r="P373" s="192" t="str">
        <f t="shared" si="91"/>
        <v>8900/001</v>
      </c>
      <c r="Q373" s="78"/>
      <c r="R373" s="31"/>
      <c r="S373" s="77"/>
      <c r="T373" s="57"/>
      <c r="U373" s="31"/>
    </row>
    <row r="374" spans="1:21" x14ac:dyDescent="0.2">
      <c r="A374" s="315"/>
      <c r="B374" s="60" t="s">
        <v>434</v>
      </c>
      <c r="C374" s="320"/>
      <c r="D374" s="326"/>
      <c r="E374" s="327"/>
      <c r="F374" s="180">
        <f>TrialBalanceA!I374-TrialBalanceA!K374</f>
        <v>0</v>
      </c>
      <c r="G374" s="180">
        <f>TrialBalanceB!I374-TrialBalanceB!K374</f>
        <v>0</v>
      </c>
      <c r="H374" s="180">
        <f>TrialBalanceC!I374-TrialBalanceC!K374</f>
        <v>0</v>
      </c>
      <c r="I374" s="86">
        <f>N374</f>
        <v>0</v>
      </c>
      <c r="J374" s="53">
        <f>SUMIF(Journals!D$14:D$920,TrialBalance!P374,Journals!J$14:J$920)+SUMIF(Journals!E$14:E$920,TrialBalance!P374,Journals!J$14:J$920)</f>
        <v>0</v>
      </c>
      <c r="K374" s="330"/>
      <c r="L374" s="332">
        <f t="shared" si="90"/>
        <v>0</v>
      </c>
      <c r="M374" s="81"/>
      <c r="N374" s="54">
        <f t="shared" si="51"/>
        <v>0</v>
      </c>
      <c r="P374" s="192" t="str">
        <f t="shared" si="91"/>
        <v>8900/002</v>
      </c>
      <c r="Q374" s="78"/>
      <c r="R374" s="31"/>
      <c r="S374" s="77"/>
      <c r="T374" s="57"/>
      <c r="U374" s="31"/>
    </row>
    <row r="375" spans="1:21" x14ac:dyDescent="0.2">
      <c r="A375" s="315"/>
      <c r="B375" s="60" t="s">
        <v>435</v>
      </c>
      <c r="C375" s="320"/>
      <c r="D375" s="326"/>
      <c r="E375" s="327"/>
      <c r="F375" s="180">
        <f>TrialBalanceA!I375-TrialBalanceA!K375</f>
        <v>0</v>
      </c>
      <c r="G375" s="180">
        <f>TrialBalanceB!I375-TrialBalanceB!K375</f>
        <v>0</v>
      </c>
      <c r="H375" s="180">
        <f>TrialBalanceC!I375-TrialBalanceC!K375</f>
        <v>0</v>
      </c>
      <c r="I375" s="86">
        <f>N375</f>
        <v>0</v>
      </c>
      <c r="J375" s="53">
        <f>SUMIF(Journals!D$14:D$920,TrialBalance!P375,Journals!J$14:J$920)+SUMIF(Journals!E$14:E$920,TrialBalance!P375,Journals!J$14:J$920)</f>
        <v>0</v>
      </c>
      <c r="K375" s="330"/>
      <c r="L375" s="332">
        <f t="shared" si="90"/>
        <v>0</v>
      </c>
      <c r="M375" s="81"/>
      <c r="N375" s="54">
        <f t="shared" si="51"/>
        <v>0</v>
      </c>
      <c r="P375" s="192" t="str">
        <f t="shared" si="91"/>
        <v>8900/003</v>
      </c>
      <c r="Q375" s="78"/>
      <c r="R375" s="31"/>
      <c r="S375" s="77"/>
      <c r="T375" s="57"/>
      <c r="U375" s="31"/>
    </row>
    <row r="376" spans="1:21" x14ac:dyDescent="0.2">
      <c r="A376" s="315"/>
      <c r="B376" s="60" t="s">
        <v>436</v>
      </c>
      <c r="C376" s="316" t="s">
        <v>256</v>
      </c>
      <c r="D376" s="326"/>
      <c r="E376" s="327"/>
      <c r="F376" s="180"/>
      <c r="G376" s="180"/>
      <c r="H376" s="180"/>
      <c r="I376" s="86">
        <f>N376</f>
        <v>0</v>
      </c>
      <c r="J376" s="53">
        <f>SUMIF(Journals!D$14:D$920,TrialBalance!P376,Journals!J$14:J$920)+SUMIF(Journals!E$14:E$920,TrialBalance!P376,Journals!J$14:J$920)</f>
        <v>0</v>
      </c>
      <c r="K376" s="330"/>
      <c r="L376" s="332">
        <f t="shared" si="90"/>
        <v>0</v>
      </c>
      <c r="M376" s="81"/>
      <c r="N376" s="54">
        <f t="shared" si="51"/>
        <v>0</v>
      </c>
      <c r="P376" s="192" t="str">
        <f t="shared" si="91"/>
        <v>8900/004Short term portion of long term loans</v>
      </c>
      <c r="Q376" s="76"/>
      <c r="R376" s="31"/>
      <c r="S376" s="77"/>
      <c r="T376" s="57"/>
      <c r="U376" s="31"/>
    </row>
    <row r="377" spans="1:21" x14ac:dyDescent="0.2">
      <c r="A377" s="315"/>
      <c r="B377" s="60" t="s">
        <v>437</v>
      </c>
      <c r="C377" s="316" t="s">
        <v>438</v>
      </c>
      <c r="D377" s="326"/>
      <c r="E377" s="327"/>
      <c r="F377" s="180"/>
      <c r="G377" s="180"/>
      <c r="H377" s="180"/>
      <c r="I377" s="86"/>
      <c r="J377" s="53">
        <f>SUMIF(Journals!D$14:D$920,TrialBalance!P377,Journals!J$14:J$920)+SUMIF(Journals!E$14:E$920,TrialBalance!P377,Journals!J$14:J$920)</f>
        <v>0</v>
      </c>
      <c r="K377" s="331" t="s">
        <v>560</v>
      </c>
      <c r="L377" s="332">
        <f t="shared" si="90"/>
        <v>0</v>
      </c>
      <c r="M377" s="81"/>
      <c r="N377" s="54">
        <f t="shared" si="51"/>
        <v>0</v>
      </c>
      <c r="P377" s="192" t="str">
        <f t="shared" si="91"/>
        <v>9000/000CREDITORS</v>
      </c>
      <c r="Q377" s="76"/>
      <c r="R377" s="31"/>
      <c r="S377" s="77"/>
      <c r="T377" s="57"/>
      <c r="U377" s="31"/>
    </row>
    <row r="378" spans="1:21" x14ac:dyDescent="0.2">
      <c r="A378" s="315"/>
      <c r="B378" s="60" t="s">
        <v>439</v>
      </c>
      <c r="C378" s="317" t="s">
        <v>440</v>
      </c>
      <c r="D378" s="326"/>
      <c r="E378" s="327"/>
      <c r="F378" s="180">
        <f>TrialBalanceA!I378-TrialBalanceA!K378</f>
        <v>0</v>
      </c>
      <c r="G378" s="180">
        <f>TrialBalanceB!I378-TrialBalanceB!K378</f>
        <v>0</v>
      </c>
      <c r="H378" s="180">
        <f>TrialBalanceC!I378-TrialBalanceC!K378</f>
        <v>0</v>
      </c>
      <c r="I378" s="86">
        <f>N378</f>
        <v>0</v>
      </c>
      <c r="J378" s="53">
        <f>SUMIF(Journals!D$14:D$920,TrialBalance!P378,Journals!J$14:J$920)+SUMIF(Journals!E$14:E$920,TrialBalance!P378,Journals!J$14:J$920)</f>
        <v>0</v>
      </c>
      <c r="K378" s="330"/>
      <c r="L378" s="332">
        <f t="shared" si="90"/>
        <v>0</v>
      </c>
      <c r="M378" s="81"/>
      <c r="N378" s="54">
        <f t="shared" ref="N378:N398" si="92">ROUND(SUM(A378),0)</f>
        <v>0</v>
      </c>
      <c r="P378" s="192" t="str">
        <f t="shared" si="91"/>
        <v>9010/000Trade creditors</v>
      </c>
      <c r="Q378" s="78"/>
      <c r="R378" s="31"/>
      <c r="S378" s="77"/>
      <c r="T378" s="57"/>
      <c r="U378" s="31"/>
    </row>
    <row r="379" spans="1:21" x14ac:dyDescent="0.2">
      <c r="A379" s="315"/>
      <c r="B379" s="60" t="s">
        <v>441</v>
      </c>
      <c r="C379" s="319" t="s">
        <v>548</v>
      </c>
      <c r="D379" s="326"/>
      <c r="E379" s="327"/>
      <c r="F379" s="180">
        <f>TrialBalanceA!I379-TrialBalanceA!K379</f>
        <v>0</v>
      </c>
      <c r="G379" s="180">
        <f>TrialBalanceB!I379-TrialBalanceB!K379</f>
        <v>0</v>
      </c>
      <c r="H379" s="180">
        <f>TrialBalanceC!I379-TrialBalanceC!K379</f>
        <v>0</v>
      </c>
      <c r="I379" s="86">
        <f>N379</f>
        <v>0</v>
      </c>
      <c r="J379" s="53">
        <f>SUMIF(Journals!D$14:D$920,TrialBalance!P379,Journals!J$14:J$920)+SUMIF(Journals!E$14:E$920,TrialBalance!P379,Journals!J$14:J$920)</f>
        <v>0</v>
      </c>
      <c r="K379" s="330"/>
      <c r="L379" s="332">
        <f t="shared" si="90"/>
        <v>0</v>
      </c>
      <c r="M379" s="81"/>
      <c r="N379" s="54">
        <f t="shared" si="92"/>
        <v>0</v>
      </c>
      <c r="P379" s="192" t="str">
        <f t="shared" si="91"/>
        <v>9200/000Sundry suppliers</v>
      </c>
      <c r="Q379" s="76"/>
      <c r="R379" s="31"/>
      <c r="S379" s="77"/>
      <c r="T379" s="57"/>
      <c r="U379" s="31"/>
    </row>
    <row r="380" spans="1:21" x14ac:dyDescent="0.2">
      <c r="A380" s="315"/>
      <c r="B380" s="60" t="s">
        <v>442</v>
      </c>
      <c r="C380" s="319" t="s">
        <v>758</v>
      </c>
      <c r="D380" s="326"/>
      <c r="E380" s="327"/>
      <c r="F380" s="180">
        <f>TrialBalanceA!I380-TrialBalanceA!K380</f>
        <v>0</v>
      </c>
      <c r="G380" s="180">
        <f>TrialBalanceB!I380-TrialBalanceB!K380</f>
        <v>0</v>
      </c>
      <c r="H380" s="180">
        <f>TrialBalanceC!I380-TrialBalanceC!K380</f>
        <v>0</v>
      </c>
      <c r="I380" s="86">
        <f>N380</f>
        <v>0</v>
      </c>
      <c r="J380" s="53">
        <f>SUMIF(Journals!D$14:D$920,TrialBalance!P380,Journals!J$14:J$920)+SUMIF(Journals!E$14:E$920,TrialBalance!P380,Journals!J$14:J$920)</f>
        <v>0</v>
      </c>
      <c r="K380" s="330"/>
      <c r="L380" s="332">
        <f t="shared" si="90"/>
        <v>0</v>
      </c>
      <c r="M380" s="81"/>
      <c r="N380" s="54">
        <f t="shared" si="92"/>
        <v>0</v>
      </c>
      <c r="P380" s="192" t="str">
        <f t="shared" si="91"/>
        <v>9200/010Audit and accounting fee accrual</v>
      </c>
      <c r="Q380" s="76"/>
      <c r="R380" s="31"/>
      <c r="S380" s="77"/>
      <c r="T380" s="57"/>
      <c r="U380" s="31"/>
    </row>
    <row r="381" spans="1:21" x14ac:dyDescent="0.2">
      <c r="A381" s="315"/>
      <c r="B381" s="60" t="s">
        <v>443</v>
      </c>
      <c r="C381" s="319" t="s">
        <v>549</v>
      </c>
      <c r="D381" s="326"/>
      <c r="E381" s="327"/>
      <c r="F381" s="180">
        <f>TrialBalanceA!I381-TrialBalanceA!K381</f>
        <v>0</v>
      </c>
      <c r="G381" s="180">
        <f>TrialBalanceB!I381-TrialBalanceB!K381</f>
        <v>0</v>
      </c>
      <c r="H381" s="180">
        <f>TrialBalanceC!I381-TrialBalanceC!K381</f>
        <v>0</v>
      </c>
      <c r="I381" s="86">
        <f>N381</f>
        <v>0</v>
      </c>
      <c r="J381" s="53">
        <f>SUMIF(Journals!D$14:D$920,TrialBalance!P381,Journals!J$14:J$920)+SUMIF(Journals!E$14:E$920,TrialBalance!P381,Journals!J$14:J$920)</f>
        <v>0</v>
      </c>
      <c r="K381" s="330"/>
      <c r="L381" s="332">
        <f t="shared" si="90"/>
        <v>0</v>
      </c>
      <c r="M381" s="81"/>
      <c r="N381" s="54">
        <f t="shared" si="92"/>
        <v>0</v>
      </c>
      <c r="P381" s="192" t="str">
        <f t="shared" si="91"/>
        <v>9200/020Other accruals</v>
      </c>
      <c r="Q381" s="76"/>
      <c r="R381" s="31"/>
      <c r="S381" s="77"/>
      <c r="T381" s="57"/>
      <c r="U381" s="31"/>
    </row>
    <row r="382" spans="1:21" x14ac:dyDescent="0.2">
      <c r="A382" s="315"/>
      <c r="B382" s="60" t="s">
        <v>444</v>
      </c>
      <c r="C382" s="319" t="s">
        <v>753</v>
      </c>
      <c r="D382" s="326"/>
      <c r="E382" s="327"/>
      <c r="F382" s="180">
        <f>TrialBalanceA!I382-TrialBalanceA!K382</f>
        <v>0</v>
      </c>
      <c r="G382" s="180">
        <f>TrialBalanceB!I382-TrialBalanceB!K382</f>
        <v>0</v>
      </c>
      <c r="H382" s="180">
        <f>TrialBalanceC!I382-TrialBalanceC!K382</f>
        <v>0</v>
      </c>
      <c r="I382" s="86">
        <f>N382</f>
        <v>0</v>
      </c>
      <c r="J382" s="53">
        <f>SUMIF(Journals!D$14:D$920,TrialBalance!P382,Journals!J$14:J$920)+SUMIF(Journals!E$14:E$920,TrialBalance!P382,Journals!J$14:J$920)</f>
        <v>0</v>
      </c>
      <c r="K382" s="330"/>
      <c r="L382" s="332">
        <f t="shared" si="90"/>
        <v>0</v>
      </c>
      <c r="M382" s="81"/>
      <c r="N382" s="54">
        <f t="shared" si="92"/>
        <v>0</v>
      </c>
      <c r="P382" s="192" t="str">
        <f t="shared" si="91"/>
        <v>9250/000Salary and wages control</v>
      </c>
      <c r="Q382" s="78"/>
      <c r="R382" s="31"/>
      <c r="S382" s="77"/>
      <c r="T382" s="57"/>
      <c r="U382" s="31"/>
    </row>
    <row r="383" spans="1:21" x14ac:dyDescent="0.2">
      <c r="A383" s="315"/>
      <c r="B383" s="60" t="s">
        <v>336</v>
      </c>
      <c r="C383" s="316" t="s">
        <v>124</v>
      </c>
      <c r="D383" s="326"/>
      <c r="E383" s="327"/>
      <c r="F383" s="180"/>
      <c r="G383" s="180"/>
      <c r="H383" s="180"/>
      <c r="I383" s="86"/>
      <c r="J383" s="53">
        <f>SUMIF(Journals!D$14:D$920,TrialBalance!P383,Journals!J$14:J$920)+SUMIF(Journals!E$14:E$920,TrialBalance!P383,Journals!J$14:J$920)</f>
        <v>0</v>
      </c>
      <c r="K383" s="330"/>
      <c r="L383" s="332">
        <f t="shared" si="90"/>
        <v>0</v>
      </c>
      <c r="M383" s="81"/>
      <c r="N383" s="54">
        <f t="shared" si="92"/>
        <v>0</v>
      </c>
      <c r="P383" s="192" t="str">
        <f t="shared" si="91"/>
        <v>9300/000TAXATION</v>
      </c>
      <c r="Q383" s="76"/>
      <c r="R383" s="31"/>
      <c r="S383" s="77"/>
      <c r="T383" s="57"/>
      <c r="U383" s="31"/>
    </row>
    <row r="384" spans="1:21" x14ac:dyDescent="0.2">
      <c r="A384" s="315"/>
      <c r="B384" s="60" t="s">
        <v>453</v>
      </c>
      <c r="C384" s="317" t="s">
        <v>92</v>
      </c>
      <c r="D384" s="326"/>
      <c r="E384" s="327"/>
      <c r="F384" s="180"/>
      <c r="G384" s="180"/>
      <c r="H384" s="180"/>
      <c r="I384" s="86">
        <f>SUM(N384:N390)</f>
        <v>0</v>
      </c>
      <c r="J384" s="53">
        <f>SUMIF(Journals!D$14:D$920,TrialBalance!P384,Journals!J$14:J$920)+SUMIF(Journals!E$14:E$920,TrialBalance!P384,Journals!J$14:J$920)</f>
        <v>0</v>
      </c>
      <c r="K384" s="330"/>
      <c r="L384" s="332">
        <f t="shared" si="90"/>
        <v>0</v>
      </c>
      <c r="M384" s="81"/>
      <c r="N384" s="54">
        <f t="shared" si="92"/>
        <v>0</v>
      </c>
      <c r="P384" s="192" t="str">
        <f t="shared" si="91"/>
        <v>9300/010Balance b/fwd</v>
      </c>
      <c r="Q384" s="76"/>
      <c r="R384" s="31"/>
      <c r="S384" s="77"/>
      <c r="T384" s="77"/>
      <c r="U384" s="31"/>
    </row>
    <row r="385" spans="1:21" x14ac:dyDescent="0.2">
      <c r="A385" s="315"/>
      <c r="B385" s="60" t="s">
        <v>454</v>
      </c>
      <c r="C385" s="323" t="s">
        <v>130</v>
      </c>
      <c r="D385" s="327"/>
      <c r="E385" s="327"/>
      <c r="F385" s="180"/>
      <c r="G385" s="180"/>
      <c r="H385" s="180"/>
      <c r="I385" s="86"/>
      <c r="J385" s="53">
        <f>SUMIF(Journals!D$14:D$920,TrialBalance!P385,Journals!J$14:J$920)+SUMIF(Journals!E$14:E$920,TrialBalance!P385,Journals!J$14:J$920)</f>
        <v>0</v>
      </c>
      <c r="K385" s="330"/>
      <c r="L385" s="332">
        <f t="shared" si="90"/>
        <v>0</v>
      </c>
      <c r="M385" s="81"/>
      <c r="N385" s="54">
        <f t="shared" si="92"/>
        <v>0</v>
      </c>
      <c r="P385" s="192" t="str">
        <f t="shared" si="91"/>
        <v>9300/020Tax provision this year</v>
      </c>
      <c r="Q385" s="76"/>
      <c r="R385" s="31"/>
      <c r="S385" s="77"/>
      <c r="T385" s="57"/>
      <c r="U385" s="31"/>
    </row>
    <row r="386" spans="1:21" x14ac:dyDescent="0.2">
      <c r="A386" s="315"/>
      <c r="B386" s="60" t="s">
        <v>455</v>
      </c>
      <c r="C386" s="319" t="s">
        <v>891</v>
      </c>
      <c r="D386" s="326"/>
      <c r="E386" s="327"/>
      <c r="F386" s="180"/>
      <c r="G386" s="180"/>
      <c r="H386" s="180"/>
      <c r="I386" s="86"/>
      <c r="J386" s="53">
        <f>SUMIF(Journals!D$14:D$920,TrialBalance!P386,Journals!J$14:J$920)+SUMIF(Journals!E$14:E$920,TrialBalance!P386,Journals!J$14:J$920)</f>
        <v>0</v>
      </c>
      <c r="K386" s="330"/>
      <c r="L386" s="332">
        <f t="shared" si="90"/>
        <v>0</v>
      </c>
      <c r="M386" s="81"/>
      <c r="N386" s="54">
        <f t="shared" si="92"/>
        <v>0</v>
      </c>
      <c r="P386" s="192" t="str">
        <f t="shared" si="91"/>
        <v>9300/030Over-/(Under) provision previous year</v>
      </c>
      <c r="Q386" s="76"/>
      <c r="R386" s="31"/>
      <c r="S386" s="77"/>
      <c r="T386" s="57"/>
      <c r="U386" s="31"/>
    </row>
    <row r="387" spans="1:21" x14ac:dyDescent="0.2">
      <c r="A387" s="315"/>
      <c r="B387" s="60" t="s">
        <v>456</v>
      </c>
      <c r="C387" s="319" t="s">
        <v>892</v>
      </c>
      <c r="D387" s="326"/>
      <c r="E387" s="326"/>
      <c r="F387" s="180">
        <f>TrialBalanceA!I387</f>
        <v>0</v>
      </c>
      <c r="G387" s="180">
        <f>TrialBalanceB!I387</f>
        <v>0</v>
      </c>
      <c r="H387" s="180">
        <f>TrialBalanceC!I387</f>
        <v>0</v>
      </c>
      <c r="I387" s="86"/>
      <c r="J387" s="53">
        <f>SUMIF(Journals!D$14:D$920,TrialBalance!P387,Journals!J$14:J$920)+SUMIF(Journals!E$14:E$920,TrialBalance!P387,Journals!J$14:J$920)</f>
        <v>0</v>
      </c>
      <c r="K387" s="330"/>
      <c r="L387" s="332">
        <f t="shared" si="90"/>
        <v>0</v>
      </c>
      <c r="M387" s="81"/>
      <c r="N387" s="54">
        <f t="shared" si="92"/>
        <v>0</v>
      </c>
      <c r="P387" s="192" t="str">
        <f t="shared" si="91"/>
        <v>9300/040Tax paid/(refund) for previous year provisions</v>
      </c>
      <c r="Q387" s="76"/>
      <c r="R387" s="31"/>
      <c r="S387" s="77"/>
      <c r="T387" s="57"/>
      <c r="U387" s="31"/>
    </row>
    <row r="388" spans="1:21" x14ac:dyDescent="0.2">
      <c r="A388" s="315"/>
      <c r="B388" s="60" t="s">
        <v>457</v>
      </c>
      <c r="C388" s="319" t="s">
        <v>802</v>
      </c>
      <c r="D388" s="326"/>
      <c r="E388" s="327"/>
      <c r="F388" s="180">
        <f>TrialBalanceA!I388</f>
        <v>0</v>
      </c>
      <c r="G388" s="180">
        <f>TrialBalanceB!I388</f>
        <v>0</v>
      </c>
      <c r="H388" s="180">
        <f>TrialBalanceC!I388</f>
        <v>0</v>
      </c>
      <c r="I388" s="86"/>
      <c r="J388" s="53">
        <f>SUMIF(Journals!D$14:D$920,TrialBalance!P388,Journals!J$14:J$920)+SUMIF(Journals!E$14:E$920,TrialBalance!P388,Journals!J$14:J$920)</f>
        <v>0</v>
      </c>
      <c r="K388" s="330"/>
      <c r="L388" s="332">
        <f t="shared" si="90"/>
        <v>0</v>
      </c>
      <c r="M388" s="81"/>
      <c r="N388" s="54">
        <f t="shared" si="92"/>
        <v>0</v>
      </c>
      <c r="P388" s="192" t="str">
        <f t="shared" si="91"/>
        <v>9300/0501st Provisional paid</v>
      </c>
      <c r="Q388" s="76"/>
      <c r="R388" s="31"/>
      <c r="S388" s="77"/>
      <c r="T388" s="57"/>
      <c r="U388" s="31"/>
    </row>
    <row r="389" spans="1:21" x14ac:dyDescent="0.2">
      <c r="A389" s="315"/>
      <c r="B389" s="60" t="s">
        <v>458</v>
      </c>
      <c r="C389" s="319" t="s">
        <v>803</v>
      </c>
      <c r="D389" s="326"/>
      <c r="E389" s="327"/>
      <c r="F389" s="180">
        <f>TrialBalanceA!I389</f>
        <v>0</v>
      </c>
      <c r="G389" s="180">
        <f>TrialBalanceB!I389</f>
        <v>0</v>
      </c>
      <c r="H389" s="180">
        <f>TrialBalanceC!I389</f>
        <v>0</v>
      </c>
      <c r="I389" s="86"/>
      <c r="J389" s="53">
        <f>SUMIF(Journals!D$14:D$920,TrialBalance!P389,Journals!J$14:J$920)+SUMIF(Journals!E$14:E$920,TrialBalance!P389,Journals!J$14:J$920)</f>
        <v>0</v>
      </c>
      <c r="K389" s="330"/>
      <c r="L389" s="332">
        <f t="shared" si="90"/>
        <v>0</v>
      </c>
      <c r="M389" s="81"/>
      <c r="N389" s="54">
        <f t="shared" si="92"/>
        <v>0</v>
      </c>
      <c r="P389" s="192" t="str">
        <f t="shared" si="91"/>
        <v>9300/0602nd Provisional paid</v>
      </c>
      <c r="Q389" s="76"/>
      <c r="R389" s="31"/>
      <c r="S389" s="77"/>
      <c r="T389" s="57"/>
      <c r="U389" s="31"/>
    </row>
    <row r="390" spans="1:21" x14ac:dyDescent="0.2">
      <c r="A390" s="315"/>
      <c r="B390" s="60" t="s">
        <v>459</v>
      </c>
      <c r="C390" s="317" t="s">
        <v>131</v>
      </c>
      <c r="D390" s="326"/>
      <c r="E390" s="327"/>
      <c r="F390" s="180">
        <f>TrialBalanceA!I390</f>
        <v>0</v>
      </c>
      <c r="G390" s="180">
        <f>TrialBalanceB!I390</f>
        <v>0</v>
      </c>
      <c r="H390" s="180">
        <f>TrialBalanceC!I390</f>
        <v>0</v>
      </c>
      <c r="I390" s="86"/>
      <c r="J390" s="53">
        <f>SUMIF(Journals!D$14:D$920,TrialBalance!P390,Journals!J$14:J$920)+SUMIF(Journals!E$14:E$920,TrialBalance!P390,Journals!J$14:J$920)</f>
        <v>0</v>
      </c>
      <c r="K390" s="330"/>
      <c r="L390" s="332">
        <f t="shared" si="90"/>
        <v>0</v>
      </c>
      <c r="M390" s="81"/>
      <c r="N390" s="54">
        <f t="shared" si="92"/>
        <v>0</v>
      </c>
      <c r="P390" s="192" t="str">
        <f t="shared" si="91"/>
        <v>9300/0703rd Provisional paid</v>
      </c>
      <c r="Q390" s="76"/>
      <c r="R390" s="31"/>
      <c r="S390" s="77"/>
      <c r="T390" s="57"/>
      <c r="U390" s="31"/>
    </row>
    <row r="391" spans="1:21" x14ac:dyDescent="0.2">
      <c r="A391" s="315"/>
      <c r="B391" s="60" t="s">
        <v>337</v>
      </c>
      <c r="C391" s="319" t="s">
        <v>536</v>
      </c>
      <c r="D391" s="326"/>
      <c r="E391" s="327"/>
      <c r="F391" s="180">
        <f>TrialBalanceA!I391-TrialBalanceA!K391</f>
        <v>0</v>
      </c>
      <c r="G391" s="180">
        <f>TrialBalanceB!I391-TrialBalanceB!K391</f>
        <v>0</v>
      </c>
      <c r="H391" s="180">
        <f>TrialBalanceC!I391-TrialBalanceC!K391</f>
        <v>0</v>
      </c>
      <c r="I391" s="86">
        <f>N391</f>
        <v>0</v>
      </c>
      <c r="J391" s="53">
        <f>SUMIF(Journals!D$14:D$920,TrialBalance!P391,Journals!J$14:J$920)+SUMIF(Journals!E$14:E$920,TrialBalance!P391,Journals!J$14:J$920)</f>
        <v>0</v>
      </c>
      <c r="K391" s="330"/>
      <c r="L391" s="332">
        <f t="shared" si="90"/>
        <v>0</v>
      </c>
      <c r="M391" s="81"/>
      <c r="N391" s="54">
        <f t="shared" si="92"/>
        <v>0</v>
      </c>
      <c r="P391" s="192" t="str">
        <f t="shared" si="91"/>
        <v>9400/000Provision for future expenses</v>
      </c>
      <c r="Q391" s="76"/>
      <c r="R391" s="31"/>
      <c r="S391" s="77"/>
      <c r="T391" s="57"/>
      <c r="U391" s="31"/>
    </row>
    <row r="392" spans="1:21" x14ac:dyDescent="0.2">
      <c r="A392" s="315"/>
      <c r="B392" s="60" t="s">
        <v>338</v>
      </c>
      <c r="C392" s="319" t="s">
        <v>537</v>
      </c>
      <c r="D392" s="326"/>
      <c r="E392" s="327"/>
      <c r="F392" s="180">
        <f>TrialBalanceA!I392-TrialBalanceA!K392</f>
        <v>0</v>
      </c>
      <c r="G392" s="180">
        <f>TrialBalanceB!I392-TrialBalanceB!K392</f>
        <v>0</v>
      </c>
      <c r="H392" s="180">
        <f>TrialBalanceC!I392-TrialBalanceC!K392</f>
        <v>0</v>
      </c>
      <c r="I392" s="86">
        <f>N392</f>
        <v>0</v>
      </c>
      <c r="J392" s="53">
        <f>SUMIF(Journals!D$14:D$920,TrialBalance!P392,Journals!J$14:J$920)+SUMIF(Journals!E$14:E$920,TrialBalance!P392,Journals!J$14:J$920)</f>
        <v>0</v>
      </c>
      <c r="K392" s="330"/>
      <c r="L392" s="332">
        <f t="shared" si="90"/>
        <v>0</v>
      </c>
      <c r="M392" s="81"/>
      <c r="N392" s="54">
        <f t="shared" si="92"/>
        <v>0</v>
      </c>
      <c r="P392" s="192" t="str">
        <f t="shared" si="91"/>
        <v>9400/010Provision for insurance</v>
      </c>
      <c r="Q392" s="76"/>
      <c r="R392" s="31"/>
      <c r="S392" s="77"/>
      <c r="T392" s="57"/>
      <c r="U392" s="31"/>
    </row>
    <row r="393" spans="1:21" x14ac:dyDescent="0.2">
      <c r="A393" s="315"/>
      <c r="B393" s="60" t="s">
        <v>339</v>
      </c>
      <c r="C393" s="319" t="s">
        <v>538</v>
      </c>
      <c r="D393" s="326"/>
      <c r="E393" s="327"/>
      <c r="F393" s="180">
        <f>TrialBalanceA!I393-TrialBalanceA!K393</f>
        <v>0</v>
      </c>
      <c r="G393" s="180">
        <f>TrialBalanceB!I393-TrialBalanceB!K393</f>
        <v>0</v>
      </c>
      <c r="H393" s="180">
        <f>TrialBalanceC!I393-TrialBalanceC!K393</f>
        <v>0</v>
      </c>
      <c r="I393" s="86">
        <f>N393</f>
        <v>0</v>
      </c>
      <c r="J393" s="53">
        <f>SUMIF(Journals!D$14:D$920,TrialBalance!P393,Journals!J$14:J$920)+SUMIF(Journals!E$14:E$920,TrialBalance!P393,Journals!J$14:J$920)</f>
        <v>0</v>
      </c>
      <c r="K393" s="330"/>
      <c r="L393" s="332">
        <f t="shared" si="90"/>
        <v>0</v>
      </c>
      <c r="M393" s="81"/>
      <c r="N393" s="54">
        <f t="shared" si="92"/>
        <v>0</v>
      </c>
      <c r="P393" s="192" t="str">
        <f t="shared" si="91"/>
        <v>9400/020Provision for salary bonus</v>
      </c>
      <c r="Q393" s="76"/>
      <c r="R393" s="31"/>
      <c r="S393" s="77"/>
      <c r="T393" s="57"/>
      <c r="U393" s="31"/>
    </row>
    <row r="394" spans="1:21" x14ac:dyDescent="0.2">
      <c r="A394" s="315"/>
      <c r="B394" s="60" t="s">
        <v>340</v>
      </c>
      <c r="C394" s="316" t="s">
        <v>341</v>
      </c>
      <c r="D394" s="326"/>
      <c r="E394" s="327"/>
      <c r="F394" s="180"/>
      <c r="G394" s="180"/>
      <c r="H394" s="180"/>
      <c r="I394" s="86"/>
      <c r="J394" s="53">
        <f>SUMIF(Journals!D$14:D$920,TrialBalance!P394,Journals!J$14:J$920)+SUMIF(Journals!E$14:E$920,TrialBalance!P394,Journals!J$14:J$920)</f>
        <v>0</v>
      </c>
      <c r="K394" s="330"/>
      <c r="L394" s="332">
        <f t="shared" si="90"/>
        <v>0</v>
      </c>
      <c r="M394" s="81"/>
      <c r="N394" s="54">
        <f t="shared" si="92"/>
        <v>0</v>
      </c>
      <c r="P394" s="192" t="str">
        <f t="shared" si="91"/>
        <v>9500/000VALUE ADDED TAX</v>
      </c>
      <c r="Q394" s="76"/>
      <c r="R394" s="31"/>
      <c r="S394" s="77"/>
      <c r="T394" s="57"/>
      <c r="U394" s="31"/>
    </row>
    <row r="395" spans="1:21" x14ac:dyDescent="0.2">
      <c r="A395" s="315"/>
      <c r="B395" s="60" t="s">
        <v>342</v>
      </c>
      <c r="C395" s="317" t="s">
        <v>343</v>
      </c>
      <c r="D395" s="326"/>
      <c r="E395" s="326"/>
      <c r="F395" s="180">
        <f>TrialBalanceA!I395-TrialBalanceA!K395</f>
        <v>0</v>
      </c>
      <c r="G395" s="180">
        <f>TrialBalanceB!I395-TrialBalanceB!K395</f>
        <v>0</v>
      </c>
      <c r="H395" s="180">
        <f>TrialBalanceC!I395-TrialBalanceC!K395</f>
        <v>0</v>
      </c>
      <c r="I395" s="86">
        <f>N395</f>
        <v>0</v>
      </c>
      <c r="J395" s="53">
        <f>SUMIF(Journals!D$14:D$920,TrialBalance!P395,Journals!J$14:J$920)+SUMIF(Journals!E$14:E$920,TrialBalance!P395,Journals!J$14:J$920)</f>
        <v>0</v>
      </c>
      <c r="K395" s="331" t="s">
        <v>560</v>
      </c>
      <c r="L395" s="332">
        <f t="shared" si="90"/>
        <v>0</v>
      </c>
      <c r="M395" s="81"/>
      <c r="N395" s="54">
        <f t="shared" si="92"/>
        <v>0</v>
      </c>
      <c r="P395" s="192" t="str">
        <f t="shared" si="91"/>
        <v>9501/000VAT account</v>
      </c>
      <c r="Q395" s="78"/>
      <c r="R395" s="31"/>
      <c r="S395" s="77"/>
      <c r="T395" s="57"/>
      <c r="U395" s="31"/>
    </row>
    <row r="396" spans="1:21" x14ac:dyDescent="0.2">
      <c r="A396" s="315"/>
      <c r="B396" s="60" t="s">
        <v>344</v>
      </c>
      <c r="C396" s="319" t="s">
        <v>595</v>
      </c>
      <c r="D396" s="326"/>
      <c r="E396" s="327"/>
      <c r="F396" s="180"/>
      <c r="G396" s="180"/>
      <c r="H396" s="180"/>
      <c r="I396" s="86"/>
      <c r="J396" s="53">
        <f>SUMIF(Journals!D$14:D$920,TrialBalance!P396,Journals!J$14:J$920)+SUMIF(Journals!E$14:E$920,TrialBalance!P396,Journals!J$14:J$920)</f>
        <v>0</v>
      </c>
      <c r="K396" s="330"/>
      <c r="L396" s="332">
        <f t="shared" si="90"/>
        <v>0</v>
      </c>
      <c r="M396" s="81"/>
      <c r="N396" s="54">
        <f t="shared" si="92"/>
        <v>0</v>
      </c>
      <c r="P396" s="192" t="str">
        <f t="shared" si="91"/>
        <v>9510/000--------------------------------------------------</v>
      </c>
      <c r="Q396" s="76"/>
      <c r="R396" s="31"/>
      <c r="S396" s="77"/>
      <c r="T396" s="57"/>
      <c r="U396" s="31"/>
    </row>
    <row r="397" spans="1:21" x14ac:dyDescent="0.2">
      <c r="A397" s="315"/>
      <c r="B397" s="60" t="s">
        <v>345</v>
      </c>
      <c r="C397" s="316" t="s">
        <v>804</v>
      </c>
      <c r="D397" s="326"/>
      <c r="E397" s="326"/>
      <c r="F397" s="180">
        <f>TrialBalanceA!I397-TrialBalanceA!K397</f>
        <v>0</v>
      </c>
      <c r="G397" s="180">
        <f>TrialBalanceB!I397-TrialBalanceB!K397</f>
        <v>0</v>
      </c>
      <c r="H397" s="180">
        <f>TrialBalanceC!I397-TrialBalanceC!K397</f>
        <v>0</v>
      </c>
      <c r="I397" s="86"/>
      <c r="J397" s="53">
        <f>SUMIF(Journals!D$14:D$920,TrialBalance!P397,Journals!J$14:J$920)+SUMIF(Journals!E$14:E$920,TrialBalance!P397,Journals!J$14:J$920)</f>
        <v>0</v>
      </c>
      <c r="K397" s="330"/>
      <c r="L397" s="332">
        <f t="shared" si="90"/>
        <v>0</v>
      </c>
      <c r="M397" s="81"/>
      <c r="N397" s="54">
        <f t="shared" si="92"/>
        <v>0</v>
      </c>
      <c r="P397" s="192" t="str">
        <f t="shared" si="91"/>
        <v>9990/000Suspense account</v>
      </c>
      <c r="Q397" s="78"/>
      <c r="R397" s="31"/>
      <c r="S397" s="77"/>
      <c r="T397" s="57"/>
      <c r="U397" s="31"/>
    </row>
    <row r="398" spans="1:21" x14ac:dyDescent="0.2">
      <c r="A398" s="315"/>
      <c r="B398" s="60" t="s">
        <v>233</v>
      </c>
      <c r="C398" s="61" t="s">
        <v>233</v>
      </c>
      <c r="D398" s="90"/>
      <c r="E398" s="90"/>
      <c r="F398" s="182"/>
      <c r="G398" s="182"/>
      <c r="H398" s="182"/>
      <c r="I398" s="88"/>
      <c r="J398" s="53"/>
      <c r="K398" s="330"/>
      <c r="L398" s="332"/>
      <c r="M398" s="81"/>
      <c r="N398" s="54">
        <f t="shared" si="92"/>
        <v>0</v>
      </c>
      <c r="P398" s="192">
        <v>0</v>
      </c>
      <c r="Q398" s="76"/>
      <c r="S398" s="52"/>
      <c r="T398" s="52"/>
      <c r="U398" s="31"/>
    </row>
    <row r="399" spans="1:21" x14ac:dyDescent="0.2">
      <c r="A399" s="315"/>
      <c r="B399" s="60" t="s">
        <v>233</v>
      </c>
      <c r="C399" s="61" t="s">
        <v>233</v>
      </c>
      <c r="F399" s="183"/>
      <c r="G399" s="183"/>
      <c r="H399" s="183"/>
      <c r="I399" s="89"/>
      <c r="J399" s="53"/>
      <c r="K399" s="330"/>
      <c r="L399" s="332"/>
      <c r="M399" s="81"/>
      <c r="N399" s="54"/>
      <c r="P399" s="192">
        <v>0</v>
      </c>
      <c r="Q399" s="76"/>
      <c r="S399" s="79"/>
      <c r="T399" s="79"/>
      <c r="U399" s="31"/>
    </row>
    <row r="400" spans="1:21" ht="13.5" thickBot="1" x14ac:dyDescent="0.25">
      <c r="A400" s="47">
        <f>SUM(A6:A398)</f>
        <v>0</v>
      </c>
      <c r="B400" s="60" t="s">
        <v>233</v>
      </c>
      <c r="C400" s="61" t="s">
        <v>233</v>
      </c>
      <c r="D400" s="162">
        <f>SUM(D6:D399)</f>
        <v>0</v>
      </c>
      <c r="E400" s="162">
        <f>SUM(E6:E399)</f>
        <v>0</v>
      </c>
      <c r="F400" s="47">
        <f>SUM(F6:F399)</f>
        <v>0</v>
      </c>
      <c r="G400" s="47">
        <f>SUM(G6:G399)</f>
        <v>0</v>
      </c>
      <c r="H400" s="47">
        <f>SUM(H6:H399)</f>
        <v>0</v>
      </c>
      <c r="I400" s="47">
        <f>SUM(I6:I398)</f>
        <v>0</v>
      </c>
      <c r="J400" s="47">
        <f>ROUND(SUM(J6:J399),2)</f>
        <v>0</v>
      </c>
      <c r="K400" s="163"/>
      <c r="L400" s="162">
        <f>SUM(L6:L399)</f>
        <v>0</v>
      </c>
      <c r="M400" s="162"/>
      <c r="N400" s="47">
        <f>SUM(N6:N399)</f>
        <v>0</v>
      </c>
      <c r="P400" s="192">
        <v>0</v>
      </c>
      <c r="Q400" s="80"/>
      <c r="R400" s="80"/>
      <c r="S400" s="80"/>
      <c r="T400" s="80"/>
      <c r="U400" s="80"/>
    </row>
    <row r="401" spans="1:20" ht="13.5" thickTop="1" x14ac:dyDescent="0.2">
      <c r="A401" s="44"/>
      <c r="B401" s="48"/>
      <c r="C401" s="51"/>
      <c r="F401" s="45"/>
      <c r="G401" s="45"/>
      <c r="H401" s="45"/>
      <c r="I401" s="45"/>
      <c r="J401" s="45"/>
      <c r="K401" s="45"/>
      <c r="L401" s="207"/>
      <c r="M401" s="65"/>
      <c r="N401" s="44"/>
      <c r="S401" s="45"/>
      <c r="T401" s="45"/>
    </row>
    <row r="402" spans="1:20" x14ac:dyDescent="0.2">
      <c r="A402" s="44"/>
      <c r="B402" s="48"/>
      <c r="C402" s="51"/>
      <c r="F402" s="45"/>
      <c r="G402" s="45"/>
      <c r="H402" s="45"/>
      <c r="I402" s="45"/>
      <c r="J402" s="45"/>
      <c r="K402" s="45"/>
      <c r="N402" s="44"/>
      <c r="Q402" s="44"/>
      <c r="R402" s="44"/>
      <c r="S402" s="45"/>
      <c r="T402" s="45"/>
    </row>
    <row r="403" spans="1:20" x14ac:dyDescent="0.2">
      <c r="A403" s="44"/>
      <c r="B403" s="48"/>
      <c r="C403" s="51"/>
      <c r="F403" s="45"/>
      <c r="G403" s="45"/>
      <c r="H403" s="45"/>
      <c r="I403" s="45"/>
      <c r="J403" s="45"/>
      <c r="K403" s="45"/>
      <c r="N403" s="44"/>
      <c r="Q403" s="44"/>
      <c r="S403" s="45"/>
      <c r="T403" s="45"/>
    </row>
    <row r="404" spans="1:20" x14ac:dyDescent="0.2">
      <c r="A404" s="44"/>
      <c r="B404" s="48"/>
      <c r="C404" s="51"/>
      <c r="F404" s="45"/>
      <c r="G404" s="45"/>
      <c r="H404" s="45"/>
      <c r="I404" s="45"/>
      <c r="J404" s="45"/>
      <c r="K404" s="45"/>
      <c r="N404" s="44"/>
      <c r="S404" s="45"/>
      <c r="T404" s="45"/>
    </row>
    <row r="405" spans="1:20" x14ac:dyDescent="0.2">
      <c r="A405" s="44"/>
      <c r="B405" s="48"/>
      <c r="C405" s="51"/>
      <c r="F405" s="45"/>
      <c r="G405" s="45"/>
      <c r="H405" s="45"/>
      <c r="I405" s="45"/>
      <c r="J405" s="45"/>
      <c r="K405" s="45"/>
      <c r="N405" s="44"/>
      <c r="S405" s="45"/>
      <c r="T405" s="45"/>
    </row>
    <row r="406" spans="1:20" x14ac:dyDescent="0.2">
      <c r="A406" s="44"/>
      <c r="B406" s="48"/>
      <c r="C406" s="51"/>
      <c r="F406" s="45"/>
      <c r="G406" s="45"/>
      <c r="H406" s="45"/>
      <c r="I406" s="45"/>
      <c r="J406" s="45"/>
      <c r="K406" s="45"/>
      <c r="N406" s="48"/>
      <c r="S406" s="45"/>
      <c r="T406" s="45"/>
    </row>
    <row r="407" spans="1:20" x14ac:dyDescent="0.2">
      <c r="A407" s="44"/>
      <c r="B407" s="48"/>
      <c r="C407" s="51"/>
      <c r="F407" s="45"/>
      <c r="G407" s="45"/>
      <c r="H407" s="45"/>
      <c r="I407" s="45"/>
      <c r="J407" s="45"/>
      <c r="K407" s="45"/>
      <c r="N407" s="48"/>
      <c r="S407" s="45"/>
      <c r="T407" s="45"/>
    </row>
    <row r="408" spans="1:20" x14ac:dyDescent="0.2">
      <c r="A408" s="44"/>
      <c r="B408" s="48"/>
      <c r="C408" s="51"/>
      <c r="F408" s="45"/>
      <c r="G408" s="45"/>
      <c r="H408" s="45"/>
      <c r="I408" s="45"/>
      <c r="J408" s="45"/>
      <c r="K408" s="45"/>
      <c r="N408" s="48"/>
      <c r="S408" s="45"/>
      <c r="T408" s="45"/>
    </row>
    <row r="409" spans="1:20" x14ac:dyDescent="0.2">
      <c r="A409" s="44"/>
      <c r="B409" s="48"/>
      <c r="C409" s="51"/>
      <c r="F409" s="45"/>
      <c r="G409" s="45"/>
      <c r="H409" s="45"/>
      <c r="I409" s="45"/>
      <c r="J409" s="45"/>
      <c r="K409" s="45"/>
      <c r="N409" s="48"/>
      <c r="S409" s="45"/>
      <c r="T409" s="45"/>
    </row>
    <row r="410" spans="1:20" x14ac:dyDescent="0.2">
      <c r="A410" s="44"/>
      <c r="B410" s="48"/>
      <c r="C410" s="51"/>
      <c r="F410" s="45"/>
      <c r="G410" s="45"/>
      <c r="H410" s="45"/>
      <c r="I410" s="45"/>
      <c r="J410" s="45"/>
      <c r="K410" s="45"/>
      <c r="N410" s="48"/>
      <c r="S410" s="45"/>
      <c r="T410" s="45"/>
    </row>
    <row r="411" spans="1:20" x14ac:dyDescent="0.2">
      <c r="A411" s="44"/>
      <c r="B411" s="48"/>
      <c r="C411" s="51"/>
      <c r="F411" s="45"/>
      <c r="G411" s="45"/>
      <c r="H411" s="45"/>
      <c r="I411" s="45"/>
      <c r="J411" s="45"/>
      <c r="K411" s="45"/>
      <c r="N411" s="48"/>
      <c r="S411" s="45"/>
      <c r="T411" s="45"/>
    </row>
    <row r="412" spans="1:20" x14ac:dyDescent="0.2">
      <c r="A412" s="44"/>
      <c r="B412" s="48"/>
      <c r="C412" s="51"/>
      <c r="F412" s="45"/>
      <c r="G412" s="45"/>
      <c r="H412" s="45"/>
      <c r="I412" s="45"/>
      <c r="J412" s="45"/>
      <c r="K412" s="45"/>
      <c r="N412" s="48"/>
      <c r="S412" s="45"/>
      <c r="T412" s="45"/>
    </row>
    <row r="413" spans="1:20" x14ac:dyDescent="0.2">
      <c r="A413" s="44"/>
      <c r="B413" s="48"/>
      <c r="C413" s="51"/>
      <c r="F413" s="45"/>
      <c r="G413" s="45"/>
      <c r="H413" s="45"/>
      <c r="I413" s="45"/>
      <c r="J413" s="45"/>
      <c r="K413" s="45"/>
      <c r="N413" s="48"/>
      <c r="S413" s="45"/>
      <c r="T413" s="45"/>
    </row>
    <row r="414" spans="1:20" x14ac:dyDescent="0.2">
      <c r="A414" s="44"/>
      <c r="B414" s="48"/>
      <c r="C414" s="51"/>
      <c r="F414" s="45"/>
      <c r="G414" s="45"/>
      <c r="H414" s="45"/>
      <c r="I414" s="45"/>
      <c r="J414" s="45"/>
      <c r="K414" s="45"/>
      <c r="N414" s="48"/>
      <c r="S414" s="45"/>
      <c r="T414" s="45"/>
    </row>
    <row r="415" spans="1:20" x14ac:dyDescent="0.2">
      <c r="A415" s="44"/>
      <c r="B415" s="48"/>
      <c r="C415" s="51"/>
      <c r="F415" s="45"/>
      <c r="G415" s="45"/>
      <c r="H415" s="45"/>
      <c r="I415" s="45"/>
      <c r="J415" s="45"/>
      <c r="K415" s="45"/>
      <c r="N415" s="48"/>
      <c r="S415" s="45" t="s">
        <v>104</v>
      </c>
      <c r="T415" s="45" t="s">
        <v>104</v>
      </c>
    </row>
    <row r="416" spans="1:20" x14ac:dyDescent="0.2">
      <c r="A416" s="44"/>
      <c r="B416" s="48"/>
      <c r="C416" s="51"/>
      <c r="F416" s="45"/>
      <c r="G416" s="45"/>
      <c r="H416" s="45"/>
      <c r="I416" s="45"/>
      <c r="J416" s="45"/>
      <c r="K416" s="45"/>
      <c r="N416" s="48"/>
      <c r="S416" s="45" t="s">
        <v>104</v>
      </c>
      <c r="T416" s="45" t="s">
        <v>104</v>
      </c>
    </row>
    <row r="417" spans="1:20" x14ac:dyDescent="0.2">
      <c r="A417" s="44"/>
      <c r="B417" s="48"/>
      <c r="C417" s="51"/>
      <c r="F417" s="45"/>
      <c r="G417" s="45"/>
      <c r="H417" s="45"/>
      <c r="I417" s="45"/>
      <c r="J417" s="45"/>
      <c r="K417" s="45"/>
      <c r="N417" s="48"/>
      <c r="S417" s="45" t="s">
        <v>104</v>
      </c>
      <c r="T417" s="45" t="s">
        <v>104</v>
      </c>
    </row>
    <row r="418" spans="1:20" x14ac:dyDescent="0.2">
      <c r="A418" s="44"/>
      <c r="B418" s="48"/>
      <c r="C418" s="51"/>
      <c r="F418" s="45"/>
      <c r="G418" s="45"/>
      <c r="H418" s="45"/>
      <c r="I418" s="45"/>
      <c r="J418" s="45"/>
      <c r="K418" s="45"/>
      <c r="N418" s="48"/>
      <c r="S418" s="45" t="s">
        <v>104</v>
      </c>
      <c r="T418" s="45" t="s">
        <v>104</v>
      </c>
    </row>
    <row r="419" spans="1:20" x14ac:dyDescent="0.2">
      <c r="A419" s="44"/>
      <c r="B419" s="48"/>
      <c r="C419" s="51"/>
      <c r="F419" s="45"/>
      <c r="G419" s="45"/>
      <c r="H419" s="45"/>
      <c r="I419" s="45"/>
      <c r="J419" s="45"/>
      <c r="K419" s="45"/>
      <c r="N419" s="48"/>
      <c r="S419" s="45" t="s">
        <v>104</v>
      </c>
      <c r="T419" s="45" t="s">
        <v>104</v>
      </c>
    </row>
    <row r="420" spans="1:20" x14ac:dyDescent="0.2">
      <c r="A420" s="44"/>
      <c r="B420" s="48"/>
      <c r="C420" s="51"/>
      <c r="F420" s="45"/>
      <c r="G420" s="45"/>
      <c r="H420" s="45"/>
      <c r="I420" s="45"/>
      <c r="J420" s="45"/>
      <c r="K420" s="45"/>
      <c r="N420" s="48"/>
      <c r="S420" s="45"/>
      <c r="T420" s="45"/>
    </row>
    <row r="421" spans="1:20" x14ac:dyDescent="0.2">
      <c r="A421" s="44"/>
      <c r="B421" s="48"/>
      <c r="C421" s="51"/>
      <c r="F421" s="45"/>
      <c r="G421" s="45"/>
      <c r="H421" s="45"/>
      <c r="I421" s="45"/>
      <c r="J421" s="45"/>
      <c r="K421" s="45"/>
      <c r="N421" s="48"/>
      <c r="S421" s="45"/>
      <c r="T421" s="45"/>
    </row>
    <row r="422" spans="1:20" x14ac:dyDescent="0.2">
      <c r="A422" s="44"/>
      <c r="B422" s="48"/>
      <c r="C422" s="51"/>
      <c r="F422" s="45"/>
      <c r="G422" s="45"/>
      <c r="H422" s="45"/>
      <c r="I422" s="45"/>
      <c r="J422" s="45"/>
      <c r="K422" s="45"/>
      <c r="N422" s="48"/>
      <c r="S422" s="45"/>
      <c r="T422" s="45"/>
    </row>
    <row r="423" spans="1:20" x14ac:dyDescent="0.2">
      <c r="A423" s="44"/>
      <c r="B423" s="48"/>
      <c r="C423" s="51"/>
      <c r="F423" s="45"/>
      <c r="G423" s="45"/>
      <c r="H423" s="45"/>
      <c r="I423" s="45"/>
      <c r="J423" s="45"/>
      <c r="K423" s="45"/>
      <c r="N423" s="48"/>
      <c r="S423" s="45"/>
      <c r="T423" s="45"/>
    </row>
    <row r="424" spans="1:20" x14ac:dyDescent="0.2">
      <c r="A424" s="44"/>
      <c r="B424" s="48"/>
      <c r="C424" s="51"/>
      <c r="F424" s="45"/>
      <c r="G424" s="45"/>
      <c r="H424" s="45"/>
      <c r="I424" s="45"/>
      <c r="J424" s="45"/>
      <c r="K424" s="45"/>
      <c r="N424" s="48"/>
      <c r="S424" s="45"/>
      <c r="T424" s="45"/>
    </row>
    <row r="425" spans="1:20" x14ac:dyDescent="0.2">
      <c r="A425" s="44"/>
      <c r="B425" s="48"/>
      <c r="C425" s="51"/>
      <c r="F425" s="45"/>
      <c r="G425" s="45"/>
      <c r="H425" s="45"/>
      <c r="I425" s="45"/>
      <c r="J425" s="45"/>
      <c r="K425" s="45"/>
      <c r="N425" s="48"/>
      <c r="S425" s="45"/>
      <c r="T425" s="45"/>
    </row>
    <row r="426" spans="1:20" x14ac:dyDescent="0.2">
      <c r="A426" s="44"/>
      <c r="B426" s="48"/>
      <c r="C426" s="51"/>
      <c r="F426" s="45"/>
      <c r="G426" s="45"/>
      <c r="H426" s="45"/>
      <c r="I426" s="45"/>
      <c r="J426" s="45"/>
      <c r="K426" s="45"/>
      <c r="N426" s="48"/>
      <c r="S426" s="45"/>
      <c r="T426" s="45"/>
    </row>
    <row r="427" spans="1:20" x14ac:dyDescent="0.2">
      <c r="A427" s="44"/>
      <c r="B427" s="48"/>
      <c r="C427" s="51"/>
      <c r="F427" s="45"/>
      <c r="G427" s="45"/>
      <c r="H427" s="45"/>
      <c r="I427" s="45"/>
      <c r="J427" s="45"/>
      <c r="K427" s="45"/>
      <c r="N427" s="48"/>
      <c r="S427" s="45"/>
      <c r="T427" s="45"/>
    </row>
    <row r="428" spans="1:20" x14ac:dyDescent="0.2">
      <c r="A428" s="44"/>
      <c r="B428" s="48"/>
      <c r="C428" s="51"/>
      <c r="F428" s="45"/>
      <c r="G428" s="45"/>
      <c r="H428" s="45"/>
      <c r="I428" s="45"/>
      <c r="J428" s="45"/>
      <c r="K428" s="45"/>
      <c r="N428" s="48"/>
      <c r="S428" s="45"/>
      <c r="T428" s="45"/>
    </row>
    <row r="429" spans="1:20" x14ac:dyDescent="0.2">
      <c r="A429" s="44"/>
      <c r="B429" s="48"/>
      <c r="C429" s="51"/>
      <c r="F429" s="45"/>
      <c r="G429" s="45"/>
      <c r="H429" s="45"/>
      <c r="I429" s="45"/>
      <c r="J429" s="45"/>
      <c r="K429" s="45"/>
      <c r="N429" s="48"/>
      <c r="S429" s="45"/>
      <c r="T429" s="45"/>
    </row>
    <row r="430" spans="1:20" x14ac:dyDescent="0.2">
      <c r="A430" s="44"/>
      <c r="B430" s="48"/>
      <c r="C430" s="51"/>
      <c r="F430" s="45"/>
      <c r="G430" s="45"/>
      <c r="H430" s="45"/>
      <c r="I430" s="45"/>
      <c r="J430" s="45"/>
      <c r="K430" s="45"/>
      <c r="N430" s="48"/>
      <c r="S430" s="45"/>
      <c r="T430" s="45"/>
    </row>
    <row r="431" spans="1:20" x14ac:dyDescent="0.2">
      <c r="A431" s="44"/>
      <c r="B431" s="48"/>
      <c r="C431" s="51"/>
      <c r="F431" s="45"/>
      <c r="G431" s="45"/>
      <c r="H431" s="45"/>
      <c r="I431" s="45"/>
      <c r="J431" s="45"/>
      <c r="K431" s="45"/>
      <c r="N431" s="48"/>
      <c r="S431" s="45"/>
      <c r="T431" s="45"/>
    </row>
    <row r="432" spans="1:20" x14ac:dyDescent="0.2">
      <c r="A432" s="44"/>
      <c r="B432" s="48"/>
      <c r="C432" s="51"/>
      <c r="F432" s="45"/>
      <c r="G432" s="45"/>
      <c r="H432" s="45"/>
      <c r="I432" s="45"/>
      <c r="J432" s="45"/>
      <c r="K432" s="45"/>
      <c r="N432" s="48"/>
      <c r="S432" s="45"/>
      <c r="T432" s="45"/>
    </row>
    <row r="433" spans="1:20" x14ac:dyDescent="0.2">
      <c r="A433" s="44"/>
      <c r="B433" s="48"/>
      <c r="C433" s="51"/>
      <c r="F433" s="45"/>
      <c r="G433" s="45"/>
      <c r="H433" s="45"/>
      <c r="I433" s="45"/>
      <c r="J433" s="45"/>
      <c r="K433" s="45"/>
      <c r="N433" s="48"/>
      <c r="S433" s="45"/>
      <c r="T433" s="45"/>
    </row>
    <row r="434" spans="1:20" x14ac:dyDescent="0.2">
      <c r="A434" s="44"/>
      <c r="B434" s="48"/>
      <c r="C434" s="51"/>
      <c r="J434" s="45"/>
      <c r="K434" s="45"/>
      <c r="N434" s="48"/>
      <c r="S434" s="45"/>
      <c r="T434" s="45"/>
    </row>
    <row r="435" spans="1:20" x14ac:dyDescent="0.2">
      <c r="S435" s="14"/>
      <c r="T435" s="14"/>
    </row>
  </sheetData>
  <sheetProtection algorithmName="SHA-512" hashValue="rfGyMVSNIt42RJuolOHdqgUolFwF1OuyEA9U09uIdyn9Awk1EP8n6I4BzS0j3bMytEwGeyXlyfI6b2PUpuiqiQ==" saltValue="dSoDUqG9qC9BlL1GhLeZBw==" spinCount="100000" sheet="1" objects="1" scenarios="1" formatColumns="0" selectLockedCells="1"/>
  <mergeCells count="3">
    <mergeCell ref="D1:E1"/>
    <mergeCell ref="D2:E2"/>
    <mergeCell ref="P1:Q1"/>
  </mergeCells>
  <phoneticPr fontId="0" type="noConversion"/>
  <hyperlinks>
    <hyperlink ref="B6" location="bank2!A1" display="1000/001" xr:uid="{00000000-0004-0000-0400-000000000000}"/>
    <hyperlink ref="B14" location="bank2!A1" display="2000/010" xr:uid="{00000000-0004-0000-0400-000001000000}"/>
    <hyperlink ref="B15" location="bank2!A1" display="2000/011" xr:uid="{00000000-0004-0000-0400-000002000000}"/>
    <hyperlink ref="K191" location="ILoans!A1" display="WP" xr:uid="{DD87B0AE-34D9-4D00-AB47-B83757DB3EF3}"/>
    <hyperlink ref="K208" location="IFree!A1" display="WP" xr:uid="{EBC7A37C-A0A1-4933-9F09-264DF5AE3E05}"/>
    <hyperlink ref="K357" location="Debtors!A1" display="WP" xr:uid="{9F5C3B23-ADE7-47AB-954D-44A0A51647C9}"/>
    <hyperlink ref="K364" location="Bank!A1" display="WP" xr:uid="{25E5B14C-73E5-46CC-9AE7-665F91E823BA}"/>
    <hyperlink ref="K352" location="Stock!A1" display="WP" xr:uid="{E207814A-5583-41E1-A4B9-6710A6A6D009}"/>
    <hyperlink ref="K377" location="Creditors!A1" display="WP" xr:uid="{0153CB00-D817-4D55-81DD-38CAA6BE29AA}"/>
    <hyperlink ref="K395" location="VAT!A1" display="WP" xr:uid="{9BA53581-5C99-4FF7-B937-2B01B6FFB953}"/>
    <hyperlink ref="C32" location="TrialBalanceA!A1" display="TrialBalanceA!A1" xr:uid="{EDCD6B08-328F-40F3-9D50-9D8728744A19}"/>
    <hyperlink ref="C33" location="TrialBalanceB!A1" display="TrialBalanceB!A1" xr:uid="{F1349D03-3DAB-48A5-AD82-78898FFA13F2}"/>
    <hyperlink ref="C34" location="TrialBalanceC!A1" display="TrialBalanceC!A1" xr:uid="{D7F1F677-461D-4B7D-87A2-1EB659545F16}"/>
    <hyperlink ref="F1" location="TrialBalanceA!A1" display="TrialBalanceA!A1" xr:uid="{46423B7F-8CD0-4735-8C55-B76D96406A87}"/>
    <hyperlink ref="G1" location="TrialBalanceB!A1" display="TrialBalanceB!A1" xr:uid="{FB5471B1-34AD-4CD5-B2CF-79406E18853D}"/>
    <hyperlink ref="H1" location="TrialBalanceC!A1" display="TrialBalanceC!A1" xr:uid="{82E5D230-FFCB-4911-840A-2F045CCFDDA8}"/>
    <hyperlink ref="K226" location="FARegister!A1" display="WP" xr:uid="{5BCD2976-2EFF-4A4C-8142-77F58A56FDFE}"/>
    <hyperlink ref="K336" location="'NC Receivables'!A1" display="WP" xr:uid="{FB622B72-1B11-4EAA-9D36-583540A80C84}"/>
    <hyperlink ref="K37" location="Expenses!A1" display="WP" xr:uid="{CB3BDD2B-899A-493D-826A-A5914CECC940}"/>
    <hyperlink ref="K47" location="Expenses!A22" display="WP" xr:uid="{FECFF1A1-097F-42CD-855C-69383FE7C65C}"/>
  </hyperlinks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486"/>
  <sheetViews>
    <sheetView view="pageBreakPreview" zoomScale="85" zoomScaleNormal="85" zoomScaleSheetLayoutView="85" workbookViewId="0">
      <pane ySplit="13" topLeftCell="A14" activePane="bottomLeft" state="frozen"/>
      <selection pane="bottomLeft" activeCell="D18" sqref="D18"/>
    </sheetView>
  </sheetViews>
  <sheetFormatPr defaultColWidth="11.28515625" defaultRowHeight="15.75" x14ac:dyDescent="0.25"/>
  <cols>
    <col min="1" max="1" width="12.28515625" style="2" bestFit="1" customWidth="1"/>
    <col min="2" max="2" width="5.85546875" style="5" customWidth="1"/>
    <col min="3" max="3" width="33.85546875" style="2" customWidth="1"/>
    <col min="4" max="4" width="30" style="2" customWidth="1"/>
    <col min="5" max="5" width="44.7109375" style="2" bestFit="1" customWidth="1"/>
    <col min="6" max="6" width="16.85546875" style="4" customWidth="1"/>
    <col min="7" max="7" width="16.140625" style="4" bestFit="1" customWidth="1"/>
    <col min="8" max="8" width="15.7109375" style="4" bestFit="1" customWidth="1"/>
    <col min="9" max="9" width="16.140625" style="4" bestFit="1" customWidth="1"/>
    <col min="10" max="10" width="15.7109375" style="2" bestFit="1" customWidth="1"/>
    <col min="11" max="13" width="11.28515625" style="2" bestFit="1" customWidth="1"/>
    <col min="14" max="255" width="11.28515625" bestFit="1" customWidth="1"/>
  </cols>
  <sheetData>
    <row r="1" spans="1:13" x14ac:dyDescent="0.25">
      <c r="H1" s="41"/>
      <c r="I1" s="41"/>
    </row>
    <row r="2" spans="1:13" x14ac:dyDescent="0.25">
      <c r="C2" s="3" t="str">
        <f>Criteria!E9</f>
        <v>ABC TRUST</v>
      </c>
    </row>
    <row r="3" spans="1:13" x14ac:dyDescent="0.25">
      <c r="H3" s="84" t="s">
        <v>90</v>
      </c>
      <c r="I3" s="84"/>
    </row>
    <row r="4" spans="1:13" x14ac:dyDescent="0.25">
      <c r="C4" s="3" t="s">
        <v>89</v>
      </c>
      <c r="D4" s="41" t="str">
        <f>Criteria!E20</f>
        <v>29 FEBRUARY 2024</v>
      </c>
    </row>
    <row r="5" spans="1:13" x14ac:dyDescent="0.25">
      <c r="H5" s="84" t="s">
        <v>91</v>
      </c>
      <c r="I5" s="84"/>
    </row>
    <row r="6" spans="1:13" x14ac:dyDescent="0.25">
      <c r="C6" s="3" t="s">
        <v>178</v>
      </c>
      <c r="H6" s="41"/>
      <c r="I6" s="41"/>
    </row>
    <row r="7" spans="1:13" x14ac:dyDescent="0.25">
      <c r="C7" s="6"/>
      <c r="D7" s="6"/>
      <c r="E7" s="6"/>
      <c r="F7" s="85"/>
      <c r="G7" s="85"/>
      <c r="H7" s="85"/>
      <c r="I7" s="85"/>
    </row>
    <row r="8" spans="1:13" x14ac:dyDescent="0.25">
      <c r="D8" s="8" t="str">
        <f>IF(F8=0," ","OUT OF BALANCE")</f>
        <v xml:space="preserve"> </v>
      </c>
      <c r="E8" s="8"/>
      <c r="F8" s="4">
        <f>ROUND(F484-G484+H484-I484,2)</f>
        <v>0</v>
      </c>
    </row>
    <row r="9" spans="1:13" x14ac:dyDescent="0.25">
      <c r="D9" s="8" t="s">
        <v>296</v>
      </c>
      <c r="E9" s="8"/>
      <c r="F9" s="4">
        <f>F486</f>
        <v>0</v>
      </c>
    </row>
    <row r="10" spans="1:13" x14ac:dyDescent="0.25">
      <c r="D10" s="8"/>
      <c r="E10" s="8"/>
    </row>
    <row r="11" spans="1:13" x14ac:dyDescent="0.25">
      <c r="A11" s="40" t="s">
        <v>271</v>
      </c>
      <c r="F11" s="511"/>
      <c r="G11" s="511"/>
      <c r="H11" s="511"/>
      <c r="I11" s="511"/>
    </row>
    <row r="12" spans="1:13" x14ac:dyDescent="0.25">
      <c r="A12" s="40" t="s">
        <v>628</v>
      </c>
      <c r="F12" s="511" t="s">
        <v>349</v>
      </c>
      <c r="G12" s="511"/>
      <c r="H12" s="511" t="s">
        <v>101</v>
      </c>
      <c r="I12" s="511"/>
    </row>
    <row r="13" spans="1:13" x14ac:dyDescent="0.25">
      <c r="A13" s="40" t="s">
        <v>272</v>
      </c>
      <c r="B13" s="32" t="s">
        <v>697</v>
      </c>
      <c r="C13" s="32" t="s">
        <v>231</v>
      </c>
      <c r="D13" s="32" t="s">
        <v>252</v>
      </c>
      <c r="E13" s="32" t="s">
        <v>421</v>
      </c>
      <c r="F13" s="22" t="s">
        <v>234</v>
      </c>
      <c r="G13" s="22" t="s">
        <v>235</v>
      </c>
      <c r="H13" s="22" t="s">
        <v>234</v>
      </c>
      <c r="I13" s="22" t="s">
        <v>235</v>
      </c>
    </row>
    <row r="14" spans="1:13" x14ac:dyDescent="0.25">
      <c r="A14" s="40"/>
    </row>
    <row r="15" spans="1:13" x14ac:dyDescent="0.25">
      <c r="A15" s="40" t="str">
        <f t="shared" ref="A15:A78" si="0">IF(COUNTIF(K15:M15,"ERROR")&gt;0,"ERROR"," ")</f>
        <v xml:space="preserve"> </v>
      </c>
      <c r="B15" s="5">
        <v>1</v>
      </c>
      <c r="C15" s="2" t="s">
        <v>1145</v>
      </c>
      <c r="D15" s="39" t="s">
        <v>1146</v>
      </c>
      <c r="E15" s="39"/>
      <c r="F15" s="4">
        <f>FS!O1721</f>
        <v>0</v>
      </c>
      <c r="J15" s="15">
        <f t="shared" ref="J15:J78" si="1">F15-G15+H15-I15</f>
        <v>0</v>
      </c>
      <c r="K15" s="2" t="str">
        <f>IF(COUNTA(D15:E15)=2,"ERROR"," ")</f>
        <v xml:space="preserve"> </v>
      </c>
      <c r="L15" s="2" t="str">
        <f>IF(D15=0," ",IF(COUNTIF(ProfitLoss,D15)&gt;0," ","ERROR"))</f>
        <v xml:space="preserve"> </v>
      </c>
      <c r="M15" s="2" t="str">
        <f>IF(E15=0," ",IF(COUNTIF(BalanceSheet,E15)&gt;0," ","ERROR"))</f>
        <v xml:space="preserve"> </v>
      </c>
    </row>
    <row r="16" spans="1:13" x14ac:dyDescent="0.25">
      <c r="A16" s="40" t="str">
        <f t="shared" si="0"/>
        <v xml:space="preserve"> </v>
      </c>
      <c r="B16" s="25"/>
      <c r="D16" s="39"/>
      <c r="E16" s="39" t="s">
        <v>1147</v>
      </c>
      <c r="I16" s="4">
        <f>F15</f>
        <v>0</v>
      </c>
      <c r="J16" s="15">
        <f t="shared" si="1"/>
        <v>0</v>
      </c>
      <c r="K16" s="2" t="str">
        <f t="shared" ref="K16:K79" si="2">IF(COUNTA(D16:E16)=2,"ERROR"," ")</f>
        <v xml:space="preserve"> </v>
      </c>
      <c r="L16" s="2" t="str">
        <f t="shared" ref="L16:L79" si="3">IF(D16=0," ",IF(COUNTIF(ProfitLoss,D16)&gt;0," ","ERROR"))</f>
        <v xml:space="preserve"> </v>
      </c>
      <c r="M16" s="2" t="str">
        <f t="shared" ref="M16:M79" si="4">IF(E16=0," ",IF(COUNTIF(BalanceSheet,E16)&gt;0," ","ERROR"))</f>
        <v xml:space="preserve"> </v>
      </c>
    </row>
    <row r="17" spans="1:13" x14ac:dyDescent="0.25">
      <c r="A17" s="40" t="str">
        <f t="shared" si="0"/>
        <v xml:space="preserve"> </v>
      </c>
      <c r="D17" s="39"/>
      <c r="E17" s="39"/>
      <c r="J17" s="15">
        <f t="shared" si="1"/>
        <v>0</v>
      </c>
      <c r="K17" s="2" t="str">
        <f t="shared" si="2"/>
        <v xml:space="preserve"> </v>
      </c>
      <c r="L17" s="2" t="str">
        <f t="shared" si="3"/>
        <v xml:space="preserve"> </v>
      </c>
      <c r="M17" s="2" t="str">
        <f t="shared" si="4"/>
        <v xml:space="preserve"> </v>
      </c>
    </row>
    <row r="18" spans="1:13" x14ac:dyDescent="0.25">
      <c r="A18" s="40" t="str">
        <f t="shared" si="0"/>
        <v xml:space="preserve"> </v>
      </c>
      <c r="D18" s="39"/>
      <c r="E18" s="39"/>
      <c r="J18" s="15">
        <f t="shared" si="1"/>
        <v>0</v>
      </c>
      <c r="K18" s="2" t="str">
        <f t="shared" si="2"/>
        <v xml:space="preserve"> </v>
      </c>
      <c r="L18" s="2" t="str">
        <f t="shared" si="3"/>
        <v xml:space="preserve"> </v>
      </c>
      <c r="M18" s="2" t="str">
        <f t="shared" si="4"/>
        <v xml:space="preserve"> </v>
      </c>
    </row>
    <row r="19" spans="1:13" x14ac:dyDescent="0.25">
      <c r="A19" s="40" t="str">
        <f t="shared" si="0"/>
        <v xml:space="preserve"> </v>
      </c>
      <c r="D19" s="39"/>
      <c r="E19" s="39"/>
      <c r="J19" s="15">
        <f t="shared" si="1"/>
        <v>0</v>
      </c>
      <c r="K19" s="2" t="str">
        <f t="shared" si="2"/>
        <v xml:space="preserve"> </v>
      </c>
      <c r="L19" s="2" t="str">
        <f t="shared" si="3"/>
        <v xml:space="preserve"> </v>
      </c>
      <c r="M19" s="2" t="str">
        <f t="shared" si="4"/>
        <v xml:space="preserve"> </v>
      </c>
    </row>
    <row r="20" spans="1:13" x14ac:dyDescent="0.25">
      <c r="A20" s="40" t="str">
        <f t="shared" si="0"/>
        <v xml:space="preserve"> </v>
      </c>
      <c r="B20" s="25"/>
      <c r="D20" s="39"/>
      <c r="E20" s="39"/>
      <c r="J20" s="15">
        <f t="shared" si="1"/>
        <v>0</v>
      </c>
      <c r="K20" s="2" t="str">
        <f t="shared" si="2"/>
        <v xml:space="preserve"> </v>
      </c>
      <c r="L20" s="2" t="str">
        <f t="shared" si="3"/>
        <v xml:space="preserve"> </v>
      </c>
      <c r="M20" s="2" t="str">
        <f t="shared" si="4"/>
        <v xml:space="preserve"> </v>
      </c>
    </row>
    <row r="21" spans="1:13" x14ac:dyDescent="0.25">
      <c r="A21" s="40" t="str">
        <f t="shared" si="0"/>
        <v xml:space="preserve"> </v>
      </c>
      <c r="D21" s="39"/>
      <c r="E21" s="39"/>
      <c r="J21" s="15">
        <f t="shared" si="1"/>
        <v>0</v>
      </c>
      <c r="K21" s="2" t="str">
        <f t="shared" si="2"/>
        <v xml:space="preserve"> </v>
      </c>
      <c r="L21" s="2" t="str">
        <f t="shared" si="3"/>
        <v xml:space="preserve"> </v>
      </c>
      <c r="M21" s="2" t="str">
        <f t="shared" si="4"/>
        <v xml:space="preserve"> </v>
      </c>
    </row>
    <row r="22" spans="1:13" x14ac:dyDescent="0.25">
      <c r="A22" s="40" t="str">
        <f t="shared" si="0"/>
        <v xml:space="preserve"> </v>
      </c>
      <c r="D22" s="39"/>
      <c r="E22" s="39"/>
      <c r="J22" s="15">
        <f t="shared" si="1"/>
        <v>0</v>
      </c>
      <c r="K22" s="2" t="str">
        <f t="shared" si="2"/>
        <v xml:space="preserve"> </v>
      </c>
      <c r="L22" s="2" t="str">
        <f t="shared" si="3"/>
        <v xml:space="preserve"> </v>
      </c>
      <c r="M22" s="2" t="str">
        <f t="shared" si="4"/>
        <v xml:space="preserve"> </v>
      </c>
    </row>
    <row r="23" spans="1:13" x14ac:dyDescent="0.25">
      <c r="A23" s="40" t="str">
        <f t="shared" si="0"/>
        <v xml:space="preserve"> </v>
      </c>
      <c r="D23" s="39"/>
      <c r="E23" s="39"/>
      <c r="J23" s="15">
        <f t="shared" si="1"/>
        <v>0</v>
      </c>
      <c r="K23" s="2" t="str">
        <f t="shared" si="2"/>
        <v xml:space="preserve"> </v>
      </c>
      <c r="L23" s="2" t="str">
        <f t="shared" si="3"/>
        <v xml:space="preserve"> </v>
      </c>
      <c r="M23" s="2" t="str">
        <f t="shared" si="4"/>
        <v xml:space="preserve"> </v>
      </c>
    </row>
    <row r="24" spans="1:13" x14ac:dyDescent="0.25">
      <c r="A24" s="40" t="str">
        <f t="shared" si="0"/>
        <v xml:space="preserve"> </v>
      </c>
      <c r="D24" s="39"/>
      <c r="E24" s="39"/>
      <c r="J24" s="15">
        <f t="shared" si="1"/>
        <v>0</v>
      </c>
      <c r="K24" s="2" t="str">
        <f t="shared" si="2"/>
        <v xml:space="preserve"> </v>
      </c>
      <c r="L24" s="2" t="str">
        <f t="shared" si="3"/>
        <v xml:space="preserve"> </v>
      </c>
      <c r="M24" s="2" t="str">
        <f t="shared" si="4"/>
        <v xml:space="preserve"> </v>
      </c>
    </row>
    <row r="25" spans="1:13" x14ac:dyDescent="0.25">
      <c r="A25" s="40" t="str">
        <f t="shared" si="0"/>
        <v xml:space="preserve"> </v>
      </c>
      <c r="B25" s="25"/>
      <c r="D25" s="39"/>
      <c r="E25" s="39"/>
      <c r="J25" s="15">
        <f t="shared" si="1"/>
        <v>0</v>
      </c>
      <c r="K25" s="2" t="str">
        <f t="shared" si="2"/>
        <v xml:space="preserve"> </v>
      </c>
      <c r="L25" s="2" t="str">
        <f t="shared" si="3"/>
        <v xml:space="preserve"> </v>
      </c>
      <c r="M25" s="2" t="str">
        <f t="shared" si="4"/>
        <v xml:space="preserve"> </v>
      </c>
    </row>
    <row r="26" spans="1:13" x14ac:dyDescent="0.25">
      <c r="A26" s="40" t="str">
        <f t="shared" si="0"/>
        <v xml:space="preserve"> </v>
      </c>
      <c r="D26" s="39"/>
      <c r="E26" s="39"/>
      <c r="J26" s="15">
        <f t="shared" si="1"/>
        <v>0</v>
      </c>
      <c r="K26" s="2" t="str">
        <f t="shared" si="2"/>
        <v xml:space="preserve"> </v>
      </c>
      <c r="L26" s="2" t="str">
        <f t="shared" si="3"/>
        <v xml:space="preserve"> </v>
      </c>
      <c r="M26" s="2" t="str">
        <f t="shared" si="4"/>
        <v xml:space="preserve"> </v>
      </c>
    </row>
    <row r="27" spans="1:13" x14ac:dyDescent="0.25">
      <c r="A27" s="40" t="str">
        <f t="shared" si="0"/>
        <v xml:space="preserve"> </v>
      </c>
      <c r="D27" s="39"/>
      <c r="E27" s="39"/>
      <c r="J27" s="15">
        <f t="shared" si="1"/>
        <v>0</v>
      </c>
      <c r="K27" s="2" t="str">
        <f t="shared" si="2"/>
        <v xml:space="preserve"> </v>
      </c>
      <c r="L27" s="2" t="str">
        <f t="shared" si="3"/>
        <v xml:space="preserve"> </v>
      </c>
      <c r="M27" s="2" t="str">
        <f t="shared" si="4"/>
        <v xml:space="preserve"> </v>
      </c>
    </row>
    <row r="28" spans="1:13" x14ac:dyDescent="0.25">
      <c r="A28" s="40" t="str">
        <f t="shared" si="0"/>
        <v xml:space="preserve"> </v>
      </c>
      <c r="D28" s="39"/>
      <c r="E28" s="39"/>
      <c r="J28" s="15">
        <f t="shared" si="1"/>
        <v>0</v>
      </c>
      <c r="K28" s="2" t="str">
        <f t="shared" si="2"/>
        <v xml:space="preserve"> </v>
      </c>
      <c r="L28" s="2" t="str">
        <f t="shared" si="3"/>
        <v xml:space="preserve"> </v>
      </c>
      <c r="M28" s="2" t="str">
        <f t="shared" si="4"/>
        <v xml:space="preserve"> </v>
      </c>
    </row>
    <row r="29" spans="1:13" x14ac:dyDescent="0.25">
      <c r="A29" s="40" t="str">
        <f t="shared" si="0"/>
        <v xml:space="preserve"> </v>
      </c>
      <c r="D29" s="39"/>
      <c r="E29" s="39"/>
      <c r="J29" s="15">
        <f t="shared" si="1"/>
        <v>0</v>
      </c>
      <c r="K29" s="2" t="str">
        <f t="shared" si="2"/>
        <v xml:space="preserve"> </v>
      </c>
      <c r="L29" s="2" t="str">
        <f t="shared" si="3"/>
        <v xml:space="preserve"> </v>
      </c>
      <c r="M29" s="2" t="str">
        <f t="shared" si="4"/>
        <v xml:space="preserve"> </v>
      </c>
    </row>
    <row r="30" spans="1:13" x14ac:dyDescent="0.25">
      <c r="A30" s="40" t="str">
        <f t="shared" si="0"/>
        <v xml:space="preserve"> </v>
      </c>
      <c r="D30" s="39"/>
      <c r="E30" s="39"/>
      <c r="J30" s="15">
        <f t="shared" si="1"/>
        <v>0</v>
      </c>
      <c r="K30" s="2" t="str">
        <f t="shared" si="2"/>
        <v xml:space="preserve"> </v>
      </c>
      <c r="L30" s="2" t="str">
        <f t="shared" si="3"/>
        <v xml:space="preserve"> </v>
      </c>
      <c r="M30" s="2" t="str">
        <f t="shared" si="4"/>
        <v xml:space="preserve"> </v>
      </c>
    </row>
    <row r="31" spans="1:13" x14ac:dyDescent="0.25">
      <c r="A31" s="40" t="str">
        <f t="shared" si="0"/>
        <v xml:space="preserve"> </v>
      </c>
      <c r="D31" s="39"/>
      <c r="E31" s="39"/>
      <c r="J31" s="15">
        <f t="shared" si="1"/>
        <v>0</v>
      </c>
      <c r="K31" s="2" t="str">
        <f t="shared" si="2"/>
        <v xml:space="preserve"> </v>
      </c>
      <c r="L31" s="2" t="str">
        <f t="shared" si="3"/>
        <v xml:space="preserve"> </v>
      </c>
      <c r="M31" s="2" t="str">
        <f t="shared" si="4"/>
        <v xml:space="preserve"> </v>
      </c>
    </row>
    <row r="32" spans="1:13" x14ac:dyDescent="0.25">
      <c r="A32" s="40" t="str">
        <f t="shared" si="0"/>
        <v xml:space="preserve"> </v>
      </c>
      <c r="D32" s="39"/>
      <c r="E32" s="39"/>
      <c r="J32" s="15">
        <f t="shared" si="1"/>
        <v>0</v>
      </c>
      <c r="K32" s="2" t="str">
        <f t="shared" si="2"/>
        <v xml:space="preserve"> </v>
      </c>
      <c r="L32" s="2" t="str">
        <f t="shared" si="3"/>
        <v xml:space="preserve"> </v>
      </c>
      <c r="M32" s="2" t="str">
        <f t="shared" si="4"/>
        <v xml:space="preserve"> </v>
      </c>
    </row>
    <row r="33" spans="1:13" x14ac:dyDescent="0.25">
      <c r="A33" s="40" t="str">
        <f t="shared" si="0"/>
        <v xml:space="preserve"> </v>
      </c>
      <c r="D33" s="39"/>
      <c r="E33" s="39"/>
      <c r="J33" s="15">
        <f t="shared" si="1"/>
        <v>0</v>
      </c>
      <c r="K33" s="2" t="str">
        <f t="shared" si="2"/>
        <v xml:space="preserve"> </v>
      </c>
      <c r="L33" s="2" t="str">
        <f t="shared" si="3"/>
        <v xml:space="preserve"> </v>
      </c>
      <c r="M33" s="2" t="str">
        <f t="shared" si="4"/>
        <v xml:space="preserve"> </v>
      </c>
    </row>
    <row r="34" spans="1:13" x14ac:dyDescent="0.25">
      <c r="A34" s="40" t="str">
        <f t="shared" si="0"/>
        <v xml:space="preserve"> </v>
      </c>
      <c r="D34" s="39"/>
      <c r="E34" s="39"/>
      <c r="J34" s="15">
        <f t="shared" si="1"/>
        <v>0</v>
      </c>
      <c r="K34" s="2" t="str">
        <f t="shared" si="2"/>
        <v xml:space="preserve"> </v>
      </c>
      <c r="L34" s="2" t="str">
        <f t="shared" si="3"/>
        <v xml:space="preserve"> </v>
      </c>
      <c r="M34" s="2" t="str">
        <f t="shared" si="4"/>
        <v xml:space="preserve"> </v>
      </c>
    </row>
    <row r="35" spans="1:13" x14ac:dyDescent="0.25">
      <c r="A35" s="40" t="str">
        <f t="shared" si="0"/>
        <v xml:space="preserve"> </v>
      </c>
      <c r="D35" s="39"/>
      <c r="E35" s="39"/>
      <c r="J35" s="15">
        <f t="shared" si="1"/>
        <v>0</v>
      </c>
      <c r="K35" s="2" t="str">
        <f t="shared" si="2"/>
        <v xml:space="preserve"> </v>
      </c>
      <c r="L35" s="2" t="str">
        <f t="shared" si="3"/>
        <v xml:space="preserve"> </v>
      </c>
      <c r="M35" s="2" t="str">
        <f t="shared" si="4"/>
        <v xml:space="preserve"> </v>
      </c>
    </row>
    <row r="36" spans="1:13" x14ac:dyDescent="0.25">
      <c r="A36" s="40" t="str">
        <f t="shared" si="0"/>
        <v xml:space="preserve"> </v>
      </c>
      <c r="D36" s="39"/>
      <c r="E36" s="39"/>
      <c r="J36" s="15">
        <f t="shared" si="1"/>
        <v>0</v>
      </c>
      <c r="K36" s="2" t="str">
        <f t="shared" si="2"/>
        <v xml:space="preserve"> </v>
      </c>
      <c r="L36" s="2" t="str">
        <f t="shared" si="3"/>
        <v xml:space="preserve"> </v>
      </c>
      <c r="M36" s="2" t="str">
        <f t="shared" si="4"/>
        <v xml:space="preserve"> </v>
      </c>
    </row>
    <row r="37" spans="1:13" x14ac:dyDescent="0.25">
      <c r="A37" s="40" t="str">
        <f t="shared" si="0"/>
        <v xml:space="preserve"> </v>
      </c>
      <c r="D37" s="39"/>
      <c r="E37" s="39"/>
      <c r="J37" s="15">
        <f t="shared" si="1"/>
        <v>0</v>
      </c>
      <c r="K37" s="2" t="str">
        <f t="shared" si="2"/>
        <v xml:space="preserve"> </v>
      </c>
      <c r="L37" s="2" t="str">
        <f t="shared" si="3"/>
        <v xml:space="preserve"> </v>
      </c>
      <c r="M37" s="2" t="str">
        <f t="shared" si="4"/>
        <v xml:space="preserve"> </v>
      </c>
    </row>
    <row r="38" spans="1:13" x14ac:dyDescent="0.25">
      <c r="A38" s="40" t="str">
        <f t="shared" si="0"/>
        <v xml:space="preserve"> </v>
      </c>
      <c r="D38" s="39"/>
      <c r="E38" s="39"/>
      <c r="J38" s="15">
        <f t="shared" si="1"/>
        <v>0</v>
      </c>
      <c r="K38" s="2" t="str">
        <f t="shared" si="2"/>
        <v xml:space="preserve"> </v>
      </c>
      <c r="L38" s="2" t="str">
        <f t="shared" si="3"/>
        <v xml:space="preserve"> </v>
      </c>
      <c r="M38" s="2" t="str">
        <f t="shared" si="4"/>
        <v xml:space="preserve"> </v>
      </c>
    </row>
    <row r="39" spans="1:13" x14ac:dyDescent="0.25">
      <c r="A39" s="40" t="str">
        <f t="shared" si="0"/>
        <v xml:space="preserve"> </v>
      </c>
      <c r="D39" s="39"/>
      <c r="E39" s="39"/>
      <c r="J39" s="15">
        <f t="shared" si="1"/>
        <v>0</v>
      </c>
      <c r="K39" s="2" t="str">
        <f t="shared" si="2"/>
        <v xml:space="preserve"> </v>
      </c>
      <c r="L39" s="2" t="str">
        <f t="shared" si="3"/>
        <v xml:space="preserve"> </v>
      </c>
      <c r="M39" s="2" t="str">
        <f t="shared" si="4"/>
        <v xml:space="preserve"> </v>
      </c>
    </row>
    <row r="40" spans="1:13" x14ac:dyDescent="0.25">
      <c r="A40" s="40" t="str">
        <f t="shared" si="0"/>
        <v xml:space="preserve"> </v>
      </c>
      <c r="D40" s="39"/>
      <c r="E40" s="39"/>
      <c r="J40" s="15">
        <f t="shared" si="1"/>
        <v>0</v>
      </c>
      <c r="K40" s="2" t="str">
        <f t="shared" si="2"/>
        <v xml:space="preserve"> </v>
      </c>
      <c r="L40" s="2" t="str">
        <f t="shared" si="3"/>
        <v xml:space="preserve"> </v>
      </c>
      <c r="M40" s="2" t="str">
        <f t="shared" si="4"/>
        <v xml:space="preserve"> </v>
      </c>
    </row>
    <row r="41" spans="1:13" x14ac:dyDescent="0.25">
      <c r="A41" s="40" t="str">
        <f t="shared" si="0"/>
        <v xml:space="preserve"> </v>
      </c>
      <c r="D41" s="39"/>
      <c r="E41" s="39"/>
      <c r="J41" s="15">
        <f t="shared" si="1"/>
        <v>0</v>
      </c>
      <c r="K41" s="2" t="str">
        <f t="shared" si="2"/>
        <v xml:space="preserve"> </v>
      </c>
      <c r="L41" s="2" t="str">
        <f t="shared" si="3"/>
        <v xml:space="preserve"> </v>
      </c>
      <c r="M41" s="2" t="str">
        <f t="shared" si="4"/>
        <v xml:space="preserve"> </v>
      </c>
    </row>
    <row r="42" spans="1:13" x14ac:dyDescent="0.25">
      <c r="A42" s="40" t="str">
        <f t="shared" si="0"/>
        <v xml:space="preserve"> </v>
      </c>
      <c r="D42" s="39"/>
      <c r="E42" s="39"/>
      <c r="J42" s="15">
        <f t="shared" si="1"/>
        <v>0</v>
      </c>
      <c r="K42" s="2" t="str">
        <f t="shared" si="2"/>
        <v xml:space="preserve"> </v>
      </c>
      <c r="L42" s="2" t="str">
        <f t="shared" si="3"/>
        <v xml:space="preserve"> </v>
      </c>
      <c r="M42" s="2" t="str">
        <f t="shared" si="4"/>
        <v xml:space="preserve"> </v>
      </c>
    </row>
    <row r="43" spans="1:13" x14ac:dyDescent="0.25">
      <c r="A43" s="40" t="str">
        <f t="shared" si="0"/>
        <v xml:space="preserve"> </v>
      </c>
      <c r="D43" s="39"/>
      <c r="E43" s="39"/>
      <c r="J43" s="15">
        <f t="shared" si="1"/>
        <v>0</v>
      </c>
      <c r="K43" s="2" t="str">
        <f t="shared" si="2"/>
        <v xml:space="preserve"> </v>
      </c>
      <c r="L43" s="2" t="str">
        <f t="shared" si="3"/>
        <v xml:space="preserve"> </v>
      </c>
      <c r="M43" s="2" t="str">
        <f t="shared" si="4"/>
        <v xml:space="preserve"> </v>
      </c>
    </row>
    <row r="44" spans="1:13" x14ac:dyDescent="0.25">
      <c r="A44" s="40" t="str">
        <f t="shared" si="0"/>
        <v xml:space="preserve"> </v>
      </c>
      <c r="D44" s="39"/>
      <c r="E44" s="39"/>
      <c r="J44" s="15">
        <f t="shared" si="1"/>
        <v>0</v>
      </c>
      <c r="K44" s="2" t="str">
        <f t="shared" si="2"/>
        <v xml:space="preserve"> </v>
      </c>
      <c r="L44" s="2" t="str">
        <f t="shared" si="3"/>
        <v xml:space="preserve"> </v>
      </c>
      <c r="M44" s="2" t="str">
        <f t="shared" si="4"/>
        <v xml:space="preserve"> </v>
      </c>
    </row>
    <row r="45" spans="1:13" x14ac:dyDescent="0.25">
      <c r="A45" s="40" t="str">
        <f t="shared" si="0"/>
        <v xml:space="preserve"> </v>
      </c>
      <c r="D45" s="39"/>
      <c r="E45" s="39"/>
      <c r="J45" s="15">
        <f t="shared" si="1"/>
        <v>0</v>
      </c>
      <c r="K45" s="2" t="str">
        <f t="shared" si="2"/>
        <v xml:space="preserve"> </v>
      </c>
      <c r="L45" s="2" t="str">
        <f t="shared" si="3"/>
        <v xml:space="preserve"> </v>
      </c>
      <c r="M45" s="2" t="str">
        <f t="shared" si="4"/>
        <v xml:space="preserve"> </v>
      </c>
    </row>
    <row r="46" spans="1:13" x14ac:dyDescent="0.25">
      <c r="A46" s="40" t="str">
        <f t="shared" si="0"/>
        <v xml:space="preserve"> </v>
      </c>
      <c r="D46" s="39"/>
      <c r="E46" s="39"/>
      <c r="J46" s="15">
        <f t="shared" si="1"/>
        <v>0</v>
      </c>
      <c r="K46" s="2" t="str">
        <f t="shared" si="2"/>
        <v xml:space="preserve"> </v>
      </c>
      <c r="L46" s="2" t="str">
        <f t="shared" si="3"/>
        <v xml:space="preserve"> </v>
      </c>
      <c r="M46" s="2" t="str">
        <f t="shared" si="4"/>
        <v xml:space="preserve"> </v>
      </c>
    </row>
    <row r="47" spans="1:13" x14ac:dyDescent="0.25">
      <c r="A47" s="40" t="str">
        <f t="shared" si="0"/>
        <v xml:space="preserve"> </v>
      </c>
      <c r="D47" s="39"/>
      <c r="E47" s="39"/>
      <c r="J47" s="15">
        <f t="shared" si="1"/>
        <v>0</v>
      </c>
      <c r="K47" s="2" t="str">
        <f t="shared" si="2"/>
        <v xml:space="preserve"> </v>
      </c>
      <c r="L47" s="2" t="str">
        <f t="shared" si="3"/>
        <v xml:space="preserve"> </v>
      </c>
      <c r="M47" s="2" t="str">
        <f t="shared" si="4"/>
        <v xml:space="preserve"> </v>
      </c>
    </row>
    <row r="48" spans="1:13" x14ac:dyDescent="0.25">
      <c r="A48" s="40" t="str">
        <f t="shared" si="0"/>
        <v xml:space="preserve"> </v>
      </c>
      <c r="D48" s="39"/>
      <c r="E48" s="39"/>
      <c r="J48" s="15">
        <f t="shared" si="1"/>
        <v>0</v>
      </c>
      <c r="K48" s="2" t="str">
        <f t="shared" si="2"/>
        <v xml:space="preserve"> </v>
      </c>
      <c r="L48" s="2" t="str">
        <f t="shared" si="3"/>
        <v xml:space="preserve"> </v>
      </c>
      <c r="M48" s="2" t="str">
        <f t="shared" si="4"/>
        <v xml:space="preserve"> </v>
      </c>
    </row>
    <row r="49" spans="1:13" x14ac:dyDescent="0.25">
      <c r="A49" s="40" t="str">
        <f t="shared" si="0"/>
        <v xml:space="preserve"> </v>
      </c>
      <c r="D49" s="39"/>
      <c r="E49" s="39"/>
      <c r="J49" s="15">
        <f t="shared" si="1"/>
        <v>0</v>
      </c>
      <c r="K49" s="2" t="str">
        <f t="shared" si="2"/>
        <v xml:space="preserve"> </v>
      </c>
      <c r="L49" s="2" t="str">
        <f t="shared" si="3"/>
        <v xml:space="preserve"> </v>
      </c>
      <c r="M49" s="2" t="str">
        <f t="shared" si="4"/>
        <v xml:space="preserve"> </v>
      </c>
    </row>
    <row r="50" spans="1:13" x14ac:dyDescent="0.25">
      <c r="A50" s="40" t="str">
        <f t="shared" si="0"/>
        <v xml:space="preserve"> </v>
      </c>
      <c r="C50" s="15"/>
      <c r="D50" s="39"/>
      <c r="E50" s="39"/>
      <c r="J50" s="15">
        <f t="shared" si="1"/>
        <v>0</v>
      </c>
      <c r="K50" s="2" t="str">
        <f t="shared" si="2"/>
        <v xml:space="preserve"> </v>
      </c>
      <c r="L50" s="2" t="str">
        <f t="shared" si="3"/>
        <v xml:space="preserve"> </v>
      </c>
      <c r="M50" s="2" t="str">
        <f t="shared" si="4"/>
        <v xml:space="preserve"> </v>
      </c>
    </row>
    <row r="51" spans="1:13" x14ac:dyDescent="0.25">
      <c r="A51" s="40" t="str">
        <f t="shared" si="0"/>
        <v xml:space="preserve"> </v>
      </c>
      <c r="D51" s="39"/>
      <c r="E51" s="39"/>
      <c r="J51" s="15">
        <f t="shared" si="1"/>
        <v>0</v>
      </c>
      <c r="K51" s="2" t="str">
        <f t="shared" si="2"/>
        <v xml:space="preserve"> </v>
      </c>
      <c r="L51" s="2" t="str">
        <f t="shared" si="3"/>
        <v xml:space="preserve"> </v>
      </c>
      <c r="M51" s="2" t="str">
        <f t="shared" si="4"/>
        <v xml:space="preserve"> </v>
      </c>
    </row>
    <row r="52" spans="1:13" x14ac:dyDescent="0.25">
      <c r="A52" s="40" t="str">
        <f t="shared" si="0"/>
        <v xml:space="preserve"> </v>
      </c>
      <c r="C52" s="15"/>
      <c r="D52" s="39"/>
      <c r="E52" s="39"/>
      <c r="J52" s="15">
        <f t="shared" si="1"/>
        <v>0</v>
      </c>
      <c r="K52" s="2" t="str">
        <f t="shared" si="2"/>
        <v xml:space="preserve"> </v>
      </c>
      <c r="L52" s="2" t="str">
        <f t="shared" si="3"/>
        <v xml:space="preserve"> </v>
      </c>
      <c r="M52" s="2" t="str">
        <f t="shared" si="4"/>
        <v xml:space="preserve"> </v>
      </c>
    </row>
    <row r="53" spans="1:13" x14ac:dyDescent="0.25">
      <c r="A53" s="40" t="str">
        <f t="shared" si="0"/>
        <v xml:space="preserve"> </v>
      </c>
      <c r="D53" s="39"/>
      <c r="E53" s="39"/>
      <c r="J53" s="15">
        <f t="shared" si="1"/>
        <v>0</v>
      </c>
      <c r="K53" s="2" t="str">
        <f t="shared" si="2"/>
        <v xml:space="preserve"> </v>
      </c>
      <c r="L53" s="2" t="str">
        <f t="shared" si="3"/>
        <v xml:space="preserve"> </v>
      </c>
      <c r="M53" s="2" t="str">
        <f t="shared" si="4"/>
        <v xml:space="preserve"> </v>
      </c>
    </row>
    <row r="54" spans="1:13" x14ac:dyDescent="0.25">
      <c r="A54" s="40" t="str">
        <f t="shared" si="0"/>
        <v xml:space="preserve"> </v>
      </c>
      <c r="C54" s="15"/>
      <c r="D54" s="39"/>
      <c r="E54" s="39"/>
      <c r="J54" s="15">
        <f t="shared" si="1"/>
        <v>0</v>
      </c>
      <c r="K54" s="2" t="str">
        <f t="shared" si="2"/>
        <v xml:space="preserve"> </v>
      </c>
      <c r="L54" s="2" t="str">
        <f t="shared" si="3"/>
        <v xml:space="preserve"> </v>
      </c>
      <c r="M54" s="2" t="str">
        <f t="shared" si="4"/>
        <v xml:space="preserve"> </v>
      </c>
    </row>
    <row r="55" spans="1:13" x14ac:dyDescent="0.25">
      <c r="A55" s="40" t="str">
        <f t="shared" si="0"/>
        <v xml:space="preserve"> </v>
      </c>
      <c r="D55" s="39"/>
      <c r="E55" s="39"/>
      <c r="J55" s="15">
        <f t="shared" si="1"/>
        <v>0</v>
      </c>
      <c r="K55" s="2" t="str">
        <f t="shared" si="2"/>
        <v xml:space="preserve"> </v>
      </c>
      <c r="L55" s="2" t="str">
        <f t="shared" si="3"/>
        <v xml:space="preserve"> </v>
      </c>
      <c r="M55" s="2" t="str">
        <f t="shared" si="4"/>
        <v xml:space="preserve"> </v>
      </c>
    </row>
    <row r="56" spans="1:13" x14ac:dyDescent="0.25">
      <c r="A56" s="40" t="str">
        <f t="shared" si="0"/>
        <v xml:space="preserve"> </v>
      </c>
      <c r="D56" s="39"/>
      <c r="E56" s="39"/>
      <c r="J56" s="15">
        <f t="shared" si="1"/>
        <v>0</v>
      </c>
      <c r="K56" s="2" t="str">
        <f t="shared" si="2"/>
        <v xml:space="preserve"> </v>
      </c>
      <c r="L56" s="2" t="str">
        <f t="shared" si="3"/>
        <v xml:space="preserve"> </v>
      </c>
      <c r="M56" s="2" t="str">
        <f t="shared" si="4"/>
        <v xml:space="preserve"> </v>
      </c>
    </row>
    <row r="57" spans="1:13" x14ac:dyDescent="0.25">
      <c r="A57" s="40" t="str">
        <f t="shared" si="0"/>
        <v xml:space="preserve"> </v>
      </c>
      <c r="D57" s="39"/>
      <c r="E57" s="39"/>
      <c r="J57" s="15">
        <f t="shared" si="1"/>
        <v>0</v>
      </c>
      <c r="K57" s="2" t="str">
        <f t="shared" si="2"/>
        <v xml:space="preserve"> </v>
      </c>
      <c r="L57" s="2" t="str">
        <f t="shared" si="3"/>
        <v xml:space="preserve"> </v>
      </c>
      <c r="M57" s="2" t="str">
        <f t="shared" si="4"/>
        <v xml:space="preserve"> </v>
      </c>
    </row>
    <row r="58" spans="1:13" x14ac:dyDescent="0.25">
      <c r="A58" s="40" t="str">
        <f t="shared" si="0"/>
        <v xml:space="preserve"> </v>
      </c>
      <c r="D58" s="39"/>
      <c r="E58" s="39"/>
      <c r="J58" s="15">
        <f t="shared" si="1"/>
        <v>0</v>
      </c>
      <c r="K58" s="2" t="str">
        <f t="shared" si="2"/>
        <v xml:space="preserve"> </v>
      </c>
      <c r="L58" s="2" t="str">
        <f t="shared" si="3"/>
        <v xml:space="preserve"> </v>
      </c>
      <c r="M58" s="2" t="str">
        <f t="shared" si="4"/>
        <v xml:space="preserve"> </v>
      </c>
    </row>
    <row r="59" spans="1:13" x14ac:dyDescent="0.25">
      <c r="A59" s="40" t="str">
        <f t="shared" si="0"/>
        <v xml:space="preserve"> </v>
      </c>
      <c r="D59" s="39"/>
      <c r="E59" s="39"/>
      <c r="J59" s="15">
        <f t="shared" si="1"/>
        <v>0</v>
      </c>
      <c r="K59" s="2" t="str">
        <f t="shared" si="2"/>
        <v xml:space="preserve"> </v>
      </c>
      <c r="L59" s="2" t="str">
        <f t="shared" si="3"/>
        <v xml:space="preserve"> </v>
      </c>
      <c r="M59" s="2" t="str">
        <f t="shared" si="4"/>
        <v xml:space="preserve"> </v>
      </c>
    </row>
    <row r="60" spans="1:13" x14ac:dyDescent="0.25">
      <c r="A60" s="40" t="str">
        <f t="shared" si="0"/>
        <v xml:space="preserve"> </v>
      </c>
      <c r="D60" s="39"/>
      <c r="E60" s="39"/>
      <c r="J60" s="15">
        <f t="shared" si="1"/>
        <v>0</v>
      </c>
      <c r="K60" s="2" t="str">
        <f t="shared" si="2"/>
        <v xml:space="preserve"> </v>
      </c>
      <c r="L60" s="2" t="str">
        <f t="shared" si="3"/>
        <v xml:space="preserve"> </v>
      </c>
      <c r="M60" s="2" t="str">
        <f t="shared" si="4"/>
        <v xml:space="preserve"> </v>
      </c>
    </row>
    <row r="61" spans="1:13" x14ac:dyDescent="0.25">
      <c r="A61" s="40" t="str">
        <f t="shared" si="0"/>
        <v xml:space="preserve"> </v>
      </c>
      <c r="D61" s="39"/>
      <c r="E61" s="39"/>
      <c r="J61" s="15">
        <f t="shared" si="1"/>
        <v>0</v>
      </c>
      <c r="K61" s="2" t="str">
        <f t="shared" si="2"/>
        <v xml:space="preserve"> </v>
      </c>
      <c r="L61" s="2" t="str">
        <f t="shared" si="3"/>
        <v xml:space="preserve"> </v>
      </c>
      <c r="M61" s="2" t="str">
        <f t="shared" si="4"/>
        <v xml:space="preserve"> </v>
      </c>
    </row>
    <row r="62" spans="1:13" x14ac:dyDescent="0.25">
      <c r="A62" s="40" t="str">
        <f t="shared" si="0"/>
        <v xml:space="preserve"> </v>
      </c>
      <c r="D62" s="39"/>
      <c r="E62" s="39"/>
      <c r="J62" s="15">
        <f t="shared" si="1"/>
        <v>0</v>
      </c>
      <c r="K62" s="2" t="str">
        <f t="shared" si="2"/>
        <v xml:space="preserve"> </v>
      </c>
      <c r="L62" s="2" t="str">
        <f t="shared" si="3"/>
        <v xml:space="preserve"> </v>
      </c>
      <c r="M62" s="2" t="str">
        <f t="shared" si="4"/>
        <v xml:space="preserve"> </v>
      </c>
    </row>
    <row r="63" spans="1:13" x14ac:dyDescent="0.25">
      <c r="A63" s="40" t="str">
        <f t="shared" si="0"/>
        <v xml:space="preserve"> </v>
      </c>
      <c r="D63" s="39"/>
      <c r="E63" s="39"/>
      <c r="J63" s="15">
        <f t="shared" si="1"/>
        <v>0</v>
      </c>
      <c r="K63" s="2" t="str">
        <f t="shared" si="2"/>
        <v xml:space="preserve"> </v>
      </c>
      <c r="L63" s="2" t="str">
        <f t="shared" si="3"/>
        <v xml:space="preserve"> </v>
      </c>
      <c r="M63" s="2" t="str">
        <f t="shared" si="4"/>
        <v xml:space="preserve"> </v>
      </c>
    </row>
    <row r="64" spans="1:13" x14ac:dyDescent="0.25">
      <c r="A64" s="40" t="str">
        <f t="shared" si="0"/>
        <v xml:space="preserve"> </v>
      </c>
      <c r="D64" s="39"/>
      <c r="E64" s="39"/>
      <c r="J64" s="15">
        <f t="shared" si="1"/>
        <v>0</v>
      </c>
      <c r="K64" s="2" t="str">
        <f t="shared" si="2"/>
        <v xml:space="preserve"> </v>
      </c>
      <c r="L64" s="2" t="str">
        <f t="shared" si="3"/>
        <v xml:space="preserve"> </v>
      </c>
      <c r="M64" s="2" t="str">
        <f t="shared" si="4"/>
        <v xml:space="preserve"> </v>
      </c>
    </row>
    <row r="65" spans="1:13" x14ac:dyDescent="0.25">
      <c r="A65" s="40" t="str">
        <f t="shared" si="0"/>
        <v xml:space="preserve"> </v>
      </c>
      <c r="D65" s="39"/>
      <c r="E65" s="39"/>
      <c r="J65" s="15">
        <f t="shared" si="1"/>
        <v>0</v>
      </c>
      <c r="K65" s="2" t="str">
        <f t="shared" si="2"/>
        <v xml:space="preserve"> </v>
      </c>
      <c r="L65" s="2" t="str">
        <f t="shared" si="3"/>
        <v xml:space="preserve"> </v>
      </c>
      <c r="M65" s="2" t="str">
        <f t="shared" si="4"/>
        <v xml:space="preserve"> </v>
      </c>
    </row>
    <row r="66" spans="1:13" x14ac:dyDescent="0.25">
      <c r="A66" s="40" t="str">
        <f t="shared" si="0"/>
        <v xml:space="preserve"> </v>
      </c>
      <c r="D66" s="39"/>
      <c r="E66" s="39"/>
      <c r="J66" s="15">
        <f t="shared" si="1"/>
        <v>0</v>
      </c>
      <c r="K66" s="2" t="str">
        <f t="shared" si="2"/>
        <v xml:space="preserve"> </v>
      </c>
      <c r="L66" s="2" t="str">
        <f t="shared" si="3"/>
        <v xml:space="preserve"> </v>
      </c>
      <c r="M66" s="2" t="str">
        <f t="shared" si="4"/>
        <v xml:space="preserve"> </v>
      </c>
    </row>
    <row r="67" spans="1:13" x14ac:dyDescent="0.25">
      <c r="A67" s="40" t="str">
        <f t="shared" si="0"/>
        <v xml:space="preserve"> </v>
      </c>
      <c r="D67" s="39"/>
      <c r="E67" s="39"/>
      <c r="J67" s="15">
        <f t="shared" si="1"/>
        <v>0</v>
      </c>
      <c r="K67" s="2" t="str">
        <f t="shared" si="2"/>
        <v xml:space="preserve"> </v>
      </c>
      <c r="L67" s="2" t="str">
        <f t="shared" si="3"/>
        <v xml:space="preserve"> </v>
      </c>
      <c r="M67" s="2" t="str">
        <f t="shared" si="4"/>
        <v xml:space="preserve"> </v>
      </c>
    </row>
    <row r="68" spans="1:13" x14ac:dyDescent="0.25">
      <c r="A68" s="40" t="str">
        <f t="shared" si="0"/>
        <v xml:space="preserve"> </v>
      </c>
      <c r="D68" s="39"/>
      <c r="E68" s="39"/>
      <c r="J68" s="15">
        <f t="shared" si="1"/>
        <v>0</v>
      </c>
      <c r="K68" s="2" t="str">
        <f t="shared" si="2"/>
        <v xml:space="preserve"> </v>
      </c>
      <c r="L68" s="2" t="str">
        <f t="shared" si="3"/>
        <v xml:space="preserve"> </v>
      </c>
      <c r="M68" s="2" t="str">
        <f t="shared" si="4"/>
        <v xml:space="preserve"> </v>
      </c>
    </row>
    <row r="69" spans="1:13" x14ac:dyDescent="0.25">
      <c r="A69" s="40" t="str">
        <f t="shared" si="0"/>
        <v xml:space="preserve"> </v>
      </c>
      <c r="D69" s="39"/>
      <c r="E69" s="39"/>
      <c r="J69" s="15">
        <f>F69-G69+H69-I69</f>
        <v>0</v>
      </c>
      <c r="K69" s="2" t="str">
        <f t="shared" si="2"/>
        <v xml:space="preserve"> </v>
      </c>
      <c r="L69" s="2" t="str">
        <f t="shared" si="3"/>
        <v xml:space="preserve"> </v>
      </c>
      <c r="M69" s="2" t="str">
        <f t="shared" si="4"/>
        <v xml:space="preserve"> </v>
      </c>
    </row>
    <row r="70" spans="1:13" x14ac:dyDescent="0.25">
      <c r="A70" s="40" t="str">
        <f t="shared" si="0"/>
        <v xml:space="preserve"> </v>
      </c>
      <c r="D70" s="39"/>
      <c r="E70" s="39"/>
      <c r="J70" s="15">
        <f>F70-G70+H70-I70</f>
        <v>0</v>
      </c>
      <c r="K70" s="2" t="str">
        <f t="shared" si="2"/>
        <v xml:space="preserve"> </v>
      </c>
      <c r="L70" s="2" t="str">
        <f t="shared" si="3"/>
        <v xml:space="preserve"> </v>
      </c>
      <c r="M70" s="2" t="str">
        <f t="shared" si="4"/>
        <v xml:space="preserve"> </v>
      </c>
    </row>
    <row r="71" spans="1:13" x14ac:dyDescent="0.25">
      <c r="A71" s="40" t="str">
        <f t="shared" si="0"/>
        <v xml:space="preserve"> </v>
      </c>
      <c r="D71" s="39"/>
      <c r="E71" s="39"/>
      <c r="J71" s="15">
        <f t="shared" si="1"/>
        <v>0</v>
      </c>
      <c r="K71" s="2" t="str">
        <f t="shared" si="2"/>
        <v xml:space="preserve"> </v>
      </c>
      <c r="L71" s="2" t="str">
        <f t="shared" si="3"/>
        <v xml:space="preserve"> </v>
      </c>
      <c r="M71" s="2" t="str">
        <f t="shared" si="4"/>
        <v xml:space="preserve"> </v>
      </c>
    </row>
    <row r="72" spans="1:13" x14ac:dyDescent="0.25">
      <c r="A72" s="40" t="str">
        <f t="shared" si="0"/>
        <v xml:space="preserve"> </v>
      </c>
      <c r="D72" s="39"/>
      <c r="E72" s="39"/>
      <c r="J72" s="15">
        <f t="shared" si="1"/>
        <v>0</v>
      </c>
      <c r="K72" s="2" t="str">
        <f t="shared" si="2"/>
        <v xml:space="preserve"> </v>
      </c>
      <c r="L72" s="2" t="str">
        <f t="shared" si="3"/>
        <v xml:space="preserve"> </v>
      </c>
      <c r="M72" s="2" t="str">
        <f t="shared" si="4"/>
        <v xml:space="preserve"> </v>
      </c>
    </row>
    <row r="73" spans="1:13" x14ac:dyDescent="0.25">
      <c r="A73" s="40" t="str">
        <f t="shared" si="0"/>
        <v xml:space="preserve"> </v>
      </c>
      <c r="D73" s="39"/>
      <c r="E73" s="39"/>
      <c r="J73" s="15">
        <f t="shared" si="1"/>
        <v>0</v>
      </c>
      <c r="K73" s="2" t="str">
        <f t="shared" si="2"/>
        <v xml:space="preserve"> </v>
      </c>
      <c r="L73" s="2" t="str">
        <f t="shared" si="3"/>
        <v xml:space="preserve"> </v>
      </c>
      <c r="M73" s="2" t="str">
        <f t="shared" si="4"/>
        <v xml:space="preserve"> </v>
      </c>
    </row>
    <row r="74" spans="1:13" x14ac:dyDescent="0.25">
      <c r="A74" s="40" t="str">
        <f t="shared" si="0"/>
        <v xml:space="preserve"> </v>
      </c>
      <c r="D74" s="39"/>
      <c r="E74" s="39"/>
      <c r="J74" s="15">
        <f t="shared" si="1"/>
        <v>0</v>
      </c>
      <c r="K74" s="2" t="str">
        <f t="shared" si="2"/>
        <v xml:space="preserve"> </v>
      </c>
      <c r="L74" s="2" t="str">
        <f t="shared" si="3"/>
        <v xml:space="preserve"> </v>
      </c>
      <c r="M74" s="2" t="str">
        <f t="shared" si="4"/>
        <v xml:space="preserve"> </v>
      </c>
    </row>
    <row r="75" spans="1:13" x14ac:dyDescent="0.25">
      <c r="A75" s="40" t="str">
        <f t="shared" si="0"/>
        <v xml:space="preserve"> </v>
      </c>
      <c r="D75" s="39"/>
      <c r="E75" s="39"/>
      <c r="J75" s="15">
        <f t="shared" si="1"/>
        <v>0</v>
      </c>
      <c r="K75" s="2" t="str">
        <f t="shared" si="2"/>
        <v xml:space="preserve"> </v>
      </c>
      <c r="L75" s="2" t="str">
        <f t="shared" si="3"/>
        <v xml:space="preserve"> </v>
      </c>
      <c r="M75" s="2" t="str">
        <f t="shared" si="4"/>
        <v xml:space="preserve"> </v>
      </c>
    </row>
    <row r="76" spans="1:13" x14ac:dyDescent="0.25">
      <c r="A76" s="40" t="str">
        <f t="shared" si="0"/>
        <v xml:space="preserve"> </v>
      </c>
      <c r="D76" s="39"/>
      <c r="E76" s="39"/>
      <c r="J76" s="15">
        <f t="shared" si="1"/>
        <v>0</v>
      </c>
      <c r="K76" s="2" t="str">
        <f t="shared" si="2"/>
        <v xml:space="preserve"> </v>
      </c>
      <c r="L76" s="2" t="str">
        <f t="shared" si="3"/>
        <v xml:space="preserve"> </v>
      </c>
      <c r="M76" s="2" t="str">
        <f t="shared" si="4"/>
        <v xml:space="preserve"> </v>
      </c>
    </row>
    <row r="77" spans="1:13" x14ac:dyDescent="0.25">
      <c r="A77" s="40" t="str">
        <f t="shared" si="0"/>
        <v xml:space="preserve"> </v>
      </c>
      <c r="D77" s="39"/>
      <c r="E77" s="39"/>
      <c r="J77" s="15">
        <f t="shared" si="1"/>
        <v>0</v>
      </c>
      <c r="K77" s="2" t="str">
        <f t="shared" si="2"/>
        <v xml:space="preserve"> </v>
      </c>
      <c r="L77" s="2" t="str">
        <f t="shared" si="3"/>
        <v xml:space="preserve"> </v>
      </c>
      <c r="M77" s="2" t="str">
        <f t="shared" si="4"/>
        <v xml:space="preserve"> </v>
      </c>
    </row>
    <row r="78" spans="1:13" x14ac:dyDescent="0.25">
      <c r="A78" s="40" t="str">
        <f t="shared" si="0"/>
        <v xml:space="preserve"> </v>
      </c>
      <c r="D78" s="39"/>
      <c r="E78" s="39"/>
      <c r="J78" s="15">
        <f t="shared" si="1"/>
        <v>0</v>
      </c>
      <c r="K78" s="2" t="str">
        <f t="shared" si="2"/>
        <v xml:space="preserve"> </v>
      </c>
      <c r="L78" s="2" t="str">
        <f t="shared" si="3"/>
        <v xml:space="preserve"> </v>
      </c>
      <c r="M78" s="2" t="str">
        <f t="shared" si="4"/>
        <v xml:space="preserve"> </v>
      </c>
    </row>
    <row r="79" spans="1:13" x14ac:dyDescent="0.25">
      <c r="A79" s="40" t="str">
        <f t="shared" ref="A79:A142" si="5">IF(COUNTIF(K79:M79,"ERROR")&gt;0,"ERROR"," ")</f>
        <v xml:space="preserve"> </v>
      </c>
      <c r="D79" s="39"/>
      <c r="E79" s="39"/>
      <c r="J79" s="15">
        <f t="shared" ref="J79:J142" si="6">F79-G79+H79-I79</f>
        <v>0</v>
      </c>
      <c r="K79" s="2" t="str">
        <f t="shared" si="2"/>
        <v xml:space="preserve"> </v>
      </c>
      <c r="L79" s="2" t="str">
        <f t="shared" si="3"/>
        <v xml:space="preserve"> </v>
      </c>
      <c r="M79" s="2" t="str">
        <f t="shared" si="4"/>
        <v xml:space="preserve"> </v>
      </c>
    </row>
    <row r="80" spans="1:13" x14ac:dyDescent="0.25">
      <c r="A80" s="40" t="str">
        <f t="shared" si="5"/>
        <v xml:space="preserve"> </v>
      </c>
      <c r="D80" s="39"/>
      <c r="E80" s="39"/>
      <c r="J80" s="15">
        <f t="shared" si="6"/>
        <v>0</v>
      </c>
      <c r="K80" s="2" t="str">
        <f t="shared" ref="K80:K143" si="7">IF(COUNTA(D80:E80)=2,"ERROR"," ")</f>
        <v xml:space="preserve"> </v>
      </c>
      <c r="L80" s="2" t="str">
        <f t="shared" ref="L80:L143" si="8">IF(D80=0," ",IF(COUNTIF(ProfitLoss,D80)&gt;0," ","ERROR"))</f>
        <v xml:space="preserve"> </v>
      </c>
      <c r="M80" s="2" t="str">
        <f t="shared" ref="M80:M143" si="9">IF(E80=0," ",IF(COUNTIF(BalanceSheet,E80)&gt;0," ","ERROR"))</f>
        <v xml:space="preserve"> </v>
      </c>
    </row>
    <row r="81" spans="1:13" x14ac:dyDescent="0.25">
      <c r="A81" s="40" t="str">
        <f t="shared" si="5"/>
        <v xml:space="preserve"> </v>
      </c>
      <c r="D81" s="39"/>
      <c r="E81" s="39"/>
      <c r="J81" s="15">
        <f t="shared" si="6"/>
        <v>0</v>
      </c>
      <c r="K81" s="2" t="str">
        <f t="shared" si="7"/>
        <v xml:space="preserve"> </v>
      </c>
      <c r="L81" s="2" t="str">
        <f t="shared" si="8"/>
        <v xml:space="preserve"> </v>
      </c>
      <c r="M81" s="2" t="str">
        <f t="shared" si="9"/>
        <v xml:space="preserve"> </v>
      </c>
    </row>
    <row r="82" spans="1:13" x14ac:dyDescent="0.25">
      <c r="A82" s="40" t="str">
        <f t="shared" si="5"/>
        <v xml:space="preserve"> </v>
      </c>
      <c r="D82" s="39"/>
      <c r="E82" s="39"/>
      <c r="J82" s="15">
        <f t="shared" si="6"/>
        <v>0</v>
      </c>
      <c r="K82" s="2" t="str">
        <f t="shared" si="7"/>
        <v xml:space="preserve"> </v>
      </c>
      <c r="L82" s="2" t="str">
        <f t="shared" si="8"/>
        <v xml:space="preserve"> </v>
      </c>
      <c r="M82" s="2" t="str">
        <f t="shared" si="9"/>
        <v xml:space="preserve"> </v>
      </c>
    </row>
    <row r="83" spans="1:13" x14ac:dyDescent="0.25">
      <c r="A83" s="40" t="str">
        <f t="shared" si="5"/>
        <v xml:space="preserve"> </v>
      </c>
      <c r="D83" s="39"/>
      <c r="E83" s="39"/>
      <c r="J83" s="15">
        <f t="shared" si="6"/>
        <v>0</v>
      </c>
      <c r="K83" s="2" t="str">
        <f t="shared" si="7"/>
        <v xml:space="preserve"> </v>
      </c>
      <c r="L83" s="2" t="str">
        <f t="shared" si="8"/>
        <v xml:space="preserve"> </v>
      </c>
      <c r="M83" s="2" t="str">
        <f t="shared" si="9"/>
        <v xml:space="preserve"> </v>
      </c>
    </row>
    <row r="84" spans="1:13" x14ac:dyDescent="0.25">
      <c r="A84" s="40" t="str">
        <f t="shared" si="5"/>
        <v xml:space="preserve"> </v>
      </c>
      <c r="D84" s="39"/>
      <c r="E84" s="39"/>
      <c r="J84" s="15">
        <f t="shared" si="6"/>
        <v>0</v>
      </c>
      <c r="K84" s="2" t="str">
        <f t="shared" si="7"/>
        <v xml:space="preserve"> </v>
      </c>
      <c r="L84" s="2" t="str">
        <f t="shared" si="8"/>
        <v xml:space="preserve"> </v>
      </c>
      <c r="M84" s="2" t="str">
        <f t="shared" si="9"/>
        <v xml:space="preserve"> </v>
      </c>
    </row>
    <row r="85" spans="1:13" x14ac:dyDescent="0.25">
      <c r="A85" s="40" t="str">
        <f t="shared" si="5"/>
        <v xml:space="preserve"> </v>
      </c>
      <c r="D85" s="39"/>
      <c r="E85" s="39"/>
      <c r="J85" s="15">
        <f t="shared" si="6"/>
        <v>0</v>
      </c>
      <c r="K85" s="2" t="str">
        <f t="shared" si="7"/>
        <v xml:space="preserve"> </v>
      </c>
      <c r="L85" s="2" t="str">
        <f t="shared" si="8"/>
        <v xml:space="preserve"> </v>
      </c>
      <c r="M85" s="2" t="str">
        <f t="shared" si="9"/>
        <v xml:space="preserve"> </v>
      </c>
    </row>
    <row r="86" spans="1:13" x14ac:dyDescent="0.25">
      <c r="A86" s="40" t="str">
        <f t="shared" si="5"/>
        <v xml:space="preserve"> </v>
      </c>
      <c r="D86" s="39"/>
      <c r="E86" s="39"/>
      <c r="J86" s="15">
        <f t="shared" si="6"/>
        <v>0</v>
      </c>
      <c r="K86" s="2" t="str">
        <f t="shared" si="7"/>
        <v xml:space="preserve"> </v>
      </c>
      <c r="L86" s="2" t="str">
        <f t="shared" si="8"/>
        <v xml:space="preserve"> </v>
      </c>
      <c r="M86" s="2" t="str">
        <f t="shared" si="9"/>
        <v xml:space="preserve"> </v>
      </c>
    </row>
    <row r="87" spans="1:13" x14ac:dyDescent="0.25">
      <c r="A87" s="40" t="str">
        <f t="shared" si="5"/>
        <v xml:space="preserve"> </v>
      </c>
      <c r="D87" s="59"/>
      <c r="E87" s="39"/>
      <c r="J87" s="15">
        <f t="shared" si="6"/>
        <v>0</v>
      </c>
      <c r="K87" s="2" t="str">
        <f t="shared" si="7"/>
        <v xml:space="preserve"> </v>
      </c>
      <c r="L87" s="2" t="str">
        <f t="shared" si="8"/>
        <v xml:space="preserve"> </v>
      </c>
      <c r="M87" s="2" t="str">
        <f t="shared" si="9"/>
        <v xml:space="preserve"> </v>
      </c>
    </row>
    <row r="88" spans="1:13" x14ac:dyDescent="0.25">
      <c r="A88" s="40" t="str">
        <f t="shared" si="5"/>
        <v xml:space="preserve"> </v>
      </c>
      <c r="D88" s="39"/>
      <c r="E88" s="39"/>
      <c r="J88" s="15">
        <f t="shared" si="6"/>
        <v>0</v>
      </c>
      <c r="K88" s="2" t="str">
        <f t="shared" si="7"/>
        <v xml:space="preserve"> </v>
      </c>
      <c r="L88" s="2" t="str">
        <f t="shared" si="8"/>
        <v xml:space="preserve"> </v>
      </c>
      <c r="M88" s="2" t="str">
        <f t="shared" si="9"/>
        <v xml:space="preserve"> </v>
      </c>
    </row>
    <row r="89" spans="1:13" x14ac:dyDescent="0.25">
      <c r="A89" s="40" t="str">
        <f t="shared" si="5"/>
        <v xml:space="preserve"> </v>
      </c>
      <c r="D89" s="39"/>
      <c r="E89" s="39"/>
      <c r="J89" s="15">
        <f t="shared" si="6"/>
        <v>0</v>
      </c>
      <c r="K89" s="2" t="str">
        <f t="shared" si="7"/>
        <v xml:space="preserve"> </v>
      </c>
      <c r="L89" s="2" t="str">
        <f t="shared" si="8"/>
        <v xml:space="preserve"> </v>
      </c>
      <c r="M89" s="2" t="str">
        <f t="shared" si="9"/>
        <v xml:space="preserve"> </v>
      </c>
    </row>
    <row r="90" spans="1:13" x14ac:dyDescent="0.25">
      <c r="A90" s="40" t="str">
        <f t="shared" si="5"/>
        <v xml:space="preserve"> </v>
      </c>
      <c r="D90" s="39"/>
      <c r="E90" s="39"/>
      <c r="J90" s="15">
        <f t="shared" si="6"/>
        <v>0</v>
      </c>
      <c r="K90" s="2" t="str">
        <f t="shared" si="7"/>
        <v xml:space="preserve"> </v>
      </c>
      <c r="L90" s="2" t="str">
        <f t="shared" si="8"/>
        <v xml:space="preserve"> </v>
      </c>
      <c r="M90" s="2" t="str">
        <f t="shared" si="9"/>
        <v xml:space="preserve"> </v>
      </c>
    </row>
    <row r="91" spans="1:13" x14ac:dyDescent="0.25">
      <c r="A91" s="40" t="str">
        <f t="shared" si="5"/>
        <v xml:space="preserve"> </v>
      </c>
      <c r="D91" s="39"/>
      <c r="E91" s="39"/>
      <c r="J91" s="15">
        <f t="shared" si="6"/>
        <v>0</v>
      </c>
      <c r="K91" s="2" t="str">
        <f t="shared" si="7"/>
        <v xml:space="preserve"> </v>
      </c>
      <c r="L91" s="2" t="str">
        <f t="shared" si="8"/>
        <v xml:space="preserve"> </v>
      </c>
      <c r="M91" s="2" t="str">
        <f t="shared" si="9"/>
        <v xml:space="preserve"> </v>
      </c>
    </row>
    <row r="92" spans="1:13" x14ac:dyDescent="0.25">
      <c r="A92" s="40" t="str">
        <f t="shared" si="5"/>
        <v xml:space="preserve"> </v>
      </c>
      <c r="D92" s="39"/>
      <c r="E92" s="39"/>
      <c r="J92" s="15">
        <f t="shared" si="6"/>
        <v>0</v>
      </c>
      <c r="K92" s="2" t="str">
        <f t="shared" si="7"/>
        <v xml:space="preserve"> </v>
      </c>
      <c r="L92" s="2" t="str">
        <f t="shared" si="8"/>
        <v xml:space="preserve"> </v>
      </c>
      <c r="M92" s="2" t="str">
        <f t="shared" si="9"/>
        <v xml:space="preserve"> </v>
      </c>
    </row>
    <row r="93" spans="1:13" x14ac:dyDescent="0.25">
      <c r="A93" s="40" t="str">
        <f t="shared" si="5"/>
        <v xml:space="preserve"> </v>
      </c>
      <c r="D93" s="39"/>
      <c r="E93" s="39"/>
      <c r="J93" s="15">
        <f t="shared" si="6"/>
        <v>0</v>
      </c>
      <c r="K93" s="2" t="str">
        <f t="shared" si="7"/>
        <v xml:space="preserve"> </v>
      </c>
      <c r="L93" s="2" t="str">
        <f t="shared" si="8"/>
        <v xml:space="preserve"> </v>
      </c>
      <c r="M93" s="2" t="str">
        <f t="shared" si="9"/>
        <v xml:space="preserve"> </v>
      </c>
    </row>
    <row r="94" spans="1:13" x14ac:dyDescent="0.25">
      <c r="A94" s="40" t="str">
        <f t="shared" si="5"/>
        <v xml:space="preserve"> </v>
      </c>
      <c r="D94" s="39"/>
      <c r="E94" s="39"/>
      <c r="J94" s="15">
        <f t="shared" si="6"/>
        <v>0</v>
      </c>
      <c r="K94" s="2" t="str">
        <f t="shared" si="7"/>
        <v xml:space="preserve"> </v>
      </c>
      <c r="L94" s="2" t="str">
        <f t="shared" si="8"/>
        <v xml:space="preserve"> </v>
      </c>
      <c r="M94" s="2" t="str">
        <f t="shared" si="9"/>
        <v xml:space="preserve"> </v>
      </c>
    </row>
    <row r="95" spans="1:13" x14ac:dyDescent="0.25">
      <c r="A95" s="40" t="str">
        <f t="shared" si="5"/>
        <v xml:space="preserve"> </v>
      </c>
      <c r="D95" s="39"/>
      <c r="E95" s="39"/>
      <c r="J95" s="15">
        <f t="shared" si="6"/>
        <v>0</v>
      </c>
      <c r="K95" s="2" t="str">
        <f t="shared" si="7"/>
        <v xml:space="preserve"> </v>
      </c>
      <c r="L95" s="2" t="str">
        <f t="shared" si="8"/>
        <v xml:space="preserve"> </v>
      </c>
      <c r="M95" s="2" t="str">
        <f t="shared" si="9"/>
        <v xml:space="preserve"> </v>
      </c>
    </row>
    <row r="96" spans="1:13" x14ac:dyDescent="0.25">
      <c r="A96" s="40" t="str">
        <f t="shared" si="5"/>
        <v xml:space="preserve"> </v>
      </c>
      <c r="D96" s="39"/>
      <c r="E96" s="39"/>
      <c r="J96" s="15">
        <f t="shared" si="6"/>
        <v>0</v>
      </c>
      <c r="K96" s="2" t="str">
        <f t="shared" si="7"/>
        <v xml:space="preserve"> </v>
      </c>
      <c r="L96" s="2" t="str">
        <f t="shared" si="8"/>
        <v xml:space="preserve"> </v>
      </c>
      <c r="M96" s="2" t="str">
        <f t="shared" si="9"/>
        <v xml:space="preserve"> </v>
      </c>
    </row>
    <row r="97" spans="1:13" x14ac:dyDescent="0.25">
      <c r="A97" s="40" t="str">
        <f t="shared" si="5"/>
        <v xml:space="preserve"> </v>
      </c>
      <c r="D97" s="39"/>
      <c r="E97" s="39"/>
      <c r="J97" s="15">
        <f t="shared" si="6"/>
        <v>0</v>
      </c>
      <c r="K97" s="2" t="str">
        <f t="shared" si="7"/>
        <v xml:space="preserve"> </v>
      </c>
      <c r="L97" s="2" t="str">
        <f t="shared" si="8"/>
        <v xml:space="preserve"> </v>
      </c>
      <c r="M97" s="2" t="str">
        <f t="shared" si="9"/>
        <v xml:space="preserve"> </v>
      </c>
    </row>
    <row r="98" spans="1:13" x14ac:dyDescent="0.25">
      <c r="A98" s="40" t="str">
        <f t="shared" si="5"/>
        <v xml:space="preserve"> </v>
      </c>
      <c r="D98" s="39"/>
      <c r="E98" s="39"/>
      <c r="J98" s="15">
        <f t="shared" si="6"/>
        <v>0</v>
      </c>
      <c r="K98" s="2" t="str">
        <f t="shared" si="7"/>
        <v xml:space="preserve"> </v>
      </c>
      <c r="L98" s="2" t="str">
        <f t="shared" si="8"/>
        <v xml:space="preserve"> </v>
      </c>
      <c r="M98" s="2" t="str">
        <f t="shared" si="9"/>
        <v xml:space="preserve"> </v>
      </c>
    </row>
    <row r="99" spans="1:13" x14ac:dyDescent="0.25">
      <c r="A99" s="40" t="str">
        <f t="shared" si="5"/>
        <v xml:space="preserve"> </v>
      </c>
      <c r="D99" s="39"/>
      <c r="E99" s="39"/>
      <c r="J99" s="15">
        <f t="shared" si="6"/>
        <v>0</v>
      </c>
      <c r="K99" s="2" t="str">
        <f t="shared" si="7"/>
        <v xml:space="preserve"> </v>
      </c>
      <c r="L99" s="2" t="str">
        <f t="shared" si="8"/>
        <v xml:space="preserve"> </v>
      </c>
      <c r="M99" s="2" t="str">
        <f t="shared" si="9"/>
        <v xml:space="preserve"> </v>
      </c>
    </row>
    <row r="100" spans="1:13" x14ac:dyDescent="0.25">
      <c r="A100" s="40" t="str">
        <f t="shared" si="5"/>
        <v xml:space="preserve"> </v>
      </c>
      <c r="D100" s="39"/>
      <c r="E100" s="39"/>
      <c r="J100" s="15">
        <f t="shared" si="6"/>
        <v>0</v>
      </c>
      <c r="K100" s="2" t="str">
        <f t="shared" si="7"/>
        <v xml:space="preserve"> </v>
      </c>
      <c r="L100" s="2" t="str">
        <f t="shared" si="8"/>
        <v xml:space="preserve"> </v>
      </c>
      <c r="M100" s="2" t="str">
        <f t="shared" si="9"/>
        <v xml:space="preserve"> </v>
      </c>
    </row>
    <row r="101" spans="1:13" x14ac:dyDescent="0.25">
      <c r="A101" s="40" t="str">
        <f t="shared" si="5"/>
        <v xml:space="preserve"> </v>
      </c>
      <c r="D101" s="39"/>
      <c r="E101" s="39"/>
      <c r="J101" s="15">
        <f t="shared" si="6"/>
        <v>0</v>
      </c>
      <c r="K101" s="2" t="str">
        <f t="shared" si="7"/>
        <v xml:space="preserve"> </v>
      </c>
      <c r="L101" s="2" t="str">
        <f t="shared" si="8"/>
        <v xml:space="preserve"> </v>
      </c>
      <c r="M101" s="2" t="str">
        <f t="shared" si="9"/>
        <v xml:space="preserve"> </v>
      </c>
    </row>
    <row r="102" spans="1:13" x14ac:dyDescent="0.25">
      <c r="A102" s="40" t="str">
        <f t="shared" si="5"/>
        <v xml:space="preserve"> </v>
      </c>
      <c r="D102" s="39"/>
      <c r="E102" s="39"/>
      <c r="J102" s="15">
        <f t="shared" si="6"/>
        <v>0</v>
      </c>
      <c r="K102" s="2" t="str">
        <f t="shared" si="7"/>
        <v xml:space="preserve"> </v>
      </c>
      <c r="L102" s="2" t="str">
        <f t="shared" si="8"/>
        <v xml:space="preserve"> </v>
      </c>
      <c r="M102" s="2" t="str">
        <f t="shared" si="9"/>
        <v xml:space="preserve"> </v>
      </c>
    </row>
    <row r="103" spans="1:13" x14ac:dyDescent="0.25">
      <c r="A103" s="40" t="str">
        <f t="shared" si="5"/>
        <v xml:space="preserve"> </v>
      </c>
      <c r="D103" s="39"/>
      <c r="E103" s="39"/>
      <c r="J103" s="15">
        <f t="shared" si="6"/>
        <v>0</v>
      </c>
      <c r="K103" s="2" t="str">
        <f t="shared" si="7"/>
        <v xml:space="preserve"> </v>
      </c>
      <c r="L103" s="2" t="str">
        <f t="shared" si="8"/>
        <v xml:space="preserve"> </v>
      </c>
      <c r="M103" s="2" t="str">
        <f t="shared" si="9"/>
        <v xml:space="preserve"> </v>
      </c>
    </row>
    <row r="104" spans="1:13" x14ac:dyDescent="0.25">
      <c r="A104" s="40" t="str">
        <f t="shared" si="5"/>
        <v xml:space="preserve"> </v>
      </c>
      <c r="D104" s="39"/>
      <c r="E104" s="39"/>
      <c r="J104" s="15">
        <f t="shared" si="6"/>
        <v>0</v>
      </c>
      <c r="K104" s="2" t="str">
        <f t="shared" si="7"/>
        <v xml:space="preserve"> </v>
      </c>
      <c r="L104" s="2" t="str">
        <f t="shared" si="8"/>
        <v xml:space="preserve"> </v>
      </c>
      <c r="M104" s="2" t="str">
        <f t="shared" si="9"/>
        <v xml:space="preserve"> </v>
      </c>
    </row>
    <row r="105" spans="1:13" x14ac:dyDescent="0.25">
      <c r="A105" s="40" t="str">
        <f t="shared" si="5"/>
        <v xml:space="preserve"> </v>
      </c>
      <c r="D105" s="39"/>
      <c r="E105" s="39"/>
      <c r="J105" s="15">
        <f t="shared" si="6"/>
        <v>0</v>
      </c>
      <c r="K105" s="2" t="str">
        <f t="shared" si="7"/>
        <v xml:space="preserve"> </v>
      </c>
      <c r="L105" s="2" t="str">
        <f t="shared" si="8"/>
        <v xml:space="preserve"> </v>
      </c>
      <c r="M105" s="2" t="str">
        <f t="shared" si="9"/>
        <v xml:space="preserve"> </v>
      </c>
    </row>
    <row r="106" spans="1:13" x14ac:dyDescent="0.25">
      <c r="A106" s="40" t="str">
        <f t="shared" si="5"/>
        <v xml:space="preserve"> </v>
      </c>
      <c r="D106" s="39"/>
      <c r="E106" s="39"/>
      <c r="J106" s="15">
        <f t="shared" si="6"/>
        <v>0</v>
      </c>
      <c r="K106" s="2" t="str">
        <f t="shared" si="7"/>
        <v xml:space="preserve"> </v>
      </c>
      <c r="L106" s="2" t="str">
        <f t="shared" si="8"/>
        <v xml:space="preserve"> </v>
      </c>
      <c r="M106" s="2" t="str">
        <f t="shared" si="9"/>
        <v xml:space="preserve"> </v>
      </c>
    </row>
    <row r="107" spans="1:13" x14ac:dyDescent="0.25">
      <c r="A107" s="40" t="str">
        <f t="shared" si="5"/>
        <v xml:space="preserve"> </v>
      </c>
      <c r="D107" s="39"/>
      <c r="E107" s="39"/>
      <c r="J107" s="15">
        <f t="shared" si="6"/>
        <v>0</v>
      </c>
      <c r="K107" s="2" t="str">
        <f t="shared" si="7"/>
        <v xml:space="preserve"> </v>
      </c>
      <c r="L107" s="2" t="str">
        <f t="shared" si="8"/>
        <v xml:space="preserve"> </v>
      </c>
      <c r="M107" s="2" t="str">
        <f t="shared" si="9"/>
        <v xml:space="preserve"> </v>
      </c>
    </row>
    <row r="108" spans="1:13" x14ac:dyDescent="0.25">
      <c r="A108" s="40" t="str">
        <f t="shared" si="5"/>
        <v xml:space="preserve"> </v>
      </c>
      <c r="D108" s="39"/>
      <c r="E108" s="39"/>
      <c r="J108" s="15">
        <f t="shared" si="6"/>
        <v>0</v>
      </c>
      <c r="K108" s="2" t="str">
        <f t="shared" si="7"/>
        <v xml:space="preserve"> </v>
      </c>
      <c r="L108" s="2" t="str">
        <f t="shared" si="8"/>
        <v xml:space="preserve"> </v>
      </c>
      <c r="M108" s="2" t="str">
        <f t="shared" si="9"/>
        <v xml:space="preserve"> </v>
      </c>
    </row>
    <row r="109" spans="1:13" x14ac:dyDescent="0.25">
      <c r="A109" s="40" t="str">
        <f t="shared" si="5"/>
        <v xml:space="preserve"> </v>
      </c>
      <c r="D109" s="39"/>
      <c r="E109" s="39"/>
      <c r="J109" s="15">
        <f t="shared" si="6"/>
        <v>0</v>
      </c>
      <c r="K109" s="2" t="str">
        <f t="shared" si="7"/>
        <v xml:space="preserve"> </v>
      </c>
      <c r="L109" s="2" t="str">
        <f t="shared" si="8"/>
        <v xml:space="preserve"> </v>
      </c>
      <c r="M109" s="2" t="str">
        <f t="shared" si="9"/>
        <v xml:space="preserve"> </v>
      </c>
    </row>
    <row r="110" spans="1:13" x14ac:dyDescent="0.25">
      <c r="A110" s="40" t="str">
        <f t="shared" si="5"/>
        <v xml:space="preserve"> </v>
      </c>
      <c r="B110" s="18"/>
      <c r="D110" s="39"/>
      <c r="E110" s="39"/>
      <c r="J110" s="15">
        <f t="shared" si="6"/>
        <v>0</v>
      </c>
      <c r="K110" s="2" t="str">
        <f t="shared" si="7"/>
        <v xml:space="preserve"> </v>
      </c>
      <c r="L110" s="2" t="str">
        <f t="shared" si="8"/>
        <v xml:space="preserve"> </v>
      </c>
      <c r="M110" s="2" t="str">
        <f t="shared" si="9"/>
        <v xml:space="preserve"> </v>
      </c>
    </row>
    <row r="111" spans="1:13" x14ac:dyDescent="0.25">
      <c r="A111" s="40" t="str">
        <f t="shared" si="5"/>
        <v xml:space="preserve"> </v>
      </c>
      <c r="D111" s="39"/>
      <c r="E111" s="39"/>
      <c r="J111" s="15">
        <f t="shared" si="6"/>
        <v>0</v>
      </c>
      <c r="K111" s="2" t="str">
        <f t="shared" si="7"/>
        <v xml:space="preserve"> </v>
      </c>
      <c r="L111" s="2" t="str">
        <f t="shared" si="8"/>
        <v xml:space="preserve"> </v>
      </c>
      <c r="M111" s="2" t="str">
        <f t="shared" si="9"/>
        <v xml:space="preserve"> </v>
      </c>
    </row>
    <row r="112" spans="1:13" x14ac:dyDescent="0.25">
      <c r="A112" s="40" t="str">
        <f t="shared" si="5"/>
        <v xml:space="preserve"> </v>
      </c>
      <c r="D112" s="39"/>
      <c r="E112" s="39"/>
      <c r="J112" s="15">
        <f t="shared" si="6"/>
        <v>0</v>
      </c>
      <c r="K112" s="2" t="str">
        <f t="shared" si="7"/>
        <v xml:space="preserve"> </v>
      </c>
      <c r="L112" s="2" t="str">
        <f t="shared" si="8"/>
        <v xml:space="preserve"> </v>
      </c>
      <c r="M112" s="2" t="str">
        <f t="shared" si="9"/>
        <v xml:space="preserve"> </v>
      </c>
    </row>
    <row r="113" spans="1:13" x14ac:dyDescent="0.25">
      <c r="A113" s="40" t="str">
        <f t="shared" si="5"/>
        <v xml:space="preserve"> </v>
      </c>
      <c r="D113" s="39"/>
      <c r="E113" s="39"/>
      <c r="J113" s="15">
        <f t="shared" si="6"/>
        <v>0</v>
      </c>
      <c r="K113" s="2" t="str">
        <f t="shared" si="7"/>
        <v xml:space="preserve"> </v>
      </c>
      <c r="L113" s="2" t="str">
        <f t="shared" si="8"/>
        <v xml:space="preserve"> </v>
      </c>
      <c r="M113" s="2" t="str">
        <f t="shared" si="9"/>
        <v xml:space="preserve"> </v>
      </c>
    </row>
    <row r="114" spans="1:13" x14ac:dyDescent="0.25">
      <c r="A114" s="40" t="str">
        <f t="shared" si="5"/>
        <v xml:space="preserve"> </v>
      </c>
      <c r="D114" s="39"/>
      <c r="E114" s="39"/>
      <c r="J114" s="15">
        <f t="shared" si="6"/>
        <v>0</v>
      </c>
      <c r="K114" s="2" t="str">
        <f t="shared" si="7"/>
        <v xml:space="preserve"> </v>
      </c>
      <c r="L114" s="2" t="str">
        <f t="shared" si="8"/>
        <v xml:space="preserve"> </v>
      </c>
      <c r="M114" s="2" t="str">
        <f t="shared" si="9"/>
        <v xml:space="preserve"> </v>
      </c>
    </row>
    <row r="115" spans="1:13" x14ac:dyDescent="0.25">
      <c r="A115" s="40" t="str">
        <f t="shared" si="5"/>
        <v xml:space="preserve"> </v>
      </c>
      <c r="D115" s="39"/>
      <c r="E115" s="39"/>
      <c r="J115" s="15">
        <f t="shared" si="6"/>
        <v>0</v>
      </c>
      <c r="K115" s="2" t="str">
        <f t="shared" si="7"/>
        <v xml:space="preserve"> </v>
      </c>
      <c r="L115" s="2" t="str">
        <f t="shared" si="8"/>
        <v xml:space="preserve"> </v>
      </c>
      <c r="M115" s="2" t="str">
        <f t="shared" si="9"/>
        <v xml:space="preserve"> </v>
      </c>
    </row>
    <row r="116" spans="1:13" x14ac:dyDescent="0.25">
      <c r="A116" s="40" t="str">
        <f t="shared" si="5"/>
        <v xml:space="preserve"> </v>
      </c>
      <c r="D116" s="39"/>
      <c r="E116" s="39"/>
      <c r="J116" s="15">
        <f t="shared" si="6"/>
        <v>0</v>
      </c>
      <c r="K116" s="2" t="str">
        <f t="shared" si="7"/>
        <v xml:space="preserve"> </v>
      </c>
      <c r="L116" s="2" t="str">
        <f t="shared" si="8"/>
        <v xml:space="preserve"> </v>
      </c>
      <c r="M116" s="2" t="str">
        <f t="shared" si="9"/>
        <v xml:space="preserve"> </v>
      </c>
    </row>
    <row r="117" spans="1:13" x14ac:dyDescent="0.25">
      <c r="A117" s="40" t="str">
        <f t="shared" si="5"/>
        <v xml:space="preserve"> </v>
      </c>
      <c r="D117" s="39"/>
      <c r="E117" s="39"/>
      <c r="J117" s="15">
        <f t="shared" si="6"/>
        <v>0</v>
      </c>
      <c r="K117" s="2" t="str">
        <f t="shared" si="7"/>
        <v xml:space="preserve"> </v>
      </c>
      <c r="L117" s="2" t="str">
        <f t="shared" si="8"/>
        <v xml:space="preserve"> </v>
      </c>
      <c r="M117" s="2" t="str">
        <f t="shared" si="9"/>
        <v xml:space="preserve"> </v>
      </c>
    </row>
    <row r="118" spans="1:13" x14ac:dyDescent="0.25">
      <c r="A118" s="40" t="str">
        <f t="shared" si="5"/>
        <v xml:space="preserve"> </v>
      </c>
      <c r="D118" s="39"/>
      <c r="E118" s="39"/>
      <c r="J118" s="15">
        <f t="shared" si="6"/>
        <v>0</v>
      </c>
      <c r="K118" s="2" t="str">
        <f t="shared" si="7"/>
        <v xml:space="preserve"> </v>
      </c>
      <c r="L118" s="2" t="str">
        <f t="shared" si="8"/>
        <v xml:space="preserve"> </v>
      </c>
      <c r="M118" s="2" t="str">
        <f t="shared" si="9"/>
        <v xml:space="preserve"> </v>
      </c>
    </row>
    <row r="119" spans="1:13" x14ac:dyDescent="0.25">
      <c r="A119" s="40" t="str">
        <f t="shared" si="5"/>
        <v xml:space="preserve"> </v>
      </c>
      <c r="D119" s="39"/>
      <c r="E119" s="39"/>
      <c r="J119" s="15">
        <f t="shared" si="6"/>
        <v>0</v>
      </c>
      <c r="K119" s="2" t="str">
        <f t="shared" si="7"/>
        <v xml:space="preserve"> </v>
      </c>
      <c r="L119" s="2" t="str">
        <f t="shared" si="8"/>
        <v xml:space="preserve"> </v>
      </c>
      <c r="M119" s="2" t="str">
        <f t="shared" si="9"/>
        <v xml:space="preserve"> </v>
      </c>
    </row>
    <row r="120" spans="1:13" x14ac:dyDescent="0.25">
      <c r="A120" s="40" t="str">
        <f t="shared" si="5"/>
        <v xml:space="preserve"> </v>
      </c>
      <c r="D120" s="39"/>
      <c r="E120" s="39"/>
      <c r="J120" s="15">
        <f t="shared" si="6"/>
        <v>0</v>
      </c>
      <c r="K120" s="2" t="str">
        <f t="shared" si="7"/>
        <v xml:space="preserve"> </v>
      </c>
      <c r="L120" s="2" t="str">
        <f t="shared" si="8"/>
        <v xml:space="preserve"> </v>
      </c>
      <c r="M120" s="2" t="str">
        <f t="shared" si="9"/>
        <v xml:space="preserve"> </v>
      </c>
    </row>
    <row r="121" spans="1:13" x14ac:dyDescent="0.25">
      <c r="A121" s="40" t="str">
        <f t="shared" si="5"/>
        <v xml:space="preserve"> </v>
      </c>
      <c r="D121" s="39"/>
      <c r="E121" s="39"/>
      <c r="J121" s="15">
        <f t="shared" si="6"/>
        <v>0</v>
      </c>
      <c r="K121" s="2" t="str">
        <f t="shared" si="7"/>
        <v xml:space="preserve"> </v>
      </c>
      <c r="L121" s="2" t="str">
        <f t="shared" si="8"/>
        <v xml:space="preserve"> </v>
      </c>
      <c r="M121" s="2" t="str">
        <f t="shared" si="9"/>
        <v xml:space="preserve"> </v>
      </c>
    </row>
    <row r="122" spans="1:13" x14ac:dyDescent="0.25">
      <c r="A122" s="40" t="str">
        <f t="shared" si="5"/>
        <v xml:space="preserve"> </v>
      </c>
      <c r="D122" s="39"/>
      <c r="E122" s="39"/>
      <c r="J122" s="15">
        <f t="shared" si="6"/>
        <v>0</v>
      </c>
      <c r="K122" s="2" t="str">
        <f t="shared" si="7"/>
        <v xml:space="preserve"> </v>
      </c>
      <c r="L122" s="2" t="str">
        <f t="shared" si="8"/>
        <v xml:space="preserve"> </v>
      </c>
      <c r="M122" s="2" t="str">
        <f t="shared" si="9"/>
        <v xml:space="preserve"> </v>
      </c>
    </row>
    <row r="123" spans="1:13" x14ac:dyDescent="0.25">
      <c r="A123" s="40" t="str">
        <f t="shared" si="5"/>
        <v xml:space="preserve"> </v>
      </c>
      <c r="D123" s="39"/>
      <c r="E123" s="39"/>
      <c r="J123" s="15">
        <f t="shared" si="6"/>
        <v>0</v>
      </c>
      <c r="K123" s="2" t="str">
        <f t="shared" si="7"/>
        <v xml:space="preserve"> </v>
      </c>
      <c r="L123" s="2" t="str">
        <f t="shared" si="8"/>
        <v xml:space="preserve"> </v>
      </c>
      <c r="M123" s="2" t="str">
        <f t="shared" si="9"/>
        <v xml:space="preserve"> </v>
      </c>
    </row>
    <row r="124" spans="1:13" x14ac:dyDescent="0.25">
      <c r="A124" s="40" t="str">
        <f t="shared" si="5"/>
        <v xml:space="preserve"> </v>
      </c>
      <c r="C124" s="46"/>
      <c r="D124" s="39"/>
      <c r="E124" s="39"/>
      <c r="J124" s="15">
        <f t="shared" si="6"/>
        <v>0</v>
      </c>
      <c r="K124" s="2" t="str">
        <f t="shared" si="7"/>
        <v xml:space="preserve"> </v>
      </c>
      <c r="L124" s="2" t="str">
        <f t="shared" si="8"/>
        <v xml:space="preserve"> </v>
      </c>
      <c r="M124" s="2" t="str">
        <f t="shared" si="9"/>
        <v xml:space="preserve"> </v>
      </c>
    </row>
    <row r="125" spans="1:13" x14ac:dyDescent="0.25">
      <c r="A125" s="40" t="str">
        <f t="shared" si="5"/>
        <v xml:space="preserve"> </v>
      </c>
      <c r="D125" s="39"/>
      <c r="E125" s="39"/>
      <c r="J125" s="15">
        <f t="shared" si="6"/>
        <v>0</v>
      </c>
      <c r="K125" s="2" t="str">
        <f t="shared" si="7"/>
        <v xml:space="preserve"> </v>
      </c>
      <c r="L125" s="2" t="str">
        <f t="shared" si="8"/>
        <v xml:space="preserve"> </v>
      </c>
      <c r="M125" s="2" t="str">
        <f t="shared" si="9"/>
        <v xml:space="preserve"> </v>
      </c>
    </row>
    <row r="126" spans="1:13" x14ac:dyDescent="0.25">
      <c r="A126" s="40" t="str">
        <f t="shared" si="5"/>
        <v xml:space="preserve"> </v>
      </c>
      <c r="D126" s="39"/>
      <c r="E126" s="39"/>
      <c r="J126" s="15">
        <f t="shared" si="6"/>
        <v>0</v>
      </c>
      <c r="K126" s="2" t="str">
        <f t="shared" si="7"/>
        <v xml:space="preserve"> </v>
      </c>
      <c r="L126" s="2" t="str">
        <f t="shared" si="8"/>
        <v xml:space="preserve"> </v>
      </c>
      <c r="M126" s="2" t="str">
        <f t="shared" si="9"/>
        <v xml:space="preserve"> </v>
      </c>
    </row>
    <row r="127" spans="1:13" x14ac:dyDescent="0.25">
      <c r="A127" s="40" t="str">
        <f t="shared" si="5"/>
        <v xml:space="preserve"> </v>
      </c>
      <c r="D127" s="39"/>
      <c r="E127" s="39"/>
      <c r="J127" s="15">
        <f t="shared" si="6"/>
        <v>0</v>
      </c>
      <c r="K127" s="2" t="str">
        <f t="shared" si="7"/>
        <v xml:space="preserve"> </v>
      </c>
      <c r="L127" s="2" t="str">
        <f t="shared" si="8"/>
        <v xml:space="preserve"> </v>
      </c>
      <c r="M127" s="2" t="str">
        <f t="shared" si="9"/>
        <v xml:space="preserve"> </v>
      </c>
    </row>
    <row r="128" spans="1:13" x14ac:dyDescent="0.25">
      <c r="A128" s="40" t="str">
        <f t="shared" si="5"/>
        <v xml:space="preserve"> </v>
      </c>
      <c r="D128" s="39"/>
      <c r="E128" s="39"/>
      <c r="J128" s="15">
        <f t="shared" si="6"/>
        <v>0</v>
      </c>
      <c r="K128" s="2" t="str">
        <f t="shared" si="7"/>
        <v xml:space="preserve"> </v>
      </c>
      <c r="L128" s="2" t="str">
        <f t="shared" si="8"/>
        <v xml:space="preserve"> </v>
      </c>
      <c r="M128" s="2" t="str">
        <f t="shared" si="9"/>
        <v xml:space="preserve"> </v>
      </c>
    </row>
    <row r="129" spans="1:13" x14ac:dyDescent="0.25">
      <c r="A129" s="40" t="str">
        <f t="shared" si="5"/>
        <v xml:space="preserve"> </v>
      </c>
      <c r="D129" s="39"/>
      <c r="E129" s="39"/>
      <c r="J129" s="15">
        <f t="shared" si="6"/>
        <v>0</v>
      </c>
      <c r="K129" s="2" t="str">
        <f t="shared" si="7"/>
        <v xml:space="preserve"> </v>
      </c>
      <c r="L129" s="2" t="str">
        <f t="shared" si="8"/>
        <v xml:space="preserve"> </v>
      </c>
      <c r="M129" s="2" t="str">
        <f t="shared" si="9"/>
        <v xml:space="preserve"> </v>
      </c>
    </row>
    <row r="130" spans="1:13" x14ac:dyDescent="0.25">
      <c r="A130" s="40" t="str">
        <f t="shared" si="5"/>
        <v xml:space="preserve"> </v>
      </c>
      <c r="D130" s="39"/>
      <c r="E130" s="39"/>
      <c r="J130" s="15">
        <f t="shared" si="6"/>
        <v>0</v>
      </c>
      <c r="K130" s="2" t="str">
        <f t="shared" si="7"/>
        <v xml:space="preserve"> </v>
      </c>
      <c r="L130" s="2" t="str">
        <f t="shared" si="8"/>
        <v xml:space="preserve"> </v>
      </c>
      <c r="M130" s="2" t="str">
        <f t="shared" si="9"/>
        <v xml:space="preserve"> </v>
      </c>
    </row>
    <row r="131" spans="1:13" x14ac:dyDescent="0.25">
      <c r="A131" s="40" t="str">
        <f t="shared" si="5"/>
        <v xml:space="preserve"> </v>
      </c>
      <c r="D131" s="39"/>
      <c r="E131" s="39"/>
      <c r="J131" s="15">
        <f t="shared" si="6"/>
        <v>0</v>
      </c>
      <c r="K131" s="2" t="str">
        <f t="shared" si="7"/>
        <v xml:space="preserve"> </v>
      </c>
      <c r="L131" s="2" t="str">
        <f t="shared" si="8"/>
        <v xml:space="preserve"> </v>
      </c>
      <c r="M131" s="2" t="str">
        <f t="shared" si="9"/>
        <v xml:space="preserve"> </v>
      </c>
    </row>
    <row r="132" spans="1:13" x14ac:dyDescent="0.25">
      <c r="A132" s="40" t="str">
        <f t="shared" si="5"/>
        <v xml:space="preserve"> </v>
      </c>
      <c r="D132" s="39"/>
      <c r="E132" s="39"/>
      <c r="J132" s="15">
        <f t="shared" si="6"/>
        <v>0</v>
      </c>
      <c r="K132" s="2" t="str">
        <f t="shared" si="7"/>
        <v xml:space="preserve"> </v>
      </c>
      <c r="L132" s="2" t="str">
        <f t="shared" si="8"/>
        <v xml:space="preserve"> </v>
      </c>
      <c r="M132" s="2" t="str">
        <f t="shared" si="9"/>
        <v xml:space="preserve"> </v>
      </c>
    </row>
    <row r="133" spans="1:13" x14ac:dyDescent="0.25">
      <c r="A133" s="40" t="str">
        <f t="shared" si="5"/>
        <v xml:space="preserve"> </v>
      </c>
      <c r="D133" s="39"/>
      <c r="E133" s="39"/>
      <c r="J133" s="15">
        <f t="shared" si="6"/>
        <v>0</v>
      </c>
      <c r="K133" s="2" t="str">
        <f t="shared" si="7"/>
        <v xml:space="preserve"> </v>
      </c>
      <c r="L133" s="2" t="str">
        <f t="shared" si="8"/>
        <v xml:space="preserve"> </v>
      </c>
      <c r="M133" s="2" t="str">
        <f t="shared" si="9"/>
        <v xml:space="preserve"> </v>
      </c>
    </row>
    <row r="134" spans="1:13" x14ac:dyDescent="0.25">
      <c r="A134" s="40" t="str">
        <f t="shared" si="5"/>
        <v xml:space="preserve"> </v>
      </c>
      <c r="D134" s="39"/>
      <c r="E134" s="39"/>
      <c r="J134" s="15">
        <f t="shared" si="6"/>
        <v>0</v>
      </c>
      <c r="K134" s="2" t="str">
        <f t="shared" si="7"/>
        <v xml:space="preserve"> </v>
      </c>
      <c r="L134" s="2" t="str">
        <f t="shared" si="8"/>
        <v xml:space="preserve"> </v>
      </c>
      <c r="M134" s="2" t="str">
        <f t="shared" si="9"/>
        <v xml:space="preserve"> </v>
      </c>
    </row>
    <row r="135" spans="1:13" x14ac:dyDescent="0.25">
      <c r="A135" s="40" t="str">
        <f t="shared" si="5"/>
        <v xml:space="preserve"> </v>
      </c>
      <c r="D135" s="39"/>
      <c r="E135" s="39"/>
      <c r="J135" s="15">
        <f t="shared" si="6"/>
        <v>0</v>
      </c>
      <c r="K135" s="2" t="str">
        <f t="shared" si="7"/>
        <v xml:space="preserve"> </v>
      </c>
      <c r="L135" s="2" t="str">
        <f t="shared" si="8"/>
        <v xml:space="preserve"> </v>
      </c>
      <c r="M135" s="2" t="str">
        <f t="shared" si="9"/>
        <v xml:space="preserve"> </v>
      </c>
    </row>
    <row r="136" spans="1:13" x14ac:dyDescent="0.25">
      <c r="A136" s="40" t="str">
        <f t="shared" si="5"/>
        <v xml:space="preserve"> </v>
      </c>
      <c r="D136" s="39"/>
      <c r="E136" s="39"/>
      <c r="J136" s="15">
        <f t="shared" si="6"/>
        <v>0</v>
      </c>
      <c r="K136" s="2" t="str">
        <f t="shared" si="7"/>
        <v xml:space="preserve"> </v>
      </c>
      <c r="L136" s="2" t="str">
        <f t="shared" si="8"/>
        <v xml:space="preserve"> </v>
      </c>
      <c r="M136" s="2" t="str">
        <f t="shared" si="9"/>
        <v xml:space="preserve"> </v>
      </c>
    </row>
    <row r="137" spans="1:13" x14ac:dyDescent="0.25">
      <c r="A137" s="40" t="str">
        <f t="shared" si="5"/>
        <v xml:space="preserve"> </v>
      </c>
      <c r="D137" s="39"/>
      <c r="E137" s="39"/>
      <c r="J137" s="15">
        <f t="shared" si="6"/>
        <v>0</v>
      </c>
      <c r="K137" s="2" t="str">
        <f t="shared" si="7"/>
        <v xml:space="preserve"> </v>
      </c>
      <c r="L137" s="2" t="str">
        <f t="shared" si="8"/>
        <v xml:space="preserve"> </v>
      </c>
      <c r="M137" s="2" t="str">
        <f t="shared" si="9"/>
        <v xml:space="preserve"> </v>
      </c>
    </row>
    <row r="138" spans="1:13" x14ac:dyDescent="0.25">
      <c r="A138" s="40" t="str">
        <f t="shared" si="5"/>
        <v xml:space="preserve"> </v>
      </c>
      <c r="D138" s="39"/>
      <c r="E138" s="39"/>
      <c r="J138" s="15">
        <f t="shared" si="6"/>
        <v>0</v>
      </c>
      <c r="K138" s="2" t="str">
        <f t="shared" si="7"/>
        <v xml:space="preserve"> </v>
      </c>
      <c r="L138" s="2" t="str">
        <f t="shared" si="8"/>
        <v xml:space="preserve"> </v>
      </c>
      <c r="M138" s="2" t="str">
        <f t="shared" si="9"/>
        <v xml:space="preserve"> </v>
      </c>
    </row>
    <row r="139" spans="1:13" x14ac:dyDescent="0.25">
      <c r="A139" s="40" t="str">
        <f t="shared" si="5"/>
        <v xml:space="preserve"> </v>
      </c>
      <c r="D139" s="39"/>
      <c r="E139" s="39"/>
      <c r="J139" s="15">
        <f t="shared" si="6"/>
        <v>0</v>
      </c>
      <c r="K139" s="2" t="str">
        <f t="shared" si="7"/>
        <v xml:space="preserve"> </v>
      </c>
      <c r="L139" s="2" t="str">
        <f t="shared" si="8"/>
        <v xml:space="preserve"> </v>
      </c>
      <c r="M139" s="2" t="str">
        <f t="shared" si="9"/>
        <v xml:space="preserve"> </v>
      </c>
    </row>
    <row r="140" spans="1:13" x14ac:dyDescent="0.25">
      <c r="A140" s="40" t="str">
        <f t="shared" si="5"/>
        <v xml:space="preserve"> </v>
      </c>
      <c r="D140" s="39"/>
      <c r="E140" s="39"/>
      <c r="J140" s="15">
        <f t="shared" si="6"/>
        <v>0</v>
      </c>
      <c r="K140" s="2" t="str">
        <f t="shared" si="7"/>
        <v xml:space="preserve"> </v>
      </c>
      <c r="L140" s="2" t="str">
        <f t="shared" si="8"/>
        <v xml:space="preserve"> </v>
      </c>
      <c r="M140" s="2" t="str">
        <f t="shared" si="9"/>
        <v xml:space="preserve"> </v>
      </c>
    </row>
    <row r="141" spans="1:13" x14ac:dyDescent="0.25">
      <c r="A141" s="40" t="str">
        <f t="shared" si="5"/>
        <v xml:space="preserve"> </v>
      </c>
      <c r="D141" s="39"/>
      <c r="E141" s="39"/>
      <c r="J141" s="15">
        <f t="shared" si="6"/>
        <v>0</v>
      </c>
      <c r="K141" s="2" t="str">
        <f t="shared" si="7"/>
        <v xml:space="preserve"> </v>
      </c>
      <c r="L141" s="2" t="str">
        <f t="shared" si="8"/>
        <v xml:space="preserve"> </v>
      </c>
      <c r="M141" s="2" t="str">
        <f t="shared" si="9"/>
        <v xml:space="preserve"> </v>
      </c>
    </row>
    <row r="142" spans="1:13" x14ac:dyDescent="0.25">
      <c r="A142" s="40" t="str">
        <f t="shared" si="5"/>
        <v xml:space="preserve"> </v>
      </c>
      <c r="D142" s="39"/>
      <c r="E142" s="39"/>
      <c r="J142" s="15">
        <f t="shared" si="6"/>
        <v>0</v>
      </c>
      <c r="K142" s="2" t="str">
        <f t="shared" si="7"/>
        <v xml:space="preserve"> </v>
      </c>
      <c r="L142" s="2" t="str">
        <f t="shared" si="8"/>
        <v xml:space="preserve"> </v>
      </c>
      <c r="M142" s="2" t="str">
        <f t="shared" si="9"/>
        <v xml:space="preserve"> </v>
      </c>
    </row>
    <row r="143" spans="1:13" x14ac:dyDescent="0.25">
      <c r="A143" s="40" t="str">
        <f t="shared" ref="A143:A206" si="10">IF(COUNTIF(K143:M143,"ERROR")&gt;0,"ERROR"," ")</f>
        <v xml:space="preserve"> </v>
      </c>
      <c r="D143" s="39"/>
      <c r="E143" s="39"/>
      <c r="J143" s="15">
        <f t="shared" ref="J143:J206" si="11">F143-G143+H143-I143</f>
        <v>0</v>
      </c>
      <c r="K143" s="2" t="str">
        <f t="shared" si="7"/>
        <v xml:space="preserve"> </v>
      </c>
      <c r="L143" s="2" t="str">
        <f t="shared" si="8"/>
        <v xml:space="preserve"> </v>
      </c>
      <c r="M143" s="2" t="str">
        <f t="shared" si="9"/>
        <v xml:space="preserve"> </v>
      </c>
    </row>
    <row r="144" spans="1:13" x14ac:dyDescent="0.25">
      <c r="A144" s="40" t="str">
        <f t="shared" si="10"/>
        <v xml:space="preserve"> </v>
      </c>
      <c r="D144" s="39"/>
      <c r="E144" s="39"/>
      <c r="J144" s="15">
        <f t="shared" si="11"/>
        <v>0</v>
      </c>
      <c r="K144" s="2" t="str">
        <f t="shared" ref="K144:K207" si="12">IF(COUNTA(D144:E144)=2,"ERROR"," ")</f>
        <v xml:space="preserve"> </v>
      </c>
      <c r="L144" s="2" t="str">
        <f t="shared" ref="L144:L207" si="13">IF(D144=0," ",IF(COUNTIF(ProfitLoss,D144)&gt;0," ","ERROR"))</f>
        <v xml:space="preserve"> </v>
      </c>
      <c r="M144" s="2" t="str">
        <f t="shared" ref="M144:M207" si="14">IF(E144=0," ",IF(COUNTIF(BalanceSheet,E144)&gt;0," ","ERROR"))</f>
        <v xml:space="preserve"> </v>
      </c>
    </row>
    <row r="145" spans="1:13" x14ac:dyDescent="0.25">
      <c r="A145" s="40" t="str">
        <f t="shared" si="10"/>
        <v xml:space="preserve"> </v>
      </c>
      <c r="D145" s="39"/>
      <c r="E145" s="39"/>
      <c r="J145" s="15">
        <f t="shared" si="11"/>
        <v>0</v>
      </c>
      <c r="K145" s="2" t="str">
        <f t="shared" si="12"/>
        <v xml:space="preserve"> </v>
      </c>
      <c r="L145" s="2" t="str">
        <f t="shared" si="13"/>
        <v xml:space="preserve"> </v>
      </c>
      <c r="M145" s="2" t="str">
        <f t="shared" si="14"/>
        <v xml:space="preserve"> </v>
      </c>
    </row>
    <row r="146" spans="1:13" x14ac:dyDescent="0.25">
      <c r="A146" s="40" t="str">
        <f t="shared" si="10"/>
        <v xml:space="preserve"> </v>
      </c>
      <c r="D146" s="39"/>
      <c r="E146" s="39"/>
      <c r="J146" s="15">
        <f t="shared" si="11"/>
        <v>0</v>
      </c>
      <c r="K146" s="2" t="str">
        <f t="shared" si="12"/>
        <v xml:space="preserve"> </v>
      </c>
      <c r="L146" s="2" t="str">
        <f t="shared" si="13"/>
        <v xml:space="preserve"> </v>
      </c>
      <c r="M146" s="2" t="str">
        <f t="shared" si="14"/>
        <v xml:space="preserve"> </v>
      </c>
    </row>
    <row r="147" spans="1:13" x14ac:dyDescent="0.25">
      <c r="A147" s="40" t="str">
        <f t="shared" si="10"/>
        <v xml:space="preserve"> </v>
      </c>
      <c r="D147" s="39"/>
      <c r="E147" s="39"/>
      <c r="J147" s="15">
        <f t="shared" si="11"/>
        <v>0</v>
      </c>
      <c r="K147" s="2" t="str">
        <f t="shared" si="12"/>
        <v xml:space="preserve"> </v>
      </c>
      <c r="L147" s="2" t="str">
        <f t="shared" si="13"/>
        <v xml:space="preserve"> </v>
      </c>
      <c r="M147" s="2" t="str">
        <f t="shared" si="14"/>
        <v xml:space="preserve"> </v>
      </c>
    </row>
    <row r="148" spans="1:13" x14ac:dyDescent="0.25">
      <c r="A148" s="40" t="str">
        <f t="shared" si="10"/>
        <v xml:space="preserve"> </v>
      </c>
      <c r="D148" s="39"/>
      <c r="E148" s="39"/>
      <c r="J148" s="15">
        <f t="shared" si="11"/>
        <v>0</v>
      </c>
      <c r="K148" s="2" t="str">
        <f t="shared" si="12"/>
        <v xml:space="preserve"> </v>
      </c>
      <c r="L148" s="2" t="str">
        <f t="shared" si="13"/>
        <v xml:space="preserve"> </v>
      </c>
      <c r="M148" s="2" t="str">
        <f t="shared" si="14"/>
        <v xml:space="preserve"> </v>
      </c>
    </row>
    <row r="149" spans="1:13" x14ac:dyDescent="0.25">
      <c r="A149" s="40" t="str">
        <f t="shared" si="10"/>
        <v xml:space="preserve"> </v>
      </c>
      <c r="D149" s="39"/>
      <c r="E149" s="39"/>
      <c r="J149" s="15">
        <f t="shared" si="11"/>
        <v>0</v>
      </c>
      <c r="K149" s="2" t="str">
        <f t="shared" si="12"/>
        <v xml:space="preserve"> </v>
      </c>
      <c r="L149" s="2" t="str">
        <f t="shared" si="13"/>
        <v xml:space="preserve"> </v>
      </c>
      <c r="M149" s="2" t="str">
        <f t="shared" si="14"/>
        <v xml:space="preserve"> </v>
      </c>
    </row>
    <row r="150" spans="1:13" x14ac:dyDescent="0.25">
      <c r="A150" s="40" t="str">
        <f t="shared" si="10"/>
        <v xml:space="preserve"> </v>
      </c>
      <c r="D150" s="39"/>
      <c r="E150" s="39"/>
      <c r="J150" s="15">
        <f t="shared" si="11"/>
        <v>0</v>
      </c>
      <c r="K150" s="2" t="str">
        <f t="shared" si="12"/>
        <v xml:space="preserve"> </v>
      </c>
      <c r="L150" s="2" t="str">
        <f t="shared" si="13"/>
        <v xml:space="preserve"> </v>
      </c>
      <c r="M150" s="2" t="str">
        <f t="shared" si="14"/>
        <v xml:space="preserve"> </v>
      </c>
    </row>
    <row r="151" spans="1:13" x14ac:dyDescent="0.25">
      <c r="A151" s="40" t="str">
        <f t="shared" si="10"/>
        <v xml:space="preserve"> </v>
      </c>
      <c r="D151" s="39"/>
      <c r="E151" s="39"/>
      <c r="J151" s="15">
        <f t="shared" si="11"/>
        <v>0</v>
      </c>
      <c r="K151" s="2" t="str">
        <f t="shared" si="12"/>
        <v xml:space="preserve"> </v>
      </c>
      <c r="L151" s="2" t="str">
        <f t="shared" si="13"/>
        <v xml:space="preserve"> </v>
      </c>
      <c r="M151" s="2" t="str">
        <f t="shared" si="14"/>
        <v xml:space="preserve"> </v>
      </c>
    </row>
    <row r="152" spans="1:13" x14ac:dyDescent="0.25">
      <c r="A152" s="40" t="str">
        <f t="shared" si="10"/>
        <v xml:space="preserve"> </v>
      </c>
      <c r="D152" s="39"/>
      <c r="E152" s="39"/>
      <c r="J152" s="15">
        <f t="shared" si="11"/>
        <v>0</v>
      </c>
      <c r="K152" s="2" t="str">
        <f t="shared" si="12"/>
        <v xml:space="preserve"> </v>
      </c>
      <c r="L152" s="2" t="str">
        <f t="shared" si="13"/>
        <v xml:space="preserve"> </v>
      </c>
      <c r="M152" s="2" t="str">
        <f t="shared" si="14"/>
        <v xml:space="preserve"> </v>
      </c>
    </row>
    <row r="153" spans="1:13" x14ac:dyDescent="0.25">
      <c r="A153" s="40" t="str">
        <f t="shared" si="10"/>
        <v xml:space="preserve"> </v>
      </c>
      <c r="D153" s="39"/>
      <c r="E153" s="39"/>
      <c r="J153" s="15">
        <f t="shared" si="11"/>
        <v>0</v>
      </c>
      <c r="K153" s="2" t="str">
        <f t="shared" si="12"/>
        <v xml:space="preserve"> </v>
      </c>
      <c r="L153" s="2" t="str">
        <f t="shared" si="13"/>
        <v xml:space="preserve"> </v>
      </c>
      <c r="M153" s="2" t="str">
        <f t="shared" si="14"/>
        <v xml:space="preserve"> </v>
      </c>
    </row>
    <row r="154" spans="1:13" x14ac:dyDescent="0.25">
      <c r="A154" s="40" t="str">
        <f t="shared" si="10"/>
        <v xml:space="preserve"> </v>
      </c>
      <c r="D154" s="39"/>
      <c r="E154" s="39"/>
      <c r="J154" s="15">
        <f t="shared" si="11"/>
        <v>0</v>
      </c>
      <c r="K154" s="2" t="str">
        <f t="shared" si="12"/>
        <v xml:space="preserve"> </v>
      </c>
      <c r="L154" s="2" t="str">
        <f t="shared" si="13"/>
        <v xml:space="preserve"> </v>
      </c>
      <c r="M154" s="2" t="str">
        <f t="shared" si="14"/>
        <v xml:space="preserve"> </v>
      </c>
    </row>
    <row r="155" spans="1:13" x14ac:dyDescent="0.25">
      <c r="A155" s="40" t="str">
        <f t="shared" si="10"/>
        <v xml:space="preserve"> </v>
      </c>
      <c r="D155" s="39"/>
      <c r="E155" s="39"/>
      <c r="J155" s="15">
        <f t="shared" si="11"/>
        <v>0</v>
      </c>
      <c r="K155" s="2" t="str">
        <f t="shared" si="12"/>
        <v xml:space="preserve"> </v>
      </c>
      <c r="L155" s="2" t="str">
        <f t="shared" si="13"/>
        <v xml:space="preserve"> </v>
      </c>
      <c r="M155" s="2" t="str">
        <f t="shared" si="14"/>
        <v xml:space="preserve"> </v>
      </c>
    </row>
    <row r="156" spans="1:13" x14ac:dyDescent="0.25">
      <c r="A156" s="40" t="str">
        <f t="shared" si="10"/>
        <v xml:space="preserve"> </v>
      </c>
      <c r="D156" s="39"/>
      <c r="E156" s="39"/>
      <c r="J156" s="15">
        <f t="shared" si="11"/>
        <v>0</v>
      </c>
      <c r="K156" s="2" t="str">
        <f t="shared" si="12"/>
        <v xml:space="preserve"> </v>
      </c>
      <c r="L156" s="2" t="str">
        <f t="shared" si="13"/>
        <v xml:space="preserve"> </v>
      </c>
      <c r="M156" s="2" t="str">
        <f t="shared" si="14"/>
        <v xml:space="preserve"> </v>
      </c>
    </row>
    <row r="157" spans="1:13" x14ac:dyDescent="0.25">
      <c r="A157" s="40" t="str">
        <f t="shared" si="10"/>
        <v xml:space="preserve"> </v>
      </c>
      <c r="D157" s="39"/>
      <c r="E157" s="39"/>
      <c r="J157" s="15">
        <f t="shared" si="11"/>
        <v>0</v>
      </c>
      <c r="K157" s="2" t="str">
        <f t="shared" si="12"/>
        <v xml:space="preserve"> </v>
      </c>
      <c r="L157" s="2" t="str">
        <f t="shared" si="13"/>
        <v xml:space="preserve"> </v>
      </c>
      <c r="M157" s="2" t="str">
        <f t="shared" si="14"/>
        <v xml:space="preserve"> </v>
      </c>
    </row>
    <row r="158" spans="1:13" x14ac:dyDescent="0.25">
      <c r="A158" s="40" t="str">
        <f t="shared" si="10"/>
        <v xml:space="preserve"> </v>
      </c>
      <c r="D158" s="39"/>
      <c r="E158" s="39"/>
      <c r="J158" s="15">
        <f t="shared" si="11"/>
        <v>0</v>
      </c>
      <c r="K158" s="2" t="str">
        <f t="shared" si="12"/>
        <v xml:space="preserve"> </v>
      </c>
      <c r="L158" s="2" t="str">
        <f t="shared" si="13"/>
        <v xml:space="preserve"> </v>
      </c>
      <c r="M158" s="2" t="str">
        <f t="shared" si="14"/>
        <v xml:space="preserve"> </v>
      </c>
    </row>
    <row r="159" spans="1:13" x14ac:dyDescent="0.25">
      <c r="A159" s="40" t="str">
        <f t="shared" si="10"/>
        <v xml:space="preserve"> </v>
      </c>
      <c r="D159" s="39"/>
      <c r="E159" s="39"/>
      <c r="J159" s="15">
        <f t="shared" si="11"/>
        <v>0</v>
      </c>
      <c r="K159" s="2" t="str">
        <f t="shared" si="12"/>
        <v xml:space="preserve"> </v>
      </c>
      <c r="L159" s="2" t="str">
        <f t="shared" si="13"/>
        <v xml:space="preserve"> </v>
      </c>
      <c r="M159" s="2" t="str">
        <f t="shared" si="14"/>
        <v xml:space="preserve"> </v>
      </c>
    </row>
    <row r="160" spans="1:13" x14ac:dyDescent="0.25">
      <c r="A160" s="40" t="str">
        <f t="shared" si="10"/>
        <v xml:space="preserve"> </v>
      </c>
      <c r="D160" s="39"/>
      <c r="E160" s="39"/>
      <c r="J160" s="15">
        <f t="shared" si="11"/>
        <v>0</v>
      </c>
      <c r="K160" s="2" t="str">
        <f t="shared" si="12"/>
        <v xml:space="preserve"> </v>
      </c>
      <c r="L160" s="2" t="str">
        <f t="shared" si="13"/>
        <v xml:space="preserve"> </v>
      </c>
      <c r="M160" s="2" t="str">
        <f t="shared" si="14"/>
        <v xml:space="preserve"> </v>
      </c>
    </row>
    <row r="161" spans="1:13" x14ac:dyDescent="0.25">
      <c r="A161" s="40" t="str">
        <f t="shared" si="10"/>
        <v xml:space="preserve"> </v>
      </c>
      <c r="D161" s="39"/>
      <c r="E161" s="39"/>
      <c r="J161" s="15">
        <f t="shared" si="11"/>
        <v>0</v>
      </c>
      <c r="K161" s="2" t="str">
        <f t="shared" si="12"/>
        <v xml:space="preserve"> </v>
      </c>
      <c r="L161" s="2" t="str">
        <f t="shared" si="13"/>
        <v xml:space="preserve"> </v>
      </c>
      <c r="M161" s="2" t="str">
        <f t="shared" si="14"/>
        <v xml:space="preserve"> </v>
      </c>
    </row>
    <row r="162" spans="1:13" x14ac:dyDescent="0.25">
      <c r="A162" s="40" t="str">
        <f t="shared" si="10"/>
        <v xml:space="preserve"> </v>
      </c>
      <c r="D162" s="39"/>
      <c r="E162" s="39"/>
      <c r="J162" s="15">
        <f t="shared" si="11"/>
        <v>0</v>
      </c>
      <c r="K162" s="2" t="str">
        <f t="shared" si="12"/>
        <v xml:space="preserve"> </v>
      </c>
      <c r="L162" s="2" t="str">
        <f t="shared" si="13"/>
        <v xml:space="preserve"> </v>
      </c>
      <c r="M162" s="2" t="str">
        <f t="shared" si="14"/>
        <v xml:space="preserve"> </v>
      </c>
    </row>
    <row r="163" spans="1:13" x14ac:dyDescent="0.25">
      <c r="A163" s="40" t="str">
        <f t="shared" si="10"/>
        <v xml:space="preserve"> </v>
      </c>
      <c r="D163" s="39"/>
      <c r="E163" s="39"/>
      <c r="J163" s="15">
        <f t="shared" si="11"/>
        <v>0</v>
      </c>
      <c r="K163" s="2" t="str">
        <f t="shared" si="12"/>
        <v xml:space="preserve"> </v>
      </c>
      <c r="L163" s="2" t="str">
        <f t="shared" si="13"/>
        <v xml:space="preserve"> </v>
      </c>
      <c r="M163" s="2" t="str">
        <f t="shared" si="14"/>
        <v xml:space="preserve"> </v>
      </c>
    </row>
    <row r="164" spans="1:13" x14ac:dyDescent="0.25">
      <c r="A164" s="40" t="str">
        <f t="shared" si="10"/>
        <v xml:space="preserve"> </v>
      </c>
      <c r="D164" s="39"/>
      <c r="E164" s="39"/>
      <c r="J164" s="15">
        <f t="shared" si="11"/>
        <v>0</v>
      </c>
      <c r="K164" s="2" t="str">
        <f t="shared" si="12"/>
        <v xml:space="preserve"> </v>
      </c>
      <c r="L164" s="2" t="str">
        <f t="shared" si="13"/>
        <v xml:space="preserve"> </v>
      </c>
      <c r="M164" s="2" t="str">
        <f t="shared" si="14"/>
        <v xml:space="preserve"> </v>
      </c>
    </row>
    <row r="165" spans="1:13" x14ac:dyDescent="0.25">
      <c r="A165" s="40" t="str">
        <f t="shared" si="10"/>
        <v xml:space="preserve"> </v>
      </c>
      <c r="D165" s="39"/>
      <c r="E165" s="39"/>
      <c r="J165" s="15">
        <f t="shared" si="11"/>
        <v>0</v>
      </c>
      <c r="K165" s="2" t="str">
        <f t="shared" si="12"/>
        <v xml:space="preserve"> </v>
      </c>
      <c r="L165" s="2" t="str">
        <f t="shared" si="13"/>
        <v xml:space="preserve"> </v>
      </c>
      <c r="M165" s="2" t="str">
        <f t="shared" si="14"/>
        <v xml:space="preserve"> </v>
      </c>
    </row>
    <row r="166" spans="1:13" x14ac:dyDescent="0.25">
      <c r="A166" s="40" t="str">
        <f t="shared" si="10"/>
        <v xml:space="preserve"> </v>
      </c>
      <c r="D166" s="39"/>
      <c r="E166" s="39"/>
      <c r="J166" s="15">
        <f t="shared" si="11"/>
        <v>0</v>
      </c>
      <c r="K166" s="2" t="str">
        <f t="shared" si="12"/>
        <v xml:space="preserve"> </v>
      </c>
      <c r="L166" s="2" t="str">
        <f t="shared" si="13"/>
        <v xml:space="preserve"> </v>
      </c>
      <c r="M166" s="2" t="str">
        <f t="shared" si="14"/>
        <v xml:space="preserve"> </v>
      </c>
    </row>
    <row r="167" spans="1:13" x14ac:dyDescent="0.25">
      <c r="A167" s="40" t="str">
        <f t="shared" si="10"/>
        <v xml:space="preserve"> </v>
      </c>
      <c r="D167" s="39"/>
      <c r="E167" s="39"/>
      <c r="J167" s="15">
        <f t="shared" si="11"/>
        <v>0</v>
      </c>
      <c r="K167" s="2" t="str">
        <f t="shared" si="12"/>
        <v xml:space="preserve"> </v>
      </c>
      <c r="L167" s="2" t="str">
        <f t="shared" si="13"/>
        <v xml:space="preserve"> </v>
      </c>
      <c r="M167" s="2" t="str">
        <f t="shared" si="14"/>
        <v xml:space="preserve"> </v>
      </c>
    </row>
    <row r="168" spans="1:13" x14ac:dyDescent="0.25">
      <c r="A168" s="40" t="str">
        <f t="shared" si="10"/>
        <v xml:space="preserve"> </v>
      </c>
      <c r="D168" s="39"/>
      <c r="E168" s="39"/>
      <c r="J168" s="15">
        <f t="shared" si="11"/>
        <v>0</v>
      </c>
      <c r="K168" s="2" t="str">
        <f t="shared" si="12"/>
        <v xml:space="preserve"> </v>
      </c>
      <c r="L168" s="2" t="str">
        <f t="shared" si="13"/>
        <v xml:space="preserve"> </v>
      </c>
      <c r="M168" s="2" t="str">
        <f t="shared" si="14"/>
        <v xml:space="preserve"> </v>
      </c>
    </row>
    <row r="169" spans="1:13" x14ac:dyDescent="0.25">
      <c r="A169" s="40" t="str">
        <f t="shared" si="10"/>
        <v xml:space="preserve"> </v>
      </c>
      <c r="D169" s="39"/>
      <c r="E169" s="39"/>
      <c r="J169" s="15">
        <f t="shared" si="11"/>
        <v>0</v>
      </c>
      <c r="K169" s="2" t="str">
        <f t="shared" si="12"/>
        <v xml:space="preserve"> </v>
      </c>
      <c r="L169" s="2" t="str">
        <f t="shared" si="13"/>
        <v xml:space="preserve"> </v>
      </c>
      <c r="M169" s="2" t="str">
        <f t="shared" si="14"/>
        <v xml:space="preserve"> </v>
      </c>
    </row>
    <row r="170" spans="1:13" x14ac:dyDescent="0.25">
      <c r="A170" s="40" t="str">
        <f t="shared" si="10"/>
        <v xml:space="preserve"> </v>
      </c>
      <c r="D170" s="39"/>
      <c r="E170" s="39"/>
      <c r="J170" s="15">
        <f t="shared" si="11"/>
        <v>0</v>
      </c>
      <c r="K170" s="2" t="str">
        <f t="shared" si="12"/>
        <v xml:space="preserve"> </v>
      </c>
      <c r="L170" s="2" t="str">
        <f t="shared" si="13"/>
        <v xml:space="preserve"> </v>
      </c>
      <c r="M170" s="2" t="str">
        <f t="shared" si="14"/>
        <v xml:space="preserve"> </v>
      </c>
    </row>
    <row r="171" spans="1:13" x14ac:dyDescent="0.25">
      <c r="A171" s="40" t="str">
        <f t="shared" si="10"/>
        <v xml:space="preserve"> </v>
      </c>
      <c r="D171" s="39"/>
      <c r="E171" s="39"/>
      <c r="J171" s="15">
        <f t="shared" si="11"/>
        <v>0</v>
      </c>
      <c r="K171" s="2" t="str">
        <f t="shared" si="12"/>
        <v xml:space="preserve"> </v>
      </c>
      <c r="L171" s="2" t="str">
        <f t="shared" si="13"/>
        <v xml:space="preserve"> </v>
      </c>
      <c r="M171" s="2" t="str">
        <f t="shared" si="14"/>
        <v xml:space="preserve"> </v>
      </c>
    </row>
    <row r="172" spans="1:13" x14ac:dyDescent="0.25">
      <c r="A172" s="40" t="str">
        <f t="shared" si="10"/>
        <v xml:space="preserve"> </v>
      </c>
      <c r="D172" s="39"/>
      <c r="E172" s="39"/>
      <c r="J172" s="15">
        <f t="shared" si="11"/>
        <v>0</v>
      </c>
      <c r="K172" s="2" t="str">
        <f t="shared" si="12"/>
        <v xml:space="preserve"> </v>
      </c>
      <c r="L172" s="2" t="str">
        <f t="shared" si="13"/>
        <v xml:space="preserve"> </v>
      </c>
      <c r="M172" s="2" t="str">
        <f t="shared" si="14"/>
        <v xml:space="preserve"> </v>
      </c>
    </row>
    <row r="173" spans="1:13" x14ac:dyDescent="0.25">
      <c r="A173" s="40" t="str">
        <f t="shared" si="10"/>
        <v xml:space="preserve"> </v>
      </c>
      <c r="D173" s="39"/>
      <c r="E173" s="39"/>
      <c r="J173" s="15">
        <f t="shared" si="11"/>
        <v>0</v>
      </c>
      <c r="K173" s="2" t="str">
        <f t="shared" si="12"/>
        <v xml:space="preserve"> </v>
      </c>
      <c r="L173" s="2" t="str">
        <f t="shared" si="13"/>
        <v xml:space="preserve"> </v>
      </c>
      <c r="M173" s="2" t="str">
        <f t="shared" si="14"/>
        <v xml:space="preserve"> </v>
      </c>
    </row>
    <row r="174" spans="1:13" x14ac:dyDescent="0.25">
      <c r="A174" s="40" t="str">
        <f t="shared" si="10"/>
        <v xml:space="preserve"> </v>
      </c>
      <c r="D174" s="39"/>
      <c r="E174" s="39"/>
      <c r="J174" s="15">
        <f t="shared" si="11"/>
        <v>0</v>
      </c>
      <c r="K174" s="2" t="str">
        <f t="shared" si="12"/>
        <v xml:space="preserve"> </v>
      </c>
      <c r="L174" s="2" t="str">
        <f t="shared" si="13"/>
        <v xml:space="preserve"> </v>
      </c>
      <c r="M174" s="2" t="str">
        <f t="shared" si="14"/>
        <v xml:space="preserve"> </v>
      </c>
    </row>
    <row r="175" spans="1:13" x14ac:dyDescent="0.25">
      <c r="A175" s="40" t="str">
        <f t="shared" si="10"/>
        <v xml:space="preserve"> </v>
      </c>
      <c r="D175" s="39"/>
      <c r="E175" s="39"/>
      <c r="J175" s="15">
        <f t="shared" si="11"/>
        <v>0</v>
      </c>
      <c r="K175" s="2" t="str">
        <f t="shared" si="12"/>
        <v xml:space="preserve"> </v>
      </c>
      <c r="L175" s="2" t="str">
        <f t="shared" si="13"/>
        <v xml:space="preserve"> </v>
      </c>
      <c r="M175" s="2" t="str">
        <f t="shared" si="14"/>
        <v xml:space="preserve"> </v>
      </c>
    </row>
    <row r="176" spans="1:13" x14ac:dyDescent="0.25">
      <c r="A176" s="40" t="str">
        <f t="shared" si="10"/>
        <v xml:space="preserve"> </v>
      </c>
      <c r="D176" s="39"/>
      <c r="E176" s="39"/>
      <c r="J176" s="15">
        <f t="shared" si="11"/>
        <v>0</v>
      </c>
      <c r="K176" s="2" t="str">
        <f t="shared" si="12"/>
        <v xml:space="preserve"> </v>
      </c>
      <c r="L176" s="2" t="str">
        <f t="shared" si="13"/>
        <v xml:space="preserve"> </v>
      </c>
      <c r="M176" s="2" t="str">
        <f t="shared" si="14"/>
        <v xml:space="preserve"> </v>
      </c>
    </row>
    <row r="177" spans="1:13" x14ac:dyDescent="0.25">
      <c r="A177" s="40" t="str">
        <f t="shared" si="10"/>
        <v xml:space="preserve"> </v>
      </c>
      <c r="D177" s="39"/>
      <c r="E177" s="39"/>
      <c r="J177" s="15">
        <f t="shared" si="11"/>
        <v>0</v>
      </c>
      <c r="K177" s="2" t="str">
        <f t="shared" si="12"/>
        <v xml:space="preserve"> </v>
      </c>
      <c r="L177" s="2" t="str">
        <f t="shared" si="13"/>
        <v xml:space="preserve"> </v>
      </c>
      <c r="M177" s="2" t="str">
        <f t="shared" si="14"/>
        <v xml:space="preserve"> </v>
      </c>
    </row>
    <row r="178" spans="1:13" x14ac:dyDescent="0.25">
      <c r="A178" s="40" t="str">
        <f t="shared" si="10"/>
        <v xml:space="preserve"> </v>
      </c>
      <c r="D178" s="39"/>
      <c r="E178" s="39"/>
      <c r="J178" s="15">
        <f t="shared" si="11"/>
        <v>0</v>
      </c>
      <c r="K178" s="2" t="str">
        <f t="shared" si="12"/>
        <v xml:space="preserve"> </v>
      </c>
      <c r="L178" s="2" t="str">
        <f t="shared" si="13"/>
        <v xml:space="preserve"> </v>
      </c>
      <c r="M178" s="2" t="str">
        <f t="shared" si="14"/>
        <v xml:space="preserve"> </v>
      </c>
    </row>
    <row r="179" spans="1:13" x14ac:dyDescent="0.25">
      <c r="A179" s="40" t="str">
        <f t="shared" si="10"/>
        <v xml:space="preserve"> </v>
      </c>
      <c r="D179" s="39"/>
      <c r="E179" s="39"/>
      <c r="J179" s="15">
        <f t="shared" si="11"/>
        <v>0</v>
      </c>
      <c r="K179" s="2" t="str">
        <f t="shared" si="12"/>
        <v xml:space="preserve"> </v>
      </c>
      <c r="L179" s="2" t="str">
        <f t="shared" si="13"/>
        <v xml:space="preserve"> </v>
      </c>
      <c r="M179" s="2" t="str">
        <f t="shared" si="14"/>
        <v xml:space="preserve"> </v>
      </c>
    </row>
    <row r="180" spans="1:13" x14ac:dyDescent="0.25">
      <c r="A180" s="40" t="str">
        <f t="shared" si="10"/>
        <v xml:space="preserve"> </v>
      </c>
      <c r="D180" s="39"/>
      <c r="E180" s="39"/>
      <c r="J180" s="15">
        <f t="shared" si="11"/>
        <v>0</v>
      </c>
      <c r="K180" s="2" t="str">
        <f t="shared" si="12"/>
        <v xml:space="preserve"> </v>
      </c>
      <c r="L180" s="2" t="str">
        <f t="shared" si="13"/>
        <v xml:space="preserve"> </v>
      </c>
      <c r="M180" s="2" t="str">
        <f t="shared" si="14"/>
        <v xml:space="preserve"> </v>
      </c>
    </row>
    <row r="181" spans="1:13" x14ac:dyDescent="0.25">
      <c r="A181" s="40" t="str">
        <f t="shared" si="10"/>
        <v xml:space="preserve"> </v>
      </c>
      <c r="D181" s="39"/>
      <c r="E181" s="39"/>
      <c r="J181" s="15">
        <f t="shared" si="11"/>
        <v>0</v>
      </c>
      <c r="K181" s="2" t="str">
        <f t="shared" si="12"/>
        <v xml:space="preserve"> </v>
      </c>
      <c r="L181" s="2" t="str">
        <f t="shared" si="13"/>
        <v xml:space="preserve"> </v>
      </c>
      <c r="M181" s="2" t="str">
        <f t="shared" si="14"/>
        <v xml:space="preserve"> </v>
      </c>
    </row>
    <row r="182" spans="1:13" x14ac:dyDescent="0.25">
      <c r="A182" s="40" t="str">
        <f t="shared" si="10"/>
        <v xml:space="preserve"> </v>
      </c>
      <c r="D182" s="39"/>
      <c r="E182" s="39"/>
      <c r="J182" s="15">
        <f t="shared" si="11"/>
        <v>0</v>
      </c>
      <c r="K182" s="2" t="str">
        <f t="shared" si="12"/>
        <v xml:space="preserve"> </v>
      </c>
      <c r="L182" s="2" t="str">
        <f t="shared" si="13"/>
        <v xml:space="preserve"> </v>
      </c>
      <c r="M182" s="2" t="str">
        <f t="shared" si="14"/>
        <v xml:space="preserve"> </v>
      </c>
    </row>
    <row r="183" spans="1:13" x14ac:dyDescent="0.25">
      <c r="A183" s="40" t="str">
        <f t="shared" si="10"/>
        <v xml:space="preserve"> </v>
      </c>
      <c r="D183" s="39"/>
      <c r="E183" s="39"/>
      <c r="J183" s="15">
        <f t="shared" si="11"/>
        <v>0</v>
      </c>
      <c r="K183" s="2" t="str">
        <f t="shared" si="12"/>
        <v xml:space="preserve"> </v>
      </c>
      <c r="L183" s="2" t="str">
        <f t="shared" si="13"/>
        <v xml:space="preserve"> </v>
      </c>
      <c r="M183" s="2" t="str">
        <f t="shared" si="14"/>
        <v xml:space="preserve"> </v>
      </c>
    </row>
    <row r="184" spans="1:13" x14ac:dyDescent="0.25">
      <c r="A184" s="40" t="str">
        <f t="shared" si="10"/>
        <v xml:space="preserve"> </v>
      </c>
      <c r="D184" s="39"/>
      <c r="E184" s="39"/>
      <c r="J184" s="15">
        <f t="shared" si="11"/>
        <v>0</v>
      </c>
      <c r="K184" s="2" t="str">
        <f t="shared" si="12"/>
        <v xml:space="preserve"> </v>
      </c>
      <c r="L184" s="2" t="str">
        <f t="shared" si="13"/>
        <v xml:space="preserve"> </v>
      </c>
      <c r="M184" s="2" t="str">
        <f t="shared" si="14"/>
        <v xml:space="preserve"> </v>
      </c>
    </row>
    <row r="185" spans="1:13" x14ac:dyDescent="0.25">
      <c r="A185" s="40" t="str">
        <f t="shared" si="10"/>
        <v xml:space="preserve"> </v>
      </c>
      <c r="D185" s="39"/>
      <c r="E185" s="39"/>
      <c r="J185" s="15">
        <f t="shared" si="11"/>
        <v>0</v>
      </c>
      <c r="K185" s="2" t="str">
        <f t="shared" si="12"/>
        <v xml:space="preserve"> </v>
      </c>
      <c r="L185" s="2" t="str">
        <f t="shared" si="13"/>
        <v xml:space="preserve"> </v>
      </c>
      <c r="M185" s="2" t="str">
        <f t="shared" si="14"/>
        <v xml:space="preserve"> </v>
      </c>
    </row>
    <row r="186" spans="1:13" x14ac:dyDescent="0.25">
      <c r="A186" s="40" t="str">
        <f t="shared" si="10"/>
        <v xml:space="preserve"> </v>
      </c>
      <c r="D186" s="39"/>
      <c r="E186" s="39"/>
      <c r="J186" s="15">
        <f t="shared" si="11"/>
        <v>0</v>
      </c>
      <c r="K186" s="2" t="str">
        <f t="shared" si="12"/>
        <v xml:space="preserve"> </v>
      </c>
      <c r="L186" s="2" t="str">
        <f t="shared" si="13"/>
        <v xml:space="preserve"> </v>
      </c>
      <c r="M186" s="2" t="str">
        <f t="shared" si="14"/>
        <v xml:space="preserve"> </v>
      </c>
    </row>
    <row r="187" spans="1:13" x14ac:dyDescent="0.25">
      <c r="A187" s="40" t="str">
        <f t="shared" si="10"/>
        <v xml:space="preserve"> </v>
      </c>
      <c r="D187" s="39"/>
      <c r="E187" s="39"/>
      <c r="J187" s="15">
        <f t="shared" si="11"/>
        <v>0</v>
      </c>
      <c r="K187" s="2" t="str">
        <f t="shared" si="12"/>
        <v xml:space="preserve"> </v>
      </c>
      <c r="L187" s="2" t="str">
        <f t="shared" si="13"/>
        <v xml:space="preserve"> </v>
      </c>
      <c r="M187" s="2" t="str">
        <f t="shared" si="14"/>
        <v xml:space="preserve"> </v>
      </c>
    </row>
    <row r="188" spans="1:13" x14ac:dyDescent="0.25">
      <c r="A188" s="40" t="str">
        <f t="shared" si="10"/>
        <v xml:space="preserve"> </v>
      </c>
      <c r="D188" s="39"/>
      <c r="E188" s="39"/>
      <c r="J188" s="15">
        <f t="shared" si="11"/>
        <v>0</v>
      </c>
      <c r="K188" s="2" t="str">
        <f t="shared" si="12"/>
        <v xml:space="preserve"> </v>
      </c>
      <c r="L188" s="2" t="str">
        <f t="shared" si="13"/>
        <v xml:space="preserve"> </v>
      </c>
      <c r="M188" s="2" t="str">
        <f t="shared" si="14"/>
        <v xml:space="preserve"> </v>
      </c>
    </row>
    <row r="189" spans="1:13" x14ac:dyDescent="0.25">
      <c r="A189" s="40" t="str">
        <f t="shared" si="10"/>
        <v xml:space="preserve"> </v>
      </c>
      <c r="D189" s="39"/>
      <c r="E189" s="39"/>
      <c r="J189" s="15">
        <f t="shared" si="11"/>
        <v>0</v>
      </c>
      <c r="K189" s="2" t="str">
        <f t="shared" si="12"/>
        <v xml:space="preserve"> </v>
      </c>
      <c r="L189" s="2" t="str">
        <f t="shared" si="13"/>
        <v xml:space="preserve"> </v>
      </c>
      <c r="M189" s="2" t="str">
        <f t="shared" si="14"/>
        <v xml:space="preserve"> </v>
      </c>
    </row>
    <row r="190" spans="1:13" x14ac:dyDescent="0.25">
      <c r="A190" s="40" t="str">
        <f t="shared" si="10"/>
        <v xml:space="preserve"> </v>
      </c>
      <c r="D190" s="39"/>
      <c r="E190" s="39"/>
      <c r="J190" s="15">
        <f t="shared" si="11"/>
        <v>0</v>
      </c>
      <c r="K190" s="2" t="str">
        <f t="shared" si="12"/>
        <v xml:space="preserve"> </v>
      </c>
      <c r="L190" s="2" t="str">
        <f t="shared" si="13"/>
        <v xml:space="preserve"> </v>
      </c>
      <c r="M190" s="2" t="str">
        <f t="shared" si="14"/>
        <v xml:space="preserve"> </v>
      </c>
    </row>
    <row r="191" spans="1:13" x14ac:dyDescent="0.25">
      <c r="A191" s="40" t="str">
        <f t="shared" si="10"/>
        <v xml:space="preserve"> </v>
      </c>
      <c r="D191" s="39"/>
      <c r="E191" s="39"/>
      <c r="J191" s="15">
        <f t="shared" si="11"/>
        <v>0</v>
      </c>
      <c r="K191" s="2" t="str">
        <f t="shared" si="12"/>
        <v xml:space="preserve"> </v>
      </c>
      <c r="L191" s="2" t="str">
        <f t="shared" si="13"/>
        <v xml:space="preserve"> </v>
      </c>
      <c r="M191" s="2" t="str">
        <f t="shared" si="14"/>
        <v xml:space="preserve"> </v>
      </c>
    </row>
    <row r="192" spans="1:13" x14ac:dyDescent="0.25">
      <c r="A192" s="40" t="str">
        <f t="shared" si="10"/>
        <v xml:space="preserve"> </v>
      </c>
      <c r="D192" s="39"/>
      <c r="E192" s="39"/>
      <c r="J192" s="15">
        <f t="shared" si="11"/>
        <v>0</v>
      </c>
      <c r="K192" s="2" t="str">
        <f t="shared" si="12"/>
        <v xml:space="preserve"> </v>
      </c>
      <c r="L192" s="2" t="str">
        <f t="shared" si="13"/>
        <v xml:space="preserve"> </v>
      </c>
      <c r="M192" s="2" t="str">
        <f t="shared" si="14"/>
        <v xml:space="preserve"> </v>
      </c>
    </row>
    <row r="193" spans="1:13" x14ac:dyDescent="0.25">
      <c r="A193" s="40" t="str">
        <f t="shared" si="10"/>
        <v xml:space="preserve"> </v>
      </c>
      <c r="D193" s="39"/>
      <c r="E193" s="39"/>
      <c r="J193" s="15">
        <f t="shared" si="11"/>
        <v>0</v>
      </c>
      <c r="K193" s="2" t="str">
        <f t="shared" si="12"/>
        <v xml:space="preserve"> </v>
      </c>
      <c r="L193" s="2" t="str">
        <f t="shared" si="13"/>
        <v xml:space="preserve"> </v>
      </c>
      <c r="M193" s="2" t="str">
        <f t="shared" si="14"/>
        <v xml:space="preserve"> </v>
      </c>
    </row>
    <row r="194" spans="1:13" x14ac:dyDescent="0.25">
      <c r="A194" s="40" t="str">
        <f t="shared" si="10"/>
        <v xml:space="preserve"> </v>
      </c>
      <c r="D194" s="39"/>
      <c r="E194" s="39"/>
      <c r="J194" s="15">
        <f t="shared" si="11"/>
        <v>0</v>
      </c>
      <c r="K194" s="2" t="str">
        <f t="shared" si="12"/>
        <v xml:space="preserve"> </v>
      </c>
      <c r="L194" s="2" t="str">
        <f t="shared" si="13"/>
        <v xml:space="preserve"> </v>
      </c>
      <c r="M194" s="2" t="str">
        <f t="shared" si="14"/>
        <v xml:space="preserve"> </v>
      </c>
    </row>
    <row r="195" spans="1:13" x14ac:dyDescent="0.25">
      <c r="A195" s="40" t="str">
        <f t="shared" si="10"/>
        <v xml:space="preserve"> </v>
      </c>
      <c r="D195" s="39"/>
      <c r="E195" s="39"/>
      <c r="J195" s="15">
        <f t="shared" si="11"/>
        <v>0</v>
      </c>
      <c r="K195" s="2" t="str">
        <f t="shared" si="12"/>
        <v xml:space="preserve"> </v>
      </c>
      <c r="L195" s="2" t="str">
        <f t="shared" si="13"/>
        <v xml:space="preserve"> </v>
      </c>
      <c r="M195" s="2" t="str">
        <f t="shared" si="14"/>
        <v xml:space="preserve"> </v>
      </c>
    </row>
    <row r="196" spans="1:13" x14ac:dyDescent="0.25">
      <c r="A196" s="40" t="str">
        <f t="shared" si="10"/>
        <v xml:space="preserve"> </v>
      </c>
      <c r="D196" s="39"/>
      <c r="E196" s="39"/>
      <c r="J196" s="15">
        <f t="shared" si="11"/>
        <v>0</v>
      </c>
      <c r="K196" s="2" t="str">
        <f t="shared" si="12"/>
        <v xml:space="preserve"> </v>
      </c>
      <c r="L196" s="2" t="str">
        <f t="shared" si="13"/>
        <v xml:space="preserve"> </v>
      </c>
      <c r="M196" s="2" t="str">
        <f t="shared" si="14"/>
        <v xml:space="preserve"> </v>
      </c>
    </row>
    <row r="197" spans="1:13" x14ac:dyDescent="0.25">
      <c r="A197" s="40" t="str">
        <f t="shared" si="10"/>
        <v xml:space="preserve"> </v>
      </c>
      <c r="D197" s="39"/>
      <c r="E197" s="39"/>
      <c r="J197" s="15">
        <f t="shared" si="11"/>
        <v>0</v>
      </c>
      <c r="K197" s="2" t="str">
        <f t="shared" si="12"/>
        <v xml:space="preserve"> </v>
      </c>
      <c r="L197" s="2" t="str">
        <f t="shared" si="13"/>
        <v xml:space="preserve"> </v>
      </c>
      <c r="M197" s="2" t="str">
        <f t="shared" si="14"/>
        <v xml:space="preserve"> </v>
      </c>
    </row>
    <row r="198" spans="1:13" x14ac:dyDescent="0.25">
      <c r="A198" s="40" t="str">
        <f t="shared" si="10"/>
        <v xml:space="preserve"> </v>
      </c>
      <c r="D198" s="39"/>
      <c r="E198" s="39"/>
      <c r="J198" s="15">
        <f t="shared" si="11"/>
        <v>0</v>
      </c>
      <c r="K198" s="2" t="str">
        <f t="shared" si="12"/>
        <v xml:space="preserve"> </v>
      </c>
      <c r="L198" s="2" t="str">
        <f t="shared" si="13"/>
        <v xml:space="preserve"> </v>
      </c>
      <c r="M198" s="2" t="str">
        <f t="shared" si="14"/>
        <v xml:space="preserve"> </v>
      </c>
    </row>
    <row r="199" spans="1:13" x14ac:dyDescent="0.25">
      <c r="A199" s="40" t="str">
        <f t="shared" si="10"/>
        <v xml:space="preserve"> </v>
      </c>
      <c r="D199" s="39"/>
      <c r="E199" s="39"/>
      <c r="J199" s="15">
        <f t="shared" si="11"/>
        <v>0</v>
      </c>
      <c r="K199" s="2" t="str">
        <f t="shared" si="12"/>
        <v xml:space="preserve"> </v>
      </c>
      <c r="L199" s="2" t="str">
        <f t="shared" si="13"/>
        <v xml:space="preserve"> </v>
      </c>
      <c r="M199" s="2" t="str">
        <f t="shared" si="14"/>
        <v xml:space="preserve"> </v>
      </c>
    </row>
    <row r="200" spans="1:13" x14ac:dyDescent="0.25">
      <c r="A200" s="40" t="str">
        <f t="shared" si="10"/>
        <v xml:space="preserve"> </v>
      </c>
      <c r="D200" s="39"/>
      <c r="E200" s="39"/>
      <c r="J200" s="15">
        <f t="shared" si="11"/>
        <v>0</v>
      </c>
      <c r="K200" s="2" t="str">
        <f t="shared" si="12"/>
        <v xml:space="preserve"> </v>
      </c>
      <c r="L200" s="2" t="str">
        <f t="shared" si="13"/>
        <v xml:space="preserve"> </v>
      </c>
      <c r="M200" s="2" t="str">
        <f t="shared" si="14"/>
        <v xml:space="preserve"> </v>
      </c>
    </row>
    <row r="201" spans="1:13" x14ac:dyDescent="0.25">
      <c r="A201" s="40" t="str">
        <f t="shared" si="10"/>
        <v xml:space="preserve"> </v>
      </c>
      <c r="D201" s="39"/>
      <c r="E201" s="39"/>
      <c r="J201" s="15">
        <f t="shared" si="11"/>
        <v>0</v>
      </c>
      <c r="K201" s="2" t="str">
        <f t="shared" si="12"/>
        <v xml:space="preserve"> </v>
      </c>
      <c r="L201" s="2" t="str">
        <f t="shared" si="13"/>
        <v xml:space="preserve"> </v>
      </c>
      <c r="M201" s="2" t="str">
        <f t="shared" si="14"/>
        <v xml:space="preserve"> </v>
      </c>
    </row>
    <row r="202" spans="1:13" x14ac:dyDescent="0.25">
      <c r="A202" s="40" t="str">
        <f t="shared" si="10"/>
        <v xml:space="preserve"> </v>
      </c>
      <c r="D202" s="39"/>
      <c r="E202" s="39"/>
      <c r="J202" s="15">
        <f t="shared" si="11"/>
        <v>0</v>
      </c>
      <c r="K202" s="2" t="str">
        <f t="shared" si="12"/>
        <v xml:space="preserve"> </v>
      </c>
      <c r="L202" s="2" t="str">
        <f t="shared" si="13"/>
        <v xml:space="preserve"> </v>
      </c>
      <c r="M202" s="2" t="str">
        <f t="shared" si="14"/>
        <v xml:space="preserve"> </v>
      </c>
    </row>
    <row r="203" spans="1:13" x14ac:dyDescent="0.25">
      <c r="A203" s="40" t="str">
        <f t="shared" si="10"/>
        <v xml:space="preserve"> </v>
      </c>
      <c r="D203" s="39"/>
      <c r="E203" s="39"/>
      <c r="J203" s="15">
        <f t="shared" si="11"/>
        <v>0</v>
      </c>
      <c r="K203" s="2" t="str">
        <f t="shared" si="12"/>
        <v xml:space="preserve"> </v>
      </c>
      <c r="L203" s="2" t="str">
        <f t="shared" si="13"/>
        <v xml:space="preserve"> </v>
      </c>
      <c r="M203" s="2" t="str">
        <f t="shared" si="14"/>
        <v xml:space="preserve"> </v>
      </c>
    </row>
    <row r="204" spans="1:13" x14ac:dyDescent="0.25">
      <c r="A204" s="40" t="str">
        <f t="shared" si="10"/>
        <v xml:space="preserve"> </v>
      </c>
      <c r="D204" s="39"/>
      <c r="E204" s="39"/>
      <c r="J204" s="15">
        <f t="shared" si="11"/>
        <v>0</v>
      </c>
      <c r="K204" s="2" t="str">
        <f t="shared" si="12"/>
        <v xml:space="preserve"> </v>
      </c>
      <c r="L204" s="2" t="str">
        <f t="shared" si="13"/>
        <v xml:space="preserve"> </v>
      </c>
      <c r="M204" s="2" t="str">
        <f t="shared" si="14"/>
        <v xml:space="preserve"> </v>
      </c>
    </row>
    <row r="205" spans="1:13" x14ac:dyDescent="0.25">
      <c r="A205" s="40" t="str">
        <f t="shared" si="10"/>
        <v xml:space="preserve"> </v>
      </c>
      <c r="D205" s="39"/>
      <c r="E205" s="39"/>
      <c r="J205" s="15">
        <f t="shared" si="11"/>
        <v>0</v>
      </c>
      <c r="K205" s="2" t="str">
        <f t="shared" si="12"/>
        <v xml:space="preserve"> </v>
      </c>
      <c r="L205" s="2" t="str">
        <f t="shared" si="13"/>
        <v xml:space="preserve"> </v>
      </c>
      <c r="M205" s="2" t="str">
        <f t="shared" si="14"/>
        <v xml:space="preserve"> </v>
      </c>
    </row>
    <row r="206" spans="1:13" x14ac:dyDescent="0.25">
      <c r="A206" s="40" t="str">
        <f t="shared" si="10"/>
        <v xml:space="preserve"> </v>
      </c>
      <c r="D206" s="39"/>
      <c r="E206" s="39"/>
      <c r="J206" s="15">
        <f t="shared" si="11"/>
        <v>0</v>
      </c>
      <c r="K206" s="2" t="str">
        <f t="shared" si="12"/>
        <v xml:space="preserve"> </v>
      </c>
      <c r="L206" s="2" t="str">
        <f t="shared" si="13"/>
        <v xml:space="preserve"> </v>
      </c>
      <c r="M206" s="2" t="str">
        <f t="shared" si="14"/>
        <v xml:space="preserve"> </v>
      </c>
    </row>
    <row r="207" spans="1:13" x14ac:dyDescent="0.25">
      <c r="A207" s="40" t="str">
        <f t="shared" ref="A207:A270" si="15">IF(COUNTIF(K207:M207,"ERROR")&gt;0,"ERROR"," ")</f>
        <v xml:space="preserve"> </v>
      </c>
      <c r="D207" s="39"/>
      <c r="E207" s="39"/>
      <c r="J207" s="15">
        <f t="shared" ref="J207:J270" si="16">F207-G207+H207-I207</f>
        <v>0</v>
      </c>
      <c r="K207" s="2" t="str">
        <f t="shared" si="12"/>
        <v xml:space="preserve"> </v>
      </c>
      <c r="L207" s="2" t="str">
        <f t="shared" si="13"/>
        <v xml:space="preserve"> </v>
      </c>
      <c r="M207" s="2" t="str">
        <f t="shared" si="14"/>
        <v xml:space="preserve"> </v>
      </c>
    </row>
    <row r="208" spans="1:13" x14ac:dyDescent="0.25">
      <c r="A208" s="40" t="str">
        <f t="shared" si="15"/>
        <v xml:space="preserve"> </v>
      </c>
      <c r="D208" s="39"/>
      <c r="E208" s="39"/>
      <c r="J208" s="15">
        <f t="shared" si="16"/>
        <v>0</v>
      </c>
      <c r="K208" s="2" t="str">
        <f t="shared" ref="K208:K271" si="17">IF(COUNTA(D208:E208)=2,"ERROR"," ")</f>
        <v xml:space="preserve"> </v>
      </c>
      <c r="L208" s="2" t="str">
        <f t="shared" ref="L208:L271" si="18">IF(D208=0," ",IF(COUNTIF(ProfitLoss,D208)&gt;0," ","ERROR"))</f>
        <v xml:space="preserve"> </v>
      </c>
      <c r="M208" s="2" t="str">
        <f t="shared" ref="M208:M271" si="19">IF(E208=0," ",IF(COUNTIF(BalanceSheet,E208)&gt;0," ","ERROR"))</f>
        <v xml:space="preserve"> </v>
      </c>
    </row>
    <row r="209" spans="1:13" x14ac:dyDescent="0.25">
      <c r="A209" s="40" t="str">
        <f t="shared" si="15"/>
        <v xml:space="preserve"> </v>
      </c>
      <c r="D209" s="39"/>
      <c r="E209" s="39"/>
      <c r="J209" s="15">
        <f t="shared" si="16"/>
        <v>0</v>
      </c>
      <c r="K209" s="2" t="str">
        <f t="shared" si="17"/>
        <v xml:space="preserve"> </v>
      </c>
      <c r="L209" s="2" t="str">
        <f t="shared" si="18"/>
        <v xml:space="preserve"> </v>
      </c>
      <c r="M209" s="2" t="str">
        <f t="shared" si="19"/>
        <v xml:space="preserve"> </v>
      </c>
    </row>
    <row r="210" spans="1:13" x14ac:dyDescent="0.25">
      <c r="A210" s="40" t="str">
        <f t="shared" si="15"/>
        <v xml:space="preserve"> </v>
      </c>
      <c r="D210" s="39"/>
      <c r="E210" s="39"/>
      <c r="J210" s="15">
        <f t="shared" si="16"/>
        <v>0</v>
      </c>
      <c r="K210" s="2" t="str">
        <f t="shared" si="17"/>
        <v xml:space="preserve"> </v>
      </c>
      <c r="L210" s="2" t="str">
        <f t="shared" si="18"/>
        <v xml:space="preserve"> </v>
      </c>
      <c r="M210" s="2" t="str">
        <f t="shared" si="19"/>
        <v xml:space="preserve"> </v>
      </c>
    </row>
    <row r="211" spans="1:13" x14ac:dyDescent="0.25">
      <c r="A211" s="40" t="str">
        <f t="shared" si="15"/>
        <v xml:space="preserve"> </v>
      </c>
      <c r="D211" s="39"/>
      <c r="E211" s="39"/>
      <c r="J211" s="15">
        <f t="shared" si="16"/>
        <v>0</v>
      </c>
      <c r="K211" s="2" t="str">
        <f t="shared" si="17"/>
        <v xml:space="preserve"> </v>
      </c>
      <c r="L211" s="2" t="str">
        <f t="shared" si="18"/>
        <v xml:space="preserve"> </v>
      </c>
      <c r="M211" s="2" t="str">
        <f t="shared" si="19"/>
        <v xml:space="preserve"> </v>
      </c>
    </row>
    <row r="212" spans="1:13" x14ac:dyDescent="0.25">
      <c r="A212" s="40" t="str">
        <f t="shared" si="15"/>
        <v xml:space="preserve"> </v>
      </c>
      <c r="D212" s="39"/>
      <c r="E212" s="39"/>
      <c r="J212" s="15">
        <f t="shared" si="16"/>
        <v>0</v>
      </c>
      <c r="K212" s="2" t="str">
        <f t="shared" si="17"/>
        <v xml:space="preserve"> </v>
      </c>
      <c r="L212" s="2" t="str">
        <f t="shared" si="18"/>
        <v xml:space="preserve"> </v>
      </c>
      <c r="M212" s="2" t="str">
        <f t="shared" si="19"/>
        <v xml:space="preserve"> </v>
      </c>
    </row>
    <row r="213" spans="1:13" x14ac:dyDescent="0.25">
      <c r="A213" s="40" t="str">
        <f t="shared" si="15"/>
        <v xml:space="preserve"> </v>
      </c>
      <c r="D213" s="39"/>
      <c r="E213" s="39"/>
      <c r="J213" s="15">
        <f t="shared" si="16"/>
        <v>0</v>
      </c>
      <c r="K213" s="2" t="str">
        <f t="shared" si="17"/>
        <v xml:space="preserve"> </v>
      </c>
      <c r="L213" s="2" t="str">
        <f t="shared" si="18"/>
        <v xml:space="preserve"> </v>
      </c>
      <c r="M213" s="2" t="str">
        <f t="shared" si="19"/>
        <v xml:space="preserve"> </v>
      </c>
    </row>
    <row r="214" spans="1:13" x14ac:dyDescent="0.25">
      <c r="A214" s="40" t="str">
        <f t="shared" si="15"/>
        <v xml:space="preserve"> </v>
      </c>
      <c r="D214" s="39"/>
      <c r="E214" s="39"/>
      <c r="J214" s="15">
        <f t="shared" si="16"/>
        <v>0</v>
      </c>
      <c r="K214" s="2" t="str">
        <f t="shared" si="17"/>
        <v xml:space="preserve"> </v>
      </c>
      <c r="L214" s="2" t="str">
        <f t="shared" si="18"/>
        <v xml:space="preserve"> </v>
      </c>
      <c r="M214" s="2" t="str">
        <f t="shared" si="19"/>
        <v xml:space="preserve"> </v>
      </c>
    </row>
    <row r="215" spans="1:13" x14ac:dyDescent="0.25">
      <c r="A215" s="40" t="str">
        <f t="shared" si="15"/>
        <v xml:space="preserve"> </v>
      </c>
      <c r="D215" s="39"/>
      <c r="E215" s="39"/>
      <c r="J215" s="15">
        <f t="shared" si="16"/>
        <v>0</v>
      </c>
      <c r="K215" s="2" t="str">
        <f t="shared" si="17"/>
        <v xml:space="preserve"> </v>
      </c>
      <c r="L215" s="2" t="str">
        <f t="shared" si="18"/>
        <v xml:space="preserve"> </v>
      </c>
      <c r="M215" s="2" t="str">
        <f t="shared" si="19"/>
        <v xml:space="preserve"> </v>
      </c>
    </row>
    <row r="216" spans="1:13" x14ac:dyDescent="0.25">
      <c r="A216" s="40" t="str">
        <f t="shared" si="15"/>
        <v xml:space="preserve"> </v>
      </c>
      <c r="D216" s="39"/>
      <c r="E216" s="39"/>
      <c r="J216" s="15">
        <f t="shared" si="16"/>
        <v>0</v>
      </c>
      <c r="K216" s="2" t="str">
        <f t="shared" si="17"/>
        <v xml:space="preserve"> </v>
      </c>
      <c r="L216" s="2" t="str">
        <f t="shared" si="18"/>
        <v xml:space="preserve"> </v>
      </c>
      <c r="M216" s="2" t="str">
        <f t="shared" si="19"/>
        <v xml:space="preserve"> </v>
      </c>
    </row>
    <row r="217" spans="1:13" x14ac:dyDescent="0.25">
      <c r="A217" s="40" t="str">
        <f t="shared" si="15"/>
        <v xml:space="preserve"> </v>
      </c>
      <c r="D217" s="39"/>
      <c r="E217" s="39"/>
      <c r="J217" s="15">
        <f t="shared" si="16"/>
        <v>0</v>
      </c>
      <c r="K217" s="2" t="str">
        <f t="shared" si="17"/>
        <v xml:space="preserve"> </v>
      </c>
      <c r="L217" s="2" t="str">
        <f t="shared" si="18"/>
        <v xml:space="preserve"> </v>
      </c>
      <c r="M217" s="2" t="str">
        <f t="shared" si="19"/>
        <v xml:space="preserve"> </v>
      </c>
    </row>
    <row r="218" spans="1:13" x14ac:dyDescent="0.25">
      <c r="A218" s="40" t="str">
        <f t="shared" si="15"/>
        <v xml:space="preserve"> </v>
      </c>
      <c r="D218" s="39"/>
      <c r="E218" s="39"/>
      <c r="J218" s="15">
        <f t="shared" si="16"/>
        <v>0</v>
      </c>
      <c r="K218" s="2" t="str">
        <f t="shared" si="17"/>
        <v xml:space="preserve"> </v>
      </c>
      <c r="L218" s="2" t="str">
        <f t="shared" si="18"/>
        <v xml:space="preserve"> </v>
      </c>
      <c r="M218" s="2" t="str">
        <f t="shared" si="19"/>
        <v xml:space="preserve"> </v>
      </c>
    </row>
    <row r="219" spans="1:13" x14ac:dyDescent="0.25">
      <c r="A219" s="40" t="str">
        <f t="shared" si="15"/>
        <v xml:space="preserve"> </v>
      </c>
      <c r="D219" s="39"/>
      <c r="E219" s="39"/>
      <c r="J219" s="15">
        <f t="shared" si="16"/>
        <v>0</v>
      </c>
      <c r="K219" s="2" t="str">
        <f t="shared" si="17"/>
        <v xml:space="preserve"> </v>
      </c>
      <c r="L219" s="2" t="str">
        <f t="shared" si="18"/>
        <v xml:space="preserve"> </v>
      </c>
      <c r="M219" s="2" t="str">
        <f t="shared" si="19"/>
        <v xml:space="preserve"> </v>
      </c>
    </row>
    <row r="220" spans="1:13" x14ac:dyDescent="0.25">
      <c r="A220" s="40" t="str">
        <f t="shared" si="15"/>
        <v xml:space="preserve"> </v>
      </c>
      <c r="D220" s="39"/>
      <c r="E220" s="39"/>
      <c r="J220" s="15">
        <f t="shared" si="16"/>
        <v>0</v>
      </c>
      <c r="K220" s="2" t="str">
        <f t="shared" si="17"/>
        <v xml:space="preserve"> </v>
      </c>
      <c r="L220" s="2" t="str">
        <f t="shared" si="18"/>
        <v xml:space="preserve"> </v>
      </c>
      <c r="M220" s="2" t="str">
        <f t="shared" si="19"/>
        <v xml:space="preserve"> </v>
      </c>
    </row>
    <row r="221" spans="1:13" x14ac:dyDescent="0.25">
      <c r="A221" s="40" t="str">
        <f t="shared" si="15"/>
        <v xml:space="preserve"> </v>
      </c>
      <c r="D221" s="39"/>
      <c r="E221" s="39"/>
      <c r="J221" s="15">
        <f t="shared" si="16"/>
        <v>0</v>
      </c>
      <c r="K221" s="2" t="str">
        <f t="shared" si="17"/>
        <v xml:space="preserve"> </v>
      </c>
      <c r="L221" s="2" t="str">
        <f t="shared" si="18"/>
        <v xml:space="preserve"> </v>
      </c>
      <c r="M221" s="2" t="str">
        <f t="shared" si="19"/>
        <v xml:space="preserve"> </v>
      </c>
    </row>
    <row r="222" spans="1:13" x14ac:dyDescent="0.25">
      <c r="A222" s="40" t="str">
        <f t="shared" si="15"/>
        <v xml:space="preserve"> </v>
      </c>
      <c r="D222" s="39"/>
      <c r="E222" s="39"/>
      <c r="J222" s="15">
        <f t="shared" si="16"/>
        <v>0</v>
      </c>
      <c r="K222" s="2" t="str">
        <f t="shared" si="17"/>
        <v xml:space="preserve"> </v>
      </c>
      <c r="L222" s="2" t="str">
        <f t="shared" si="18"/>
        <v xml:space="preserve"> </v>
      </c>
      <c r="M222" s="2" t="str">
        <f t="shared" si="19"/>
        <v xml:space="preserve"> </v>
      </c>
    </row>
    <row r="223" spans="1:13" x14ac:dyDescent="0.25">
      <c r="A223" s="40" t="str">
        <f t="shared" si="15"/>
        <v xml:space="preserve"> </v>
      </c>
      <c r="D223" s="39"/>
      <c r="E223" s="39"/>
      <c r="J223" s="15">
        <f t="shared" si="16"/>
        <v>0</v>
      </c>
      <c r="K223" s="2" t="str">
        <f t="shared" si="17"/>
        <v xml:space="preserve"> </v>
      </c>
      <c r="L223" s="2" t="str">
        <f t="shared" si="18"/>
        <v xml:space="preserve"> </v>
      </c>
      <c r="M223" s="2" t="str">
        <f t="shared" si="19"/>
        <v xml:space="preserve"> </v>
      </c>
    </row>
    <row r="224" spans="1:13" x14ac:dyDescent="0.25">
      <c r="A224" s="40" t="str">
        <f t="shared" si="15"/>
        <v xml:space="preserve"> </v>
      </c>
      <c r="D224" s="39"/>
      <c r="E224" s="39"/>
      <c r="J224" s="15">
        <f t="shared" si="16"/>
        <v>0</v>
      </c>
      <c r="K224" s="2" t="str">
        <f t="shared" si="17"/>
        <v xml:space="preserve"> </v>
      </c>
      <c r="L224" s="2" t="str">
        <f t="shared" si="18"/>
        <v xml:space="preserve"> </v>
      </c>
      <c r="M224" s="2" t="str">
        <f t="shared" si="19"/>
        <v xml:space="preserve"> </v>
      </c>
    </row>
    <row r="225" spans="1:13" x14ac:dyDescent="0.25">
      <c r="A225" s="40" t="str">
        <f t="shared" si="15"/>
        <v xml:space="preserve"> </v>
      </c>
      <c r="D225" s="39"/>
      <c r="E225" s="39"/>
      <c r="J225" s="15">
        <f t="shared" si="16"/>
        <v>0</v>
      </c>
      <c r="K225" s="2" t="str">
        <f t="shared" si="17"/>
        <v xml:space="preserve"> </v>
      </c>
      <c r="L225" s="2" t="str">
        <f t="shared" si="18"/>
        <v xml:space="preserve"> </v>
      </c>
      <c r="M225" s="2" t="str">
        <f t="shared" si="19"/>
        <v xml:space="preserve"> </v>
      </c>
    </row>
    <row r="226" spans="1:13" x14ac:dyDescent="0.25">
      <c r="A226" s="40" t="str">
        <f t="shared" si="15"/>
        <v xml:space="preserve"> </v>
      </c>
      <c r="D226" s="39"/>
      <c r="E226" s="39"/>
      <c r="J226" s="15">
        <f t="shared" si="16"/>
        <v>0</v>
      </c>
      <c r="K226" s="2" t="str">
        <f t="shared" si="17"/>
        <v xml:space="preserve"> </v>
      </c>
      <c r="L226" s="2" t="str">
        <f t="shared" si="18"/>
        <v xml:space="preserve"> </v>
      </c>
      <c r="M226" s="2" t="str">
        <f t="shared" si="19"/>
        <v xml:space="preserve"> </v>
      </c>
    </row>
    <row r="227" spans="1:13" x14ac:dyDescent="0.25">
      <c r="A227" s="40" t="str">
        <f t="shared" si="15"/>
        <v xml:space="preserve"> </v>
      </c>
      <c r="D227" s="39"/>
      <c r="E227" s="39"/>
      <c r="J227" s="15">
        <f t="shared" si="16"/>
        <v>0</v>
      </c>
      <c r="K227" s="2" t="str">
        <f t="shared" si="17"/>
        <v xml:space="preserve"> </v>
      </c>
      <c r="L227" s="2" t="str">
        <f t="shared" si="18"/>
        <v xml:space="preserve"> </v>
      </c>
      <c r="M227" s="2" t="str">
        <f t="shared" si="19"/>
        <v xml:space="preserve"> </v>
      </c>
    </row>
    <row r="228" spans="1:13" x14ac:dyDescent="0.25">
      <c r="A228" s="40" t="str">
        <f t="shared" si="15"/>
        <v xml:space="preserve"> </v>
      </c>
      <c r="D228" s="39"/>
      <c r="E228" s="39"/>
      <c r="J228" s="15">
        <f t="shared" si="16"/>
        <v>0</v>
      </c>
      <c r="K228" s="2" t="str">
        <f t="shared" si="17"/>
        <v xml:space="preserve"> </v>
      </c>
      <c r="L228" s="2" t="str">
        <f t="shared" si="18"/>
        <v xml:space="preserve"> </v>
      </c>
      <c r="M228" s="2" t="str">
        <f t="shared" si="19"/>
        <v xml:space="preserve"> </v>
      </c>
    </row>
    <row r="229" spans="1:13" x14ac:dyDescent="0.25">
      <c r="A229" s="40" t="str">
        <f t="shared" si="15"/>
        <v xml:space="preserve"> </v>
      </c>
      <c r="D229" s="39"/>
      <c r="E229" s="39"/>
      <c r="J229" s="15">
        <f t="shared" si="16"/>
        <v>0</v>
      </c>
      <c r="K229" s="2" t="str">
        <f t="shared" si="17"/>
        <v xml:space="preserve"> </v>
      </c>
      <c r="L229" s="2" t="str">
        <f t="shared" si="18"/>
        <v xml:space="preserve"> </v>
      </c>
      <c r="M229" s="2" t="str">
        <f t="shared" si="19"/>
        <v xml:space="preserve"> </v>
      </c>
    </row>
    <row r="230" spans="1:13" x14ac:dyDescent="0.25">
      <c r="A230" s="40" t="str">
        <f t="shared" si="15"/>
        <v xml:space="preserve"> </v>
      </c>
      <c r="D230" s="39"/>
      <c r="E230" s="39"/>
      <c r="J230" s="15">
        <f t="shared" si="16"/>
        <v>0</v>
      </c>
      <c r="K230" s="2" t="str">
        <f t="shared" si="17"/>
        <v xml:space="preserve"> </v>
      </c>
      <c r="L230" s="2" t="str">
        <f t="shared" si="18"/>
        <v xml:space="preserve"> </v>
      </c>
      <c r="M230" s="2" t="str">
        <f t="shared" si="19"/>
        <v xml:space="preserve"> </v>
      </c>
    </row>
    <row r="231" spans="1:13" x14ac:dyDescent="0.25">
      <c r="A231" s="40" t="str">
        <f t="shared" si="15"/>
        <v xml:space="preserve"> </v>
      </c>
      <c r="D231" s="39"/>
      <c r="E231" s="39"/>
      <c r="J231" s="15">
        <f t="shared" si="16"/>
        <v>0</v>
      </c>
      <c r="K231" s="2" t="str">
        <f t="shared" si="17"/>
        <v xml:space="preserve"> </v>
      </c>
      <c r="L231" s="2" t="str">
        <f t="shared" si="18"/>
        <v xml:space="preserve"> </v>
      </c>
      <c r="M231" s="2" t="str">
        <f t="shared" si="19"/>
        <v xml:space="preserve"> </v>
      </c>
    </row>
    <row r="232" spans="1:13" x14ac:dyDescent="0.25">
      <c r="A232" s="40" t="str">
        <f t="shared" si="15"/>
        <v xml:space="preserve"> </v>
      </c>
      <c r="D232" s="39"/>
      <c r="E232" s="39"/>
      <c r="J232" s="15">
        <f t="shared" si="16"/>
        <v>0</v>
      </c>
      <c r="K232" s="2" t="str">
        <f t="shared" si="17"/>
        <v xml:space="preserve"> </v>
      </c>
      <c r="L232" s="2" t="str">
        <f t="shared" si="18"/>
        <v xml:space="preserve"> </v>
      </c>
      <c r="M232" s="2" t="str">
        <f t="shared" si="19"/>
        <v xml:space="preserve"> </v>
      </c>
    </row>
    <row r="233" spans="1:13" x14ac:dyDescent="0.25">
      <c r="A233" s="40" t="str">
        <f t="shared" si="15"/>
        <v xml:space="preserve"> </v>
      </c>
      <c r="D233" s="39"/>
      <c r="E233" s="39"/>
      <c r="J233" s="15">
        <f t="shared" si="16"/>
        <v>0</v>
      </c>
      <c r="K233" s="2" t="str">
        <f t="shared" si="17"/>
        <v xml:space="preserve"> </v>
      </c>
      <c r="L233" s="2" t="str">
        <f t="shared" si="18"/>
        <v xml:space="preserve"> </v>
      </c>
      <c r="M233" s="2" t="str">
        <f t="shared" si="19"/>
        <v xml:space="preserve"> </v>
      </c>
    </row>
    <row r="234" spans="1:13" x14ac:dyDescent="0.25">
      <c r="A234" s="40" t="str">
        <f t="shared" si="15"/>
        <v xml:space="preserve"> </v>
      </c>
      <c r="D234" s="39"/>
      <c r="E234" s="39"/>
      <c r="J234" s="15">
        <f t="shared" si="16"/>
        <v>0</v>
      </c>
      <c r="K234" s="2" t="str">
        <f t="shared" si="17"/>
        <v xml:space="preserve"> </v>
      </c>
      <c r="L234" s="2" t="str">
        <f t="shared" si="18"/>
        <v xml:space="preserve"> </v>
      </c>
      <c r="M234" s="2" t="str">
        <f t="shared" si="19"/>
        <v xml:space="preserve"> </v>
      </c>
    </row>
    <row r="235" spans="1:13" x14ac:dyDescent="0.25">
      <c r="A235" s="40" t="str">
        <f t="shared" si="15"/>
        <v xml:space="preserve"> </v>
      </c>
      <c r="D235" s="39"/>
      <c r="E235" s="39"/>
      <c r="J235" s="15">
        <f t="shared" si="16"/>
        <v>0</v>
      </c>
      <c r="K235" s="2" t="str">
        <f t="shared" si="17"/>
        <v xml:space="preserve"> </v>
      </c>
      <c r="L235" s="2" t="str">
        <f t="shared" si="18"/>
        <v xml:space="preserve"> </v>
      </c>
      <c r="M235" s="2" t="str">
        <f t="shared" si="19"/>
        <v xml:space="preserve"> </v>
      </c>
    </row>
    <row r="236" spans="1:13" x14ac:dyDescent="0.25">
      <c r="A236" s="40" t="str">
        <f t="shared" si="15"/>
        <v xml:space="preserve"> </v>
      </c>
      <c r="D236" s="39"/>
      <c r="E236" s="39"/>
      <c r="J236" s="15">
        <f t="shared" si="16"/>
        <v>0</v>
      </c>
      <c r="K236" s="2" t="str">
        <f t="shared" si="17"/>
        <v xml:space="preserve"> </v>
      </c>
      <c r="L236" s="2" t="str">
        <f t="shared" si="18"/>
        <v xml:space="preserve"> </v>
      </c>
      <c r="M236" s="2" t="str">
        <f t="shared" si="19"/>
        <v xml:space="preserve"> </v>
      </c>
    </row>
    <row r="237" spans="1:13" x14ac:dyDescent="0.25">
      <c r="A237" s="40" t="str">
        <f t="shared" si="15"/>
        <v xml:space="preserve"> </v>
      </c>
      <c r="D237" s="39"/>
      <c r="E237" s="39"/>
      <c r="J237" s="15">
        <f t="shared" si="16"/>
        <v>0</v>
      </c>
      <c r="K237" s="2" t="str">
        <f t="shared" si="17"/>
        <v xml:space="preserve"> </v>
      </c>
      <c r="L237" s="2" t="str">
        <f t="shared" si="18"/>
        <v xml:space="preserve"> </v>
      </c>
      <c r="M237" s="2" t="str">
        <f t="shared" si="19"/>
        <v xml:space="preserve"> </v>
      </c>
    </row>
    <row r="238" spans="1:13" x14ac:dyDescent="0.25">
      <c r="A238" s="40" t="str">
        <f t="shared" si="15"/>
        <v xml:space="preserve"> </v>
      </c>
      <c r="D238" s="39"/>
      <c r="E238" s="39"/>
      <c r="J238" s="15">
        <f t="shared" si="16"/>
        <v>0</v>
      </c>
      <c r="K238" s="2" t="str">
        <f t="shared" si="17"/>
        <v xml:space="preserve"> </v>
      </c>
      <c r="L238" s="2" t="str">
        <f t="shared" si="18"/>
        <v xml:space="preserve"> </v>
      </c>
      <c r="M238" s="2" t="str">
        <f t="shared" si="19"/>
        <v xml:space="preserve"> </v>
      </c>
    </row>
    <row r="239" spans="1:13" x14ac:dyDescent="0.25">
      <c r="A239" s="40" t="str">
        <f t="shared" si="15"/>
        <v xml:space="preserve"> </v>
      </c>
      <c r="D239" s="39"/>
      <c r="E239" s="39"/>
      <c r="J239" s="15">
        <f t="shared" si="16"/>
        <v>0</v>
      </c>
      <c r="K239" s="2" t="str">
        <f t="shared" si="17"/>
        <v xml:space="preserve"> </v>
      </c>
      <c r="L239" s="2" t="str">
        <f t="shared" si="18"/>
        <v xml:space="preserve"> </v>
      </c>
      <c r="M239" s="2" t="str">
        <f t="shared" si="19"/>
        <v xml:space="preserve"> </v>
      </c>
    </row>
    <row r="240" spans="1:13" x14ac:dyDescent="0.25">
      <c r="A240" s="40" t="str">
        <f t="shared" si="15"/>
        <v xml:space="preserve"> </v>
      </c>
      <c r="D240" s="39"/>
      <c r="E240" s="39"/>
      <c r="J240" s="15">
        <f t="shared" si="16"/>
        <v>0</v>
      </c>
      <c r="K240" s="2" t="str">
        <f t="shared" si="17"/>
        <v xml:space="preserve"> </v>
      </c>
      <c r="L240" s="2" t="str">
        <f t="shared" si="18"/>
        <v xml:space="preserve"> </v>
      </c>
      <c r="M240" s="2" t="str">
        <f t="shared" si="19"/>
        <v xml:space="preserve"> </v>
      </c>
    </row>
    <row r="241" spans="1:13" x14ac:dyDescent="0.25">
      <c r="A241" s="40" t="str">
        <f t="shared" si="15"/>
        <v xml:space="preserve"> </v>
      </c>
      <c r="D241" s="39"/>
      <c r="E241" s="39"/>
      <c r="J241" s="15">
        <f t="shared" si="16"/>
        <v>0</v>
      </c>
      <c r="K241" s="2" t="str">
        <f t="shared" si="17"/>
        <v xml:space="preserve"> </v>
      </c>
      <c r="L241" s="2" t="str">
        <f t="shared" si="18"/>
        <v xml:space="preserve"> </v>
      </c>
      <c r="M241" s="2" t="str">
        <f t="shared" si="19"/>
        <v xml:space="preserve"> </v>
      </c>
    </row>
    <row r="242" spans="1:13" x14ac:dyDescent="0.25">
      <c r="A242" s="40" t="str">
        <f t="shared" si="15"/>
        <v xml:space="preserve"> </v>
      </c>
      <c r="D242" s="39"/>
      <c r="E242" s="39"/>
      <c r="J242" s="15">
        <f t="shared" si="16"/>
        <v>0</v>
      </c>
      <c r="K242" s="2" t="str">
        <f t="shared" si="17"/>
        <v xml:space="preserve"> </v>
      </c>
      <c r="L242" s="2" t="str">
        <f t="shared" si="18"/>
        <v xml:space="preserve"> </v>
      </c>
      <c r="M242" s="2" t="str">
        <f t="shared" si="19"/>
        <v xml:space="preserve"> </v>
      </c>
    </row>
    <row r="243" spans="1:13" x14ac:dyDescent="0.25">
      <c r="A243" s="40" t="str">
        <f t="shared" si="15"/>
        <v xml:space="preserve"> </v>
      </c>
      <c r="D243" s="39"/>
      <c r="E243" s="39"/>
      <c r="J243" s="15">
        <f t="shared" si="16"/>
        <v>0</v>
      </c>
      <c r="K243" s="2" t="str">
        <f t="shared" si="17"/>
        <v xml:space="preserve"> </v>
      </c>
      <c r="L243" s="2" t="str">
        <f t="shared" si="18"/>
        <v xml:space="preserve"> </v>
      </c>
      <c r="M243" s="2" t="str">
        <f t="shared" si="19"/>
        <v xml:space="preserve"> </v>
      </c>
    </row>
    <row r="244" spans="1:13" x14ac:dyDescent="0.25">
      <c r="A244" s="40" t="str">
        <f t="shared" si="15"/>
        <v xml:space="preserve"> </v>
      </c>
      <c r="D244" s="39"/>
      <c r="E244" s="39"/>
      <c r="J244" s="15">
        <f t="shared" si="16"/>
        <v>0</v>
      </c>
      <c r="K244" s="2" t="str">
        <f t="shared" si="17"/>
        <v xml:space="preserve"> </v>
      </c>
      <c r="L244" s="2" t="str">
        <f t="shared" si="18"/>
        <v xml:space="preserve"> </v>
      </c>
      <c r="M244" s="2" t="str">
        <f t="shared" si="19"/>
        <v xml:space="preserve"> </v>
      </c>
    </row>
    <row r="245" spans="1:13" x14ac:dyDescent="0.25">
      <c r="A245" s="40" t="str">
        <f t="shared" si="15"/>
        <v xml:space="preserve"> </v>
      </c>
      <c r="D245" s="39"/>
      <c r="E245" s="39"/>
      <c r="J245" s="15">
        <f t="shared" si="16"/>
        <v>0</v>
      </c>
      <c r="K245" s="2" t="str">
        <f t="shared" si="17"/>
        <v xml:space="preserve"> </v>
      </c>
      <c r="L245" s="2" t="str">
        <f t="shared" si="18"/>
        <v xml:space="preserve"> </v>
      </c>
      <c r="M245" s="2" t="str">
        <f t="shared" si="19"/>
        <v xml:space="preserve"> </v>
      </c>
    </row>
    <row r="246" spans="1:13" x14ac:dyDescent="0.25">
      <c r="A246" s="40" t="str">
        <f t="shared" si="15"/>
        <v xml:space="preserve"> </v>
      </c>
      <c r="D246" s="39"/>
      <c r="E246" s="39"/>
      <c r="J246" s="15">
        <f t="shared" si="16"/>
        <v>0</v>
      </c>
      <c r="K246" s="2" t="str">
        <f t="shared" si="17"/>
        <v xml:space="preserve"> </v>
      </c>
      <c r="L246" s="2" t="str">
        <f t="shared" si="18"/>
        <v xml:space="preserve"> </v>
      </c>
      <c r="M246" s="2" t="str">
        <f t="shared" si="19"/>
        <v xml:space="preserve"> </v>
      </c>
    </row>
    <row r="247" spans="1:13" x14ac:dyDescent="0.25">
      <c r="A247" s="40" t="str">
        <f t="shared" si="15"/>
        <v xml:space="preserve"> </v>
      </c>
      <c r="D247" s="39"/>
      <c r="E247" s="39"/>
      <c r="J247" s="15">
        <f t="shared" si="16"/>
        <v>0</v>
      </c>
      <c r="K247" s="2" t="str">
        <f t="shared" si="17"/>
        <v xml:space="preserve"> </v>
      </c>
      <c r="L247" s="2" t="str">
        <f t="shared" si="18"/>
        <v xml:space="preserve"> </v>
      </c>
      <c r="M247" s="2" t="str">
        <f t="shared" si="19"/>
        <v xml:space="preserve"> </v>
      </c>
    </row>
    <row r="248" spans="1:13" x14ac:dyDescent="0.25">
      <c r="A248" s="40" t="str">
        <f t="shared" si="15"/>
        <v xml:space="preserve"> </v>
      </c>
      <c r="D248" s="39"/>
      <c r="E248" s="39"/>
      <c r="J248" s="15">
        <f t="shared" si="16"/>
        <v>0</v>
      </c>
      <c r="K248" s="2" t="str">
        <f t="shared" si="17"/>
        <v xml:space="preserve"> </v>
      </c>
      <c r="L248" s="2" t="str">
        <f t="shared" si="18"/>
        <v xml:space="preserve"> </v>
      </c>
      <c r="M248" s="2" t="str">
        <f t="shared" si="19"/>
        <v xml:space="preserve"> </v>
      </c>
    </row>
    <row r="249" spans="1:13" x14ac:dyDescent="0.25">
      <c r="A249" s="40" t="str">
        <f t="shared" si="15"/>
        <v xml:space="preserve"> </v>
      </c>
      <c r="D249" s="39"/>
      <c r="E249" s="39"/>
      <c r="J249" s="15">
        <f t="shared" si="16"/>
        <v>0</v>
      </c>
      <c r="K249" s="2" t="str">
        <f t="shared" si="17"/>
        <v xml:space="preserve"> </v>
      </c>
      <c r="L249" s="2" t="str">
        <f t="shared" si="18"/>
        <v xml:space="preserve"> </v>
      </c>
      <c r="M249" s="2" t="str">
        <f t="shared" si="19"/>
        <v xml:space="preserve"> </v>
      </c>
    </row>
    <row r="250" spans="1:13" x14ac:dyDescent="0.25">
      <c r="A250" s="40" t="str">
        <f t="shared" si="15"/>
        <v xml:space="preserve"> </v>
      </c>
      <c r="D250" s="39"/>
      <c r="E250" s="39"/>
      <c r="J250" s="15">
        <f t="shared" si="16"/>
        <v>0</v>
      </c>
      <c r="K250" s="2" t="str">
        <f t="shared" si="17"/>
        <v xml:space="preserve"> </v>
      </c>
      <c r="L250" s="2" t="str">
        <f t="shared" si="18"/>
        <v xml:space="preserve"> </v>
      </c>
      <c r="M250" s="2" t="str">
        <f t="shared" si="19"/>
        <v xml:space="preserve"> </v>
      </c>
    </row>
    <row r="251" spans="1:13" x14ac:dyDescent="0.25">
      <c r="A251" s="40" t="str">
        <f t="shared" si="15"/>
        <v xml:space="preserve"> </v>
      </c>
      <c r="D251" s="39"/>
      <c r="E251" s="39"/>
      <c r="J251" s="15">
        <f t="shared" si="16"/>
        <v>0</v>
      </c>
      <c r="K251" s="2" t="str">
        <f t="shared" si="17"/>
        <v xml:space="preserve"> </v>
      </c>
      <c r="L251" s="2" t="str">
        <f t="shared" si="18"/>
        <v xml:space="preserve"> </v>
      </c>
      <c r="M251" s="2" t="str">
        <f t="shared" si="19"/>
        <v xml:space="preserve"> </v>
      </c>
    </row>
    <row r="252" spans="1:13" x14ac:dyDescent="0.25">
      <c r="A252" s="40" t="str">
        <f t="shared" si="15"/>
        <v xml:space="preserve"> </v>
      </c>
      <c r="D252" s="39"/>
      <c r="E252" s="39"/>
      <c r="J252" s="15">
        <f t="shared" si="16"/>
        <v>0</v>
      </c>
      <c r="K252" s="2" t="str">
        <f t="shared" si="17"/>
        <v xml:space="preserve"> </v>
      </c>
      <c r="L252" s="2" t="str">
        <f t="shared" si="18"/>
        <v xml:space="preserve"> </v>
      </c>
      <c r="M252" s="2" t="str">
        <f t="shared" si="19"/>
        <v xml:space="preserve"> </v>
      </c>
    </row>
    <row r="253" spans="1:13" x14ac:dyDescent="0.25">
      <c r="A253" s="40" t="str">
        <f t="shared" si="15"/>
        <v xml:space="preserve"> </v>
      </c>
      <c r="D253" s="39"/>
      <c r="E253" s="39"/>
      <c r="J253" s="15">
        <f t="shared" si="16"/>
        <v>0</v>
      </c>
      <c r="K253" s="2" t="str">
        <f t="shared" si="17"/>
        <v xml:space="preserve"> </v>
      </c>
      <c r="L253" s="2" t="str">
        <f t="shared" si="18"/>
        <v xml:space="preserve"> </v>
      </c>
      <c r="M253" s="2" t="str">
        <f t="shared" si="19"/>
        <v xml:space="preserve"> </v>
      </c>
    </row>
    <row r="254" spans="1:13" x14ac:dyDescent="0.25">
      <c r="A254" s="40" t="str">
        <f t="shared" si="15"/>
        <v xml:space="preserve"> </v>
      </c>
      <c r="D254" s="39"/>
      <c r="E254" s="39"/>
      <c r="J254" s="15">
        <f t="shared" si="16"/>
        <v>0</v>
      </c>
      <c r="K254" s="2" t="str">
        <f t="shared" si="17"/>
        <v xml:space="preserve"> </v>
      </c>
      <c r="L254" s="2" t="str">
        <f t="shared" si="18"/>
        <v xml:space="preserve"> </v>
      </c>
      <c r="M254" s="2" t="str">
        <f t="shared" si="19"/>
        <v xml:space="preserve"> </v>
      </c>
    </row>
    <row r="255" spans="1:13" x14ac:dyDescent="0.25">
      <c r="A255" s="40" t="str">
        <f t="shared" si="15"/>
        <v xml:space="preserve"> </v>
      </c>
      <c r="D255" s="39"/>
      <c r="E255" s="39"/>
      <c r="J255" s="15">
        <f t="shared" si="16"/>
        <v>0</v>
      </c>
      <c r="K255" s="2" t="str">
        <f t="shared" si="17"/>
        <v xml:space="preserve"> </v>
      </c>
      <c r="L255" s="2" t="str">
        <f t="shared" si="18"/>
        <v xml:space="preserve"> </v>
      </c>
      <c r="M255" s="2" t="str">
        <f t="shared" si="19"/>
        <v xml:space="preserve"> </v>
      </c>
    </row>
    <row r="256" spans="1:13" x14ac:dyDescent="0.25">
      <c r="A256" s="40" t="str">
        <f t="shared" si="15"/>
        <v xml:space="preserve"> </v>
      </c>
      <c r="D256" s="39"/>
      <c r="E256" s="39"/>
      <c r="J256" s="15">
        <f t="shared" si="16"/>
        <v>0</v>
      </c>
      <c r="K256" s="2" t="str">
        <f t="shared" si="17"/>
        <v xml:space="preserve"> </v>
      </c>
      <c r="L256" s="2" t="str">
        <f t="shared" si="18"/>
        <v xml:space="preserve"> </v>
      </c>
      <c r="M256" s="2" t="str">
        <f t="shared" si="19"/>
        <v xml:space="preserve"> </v>
      </c>
    </row>
    <row r="257" spans="1:13" x14ac:dyDescent="0.25">
      <c r="A257" s="40" t="str">
        <f t="shared" si="15"/>
        <v xml:space="preserve"> </v>
      </c>
      <c r="D257" s="39"/>
      <c r="E257" s="39"/>
      <c r="J257" s="15">
        <f t="shared" si="16"/>
        <v>0</v>
      </c>
      <c r="K257" s="2" t="str">
        <f t="shared" si="17"/>
        <v xml:space="preserve"> </v>
      </c>
      <c r="L257" s="2" t="str">
        <f t="shared" si="18"/>
        <v xml:space="preserve"> </v>
      </c>
      <c r="M257" s="2" t="str">
        <f t="shared" si="19"/>
        <v xml:space="preserve"> </v>
      </c>
    </row>
    <row r="258" spans="1:13" x14ac:dyDescent="0.25">
      <c r="A258" s="40" t="str">
        <f t="shared" si="15"/>
        <v xml:space="preserve"> </v>
      </c>
      <c r="D258" s="39"/>
      <c r="E258" s="39"/>
      <c r="J258" s="15">
        <f t="shared" si="16"/>
        <v>0</v>
      </c>
      <c r="K258" s="2" t="str">
        <f t="shared" si="17"/>
        <v xml:space="preserve"> </v>
      </c>
      <c r="L258" s="2" t="str">
        <f t="shared" si="18"/>
        <v xml:space="preserve"> </v>
      </c>
      <c r="M258" s="2" t="str">
        <f t="shared" si="19"/>
        <v xml:space="preserve"> </v>
      </c>
    </row>
    <row r="259" spans="1:13" x14ac:dyDescent="0.25">
      <c r="A259" s="40" t="str">
        <f t="shared" si="15"/>
        <v xml:space="preserve"> </v>
      </c>
      <c r="D259" s="39"/>
      <c r="E259" s="39"/>
      <c r="J259" s="15">
        <f t="shared" si="16"/>
        <v>0</v>
      </c>
      <c r="K259" s="2" t="str">
        <f t="shared" si="17"/>
        <v xml:space="preserve"> </v>
      </c>
      <c r="L259" s="2" t="str">
        <f t="shared" si="18"/>
        <v xml:space="preserve"> </v>
      </c>
      <c r="M259" s="2" t="str">
        <f t="shared" si="19"/>
        <v xml:space="preserve"> </v>
      </c>
    </row>
    <row r="260" spans="1:13" x14ac:dyDescent="0.25">
      <c r="A260" s="40" t="str">
        <f t="shared" si="15"/>
        <v xml:space="preserve"> </v>
      </c>
      <c r="D260" s="39"/>
      <c r="E260" s="39"/>
      <c r="J260" s="15">
        <f t="shared" si="16"/>
        <v>0</v>
      </c>
      <c r="K260" s="2" t="str">
        <f t="shared" si="17"/>
        <v xml:space="preserve"> </v>
      </c>
      <c r="L260" s="2" t="str">
        <f t="shared" si="18"/>
        <v xml:space="preserve"> </v>
      </c>
      <c r="M260" s="2" t="str">
        <f t="shared" si="19"/>
        <v xml:space="preserve"> </v>
      </c>
    </row>
    <row r="261" spans="1:13" x14ac:dyDescent="0.25">
      <c r="A261" s="40" t="str">
        <f t="shared" si="15"/>
        <v xml:space="preserve"> </v>
      </c>
      <c r="D261" s="39"/>
      <c r="E261" s="39"/>
      <c r="J261" s="15">
        <f t="shared" si="16"/>
        <v>0</v>
      </c>
      <c r="K261" s="2" t="str">
        <f t="shared" si="17"/>
        <v xml:space="preserve"> </v>
      </c>
      <c r="L261" s="2" t="str">
        <f t="shared" si="18"/>
        <v xml:space="preserve"> </v>
      </c>
      <c r="M261" s="2" t="str">
        <f t="shared" si="19"/>
        <v xml:space="preserve"> </v>
      </c>
    </row>
    <row r="262" spans="1:13" x14ac:dyDescent="0.25">
      <c r="A262" s="40" t="str">
        <f t="shared" si="15"/>
        <v xml:space="preserve"> </v>
      </c>
      <c r="D262" s="39"/>
      <c r="E262" s="39"/>
      <c r="J262" s="15">
        <f t="shared" si="16"/>
        <v>0</v>
      </c>
      <c r="K262" s="2" t="str">
        <f t="shared" si="17"/>
        <v xml:space="preserve"> </v>
      </c>
      <c r="L262" s="2" t="str">
        <f t="shared" si="18"/>
        <v xml:space="preserve"> </v>
      </c>
      <c r="M262" s="2" t="str">
        <f t="shared" si="19"/>
        <v xml:space="preserve"> </v>
      </c>
    </row>
    <row r="263" spans="1:13" x14ac:dyDescent="0.25">
      <c r="A263" s="40" t="str">
        <f t="shared" si="15"/>
        <v xml:space="preserve"> </v>
      </c>
      <c r="D263" s="39"/>
      <c r="E263" s="39"/>
      <c r="J263" s="15">
        <f t="shared" si="16"/>
        <v>0</v>
      </c>
      <c r="K263" s="2" t="str">
        <f t="shared" si="17"/>
        <v xml:space="preserve"> </v>
      </c>
      <c r="L263" s="2" t="str">
        <f t="shared" si="18"/>
        <v xml:space="preserve"> </v>
      </c>
      <c r="M263" s="2" t="str">
        <f t="shared" si="19"/>
        <v xml:space="preserve"> </v>
      </c>
    </row>
    <row r="264" spans="1:13" x14ac:dyDescent="0.25">
      <c r="A264" s="40" t="str">
        <f t="shared" si="15"/>
        <v xml:space="preserve"> </v>
      </c>
      <c r="D264" s="39"/>
      <c r="E264" s="39"/>
      <c r="J264" s="15">
        <f t="shared" si="16"/>
        <v>0</v>
      </c>
      <c r="K264" s="2" t="str">
        <f t="shared" si="17"/>
        <v xml:space="preserve"> </v>
      </c>
      <c r="L264" s="2" t="str">
        <f t="shared" si="18"/>
        <v xml:space="preserve"> </v>
      </c>
      <c r="M264" s="2" t="str">
        <f t="shared" si="19"/>
        <v xml:space="preserve"> </v>
      </c>
    </row>
    <row r="265" spans="1:13" x14ac:dyDescent="0.25">
      <c r="A265" s="40" t="str">
        <f t="shared" si="15"/>
        <v xml:space="preserve"> </v>
      </c>
      <c r="D265" s="39"/>
      <c r="E265" s="39"/>
      <c r="J265" s="15">
        <f t="shared" si="16"/>
        <v>0</v>
      </c>
      <c r="K265" s="2" t="str">
        <f t="shared" si="17"/>
        <v xml:space="preserve"> </v>
      </c>
      <c r="L265" s="2" t="str">
        <f t="shared" si="18"/>
        <v xml:space="preserve"> </v>
      </c>
      <c r="M265" s="2" t="str">
        <f t="shared" si="19"/>
        <v xml:space="preserve"> </v>
      </c>
    </row>
    <row r="266" spans="1:13" x14ac:dyDescent="0.25">
      <c r="A266" s="40" t="str">
        <f t="shared" si="15"/>
        <v xml:space="preserve"> </v>
      </c>
      <c r="D266" s="39"/>
      <c r="E266" s="39"/>
      <c r="J266" s="15">
        <f t="shared" si="16"/>
        <v>0</v>
      </c>
      <c r="K266" s="2" t="str">
        <f t="shared" si="17"/>
        <v xml:space="preserve"> </v>
      </c>
      <c r="L266" s="2" t="str">
        <f t="shared" si="18"/>
        <v xml:space="preserve"> </v>
      </c>
      <c r="M266" s="2" t="str">
        <f t="shared" si="19"/>
        <v xml:space="preserve"> </v>
      </c>
    </row>
    <row r="267" spans="1:13" x14ac:dyDescent="0.25">
      <c r="A267" s="40" t="str">
        <f t="shared" si="15"/>
        <v xml:space="preserve"> </v>
      </c>
      <c r="D267" s="39"/>
      <c r="E267" s="39"/>
      <c r="J267" s="15">
        <f t="shared" si="16"/>
        <v>0</v>
      </c>
      <c r="K267" s="2" t="str">
        <f t="shared" si="17"/>
        <v xml:space="preserve"> </v>
      </c>
      <c r="L267" s="2" t="str">
        <f t="shared" si="18"/>
        <v xml:space="preserve"> </v>
      </c>
      <c r="M267" s="2" t="str">
        <f t="shared" si="19"/>
        <v xml:space="preserve"> </v>
      </c>
    </row>
    <row r="268" spans="1:13" x14ac:dyDescent="0.25">
      <c r="A268" s="40" t="str">
        <f t="shared" si="15"/>
        <v xml:space="preserve"> </v>
      </c>
      <c r="D268" s="39"/>
      <c r="E268" s="39"/>
      <c r="J268" s="15">
        <f t="shared" si="16"/>
        <v>0</v>
      </c>
      <c r="K268" s="2" t="str">
        <f t="shared" si="17"/>
        <v xml:space="preserve"> </v>
      </c>
      <c r="L268" s="2" t="str">
        <f t="shared" si="18"/>
        <v xml:space="preserve"> </v>
      </c>
      <c r="M268" s="2" t="str">
        <f t="shared" si="19"/>
        <v xml:space="preserve"> </v>
      </c>
    </row>
    <row r="269" spans="1:13" x14ac:dyDescent="0.25">
      <c r="A269" s="40" t="str">
        <f t="shared" si="15"/>
        <v xml:space="preserve"> </v>
      </c>
      <c r="D269" s="39"/>
      <c r="E269" s="39"/>
      <c r="J269" s="15">
        <f t="shared" si="16"/>
        <v>0</v>
      </c>
      <c r="K269" s="2" t="str">
        <f t="shared" si="17"/>
        <v xml:space="preserve"> </v>
      </c>
      <c r="L269" s="2" t="str">
        <f t="shared" si="18"/>
        <v xml:space="preserve"> </v>
      </c>
      <c r="M269" s="2" t="str">
        <f t="shared" si="19"/>
        <v xml:space="preserve"> </v>
      </c>
    </row>
    <row r="270" spans="1:13" x14ac:dyDescent="0.25">
      <c r="A270" s="40" t="str">
        <f t="shared" si="15"/>
        <v xml:space="preserve"> </v>
      </c>
      <c r="D270" s="39"/>
      <c r="E270" s="39"/>
      <c r="J270" s="15">
        <f t="shared" si="16"/>
        <v>0</v>
      </c>
      <c r="K270" s="2" t="str">
        <f t="shared" si="17"/>
        <v xml:space="preserve"> </v>
      </c>
      <c r="L270" s="2" t="str">
        <f t="shared" si="18"/>
        <v xml:space="preserve"> </v>
      </c>
      <c r="M270" s="2" t="str">
        <f t="shared" si="19"/>
        <v xml:space="preserve"> </v>
      </c>
    </row>
    <row r="271" spans="1:13" x14ac:dyDescent="0.25">
      <c r="A271" s="40" t="str">
        <f t="shared" ref="A271:A334" si="20">IF(COUNTIF(K271:M271,"ERROR")&gt;0,"ERROR"," ")</f>
        <v xml:space="preserve"> </v>
      </c>
      <c r="D271" s="39"/>
      <c r="E271" s="39"/>
      <c r="J271" s="15">
        <f t="shared" ref="J271:J334" si="21">F271-G271+H271-I271</f>
        <v>0</v>
      </c>
      <c r="K271" s="2" t="str">
        <f t="shared" si="17"/>
        <v xml:space="preserve"> </v>
      </c>
      <c r="L271" s="2" t="str">
        <f t="shared" si="18"/>
        <v xml:space="preserve"> </v>
      </c>
      <c r="M271" s="2" t="str">
        <f t="shared" si="19"/>
        <v xml:space="preserve"> </v>
      </c>
    </row>
    <row r="272" spans="1:13" x14ac:dyDescent="0.25">
      <c r="A272" s="40" t="str">
        <f t="shared" si="20"/>
        <v xml:space="preserve"> </v>
      </c>
      <c r="D272" s="39"/>
      <c r="E272" s="39"/>
      <c r="J272" s="15">
        <f t="shared" si="21"/>
        <v>0</v>
      </c>
      <c r="K272" s="2" t="str">
        <f t="shared" ref="K272:K335" si="22">IF(COUNTA(D272:E272)=2,"ERROR"," ")</f>
        <v xml:space="preserve"> </v>
      </c>
      <c r="L272" s="2" t="str">
        <f t="shared" ref="L272:L335" si="23">IF(D272=0," ",IF(COUNTIF(ProfitLoss,D272)&gt;0," ","ERROR"))</f>
        <v xml:space="preserve"> </v>
      </c>
      <c r="M272" s="2" t="str">
        <f t="shared" ref="M272:M335" si="24">IF(E272=0," ",IF(COUNTIF(BalanceSheet,E272)&gt;0," ","ERROR"))</f>
        <v xml:space="preserve"> </v>
      </c>
    </row>
    <row r="273" spans="1:13" x14ac:dyDescent="0.25">
      <c r="A273" s="40" t="str">
        <f t="shared" si="20"/>
        <v xml:space="preserve"> </v>
      </c>
      <c r="D273" s="39"/>
      <c r="E273" s="39"/>
      <c r="J273" s="15">
        <f t="shared" si="21"/>
        <v>0</v>
      </c>
      <c r="K273" s="2" t="str">
        <f t="shared" si="22"/>
        <v xml:space="preserve"> </v>
      </c>
      <c r="L273" s="2" t="str">
        <f t="shared" si="23"/>
        <v xml:space="preserve"> </v>
      </c>
      <c r="M273" s="2" t="str">
        <f t="shared" si="24"/>
        <v xml:space="preserve"> </v>
      </c>
    </row>
    <row r="274" spans="1:13" x14ac:dyDescent="0.25">
      <c r="A274" s="40" t="str">
        <f t="shared" si="20"/>
        <v xml:space="preserve"> </v>
      </c>
      <c r="D274" s="39"/>
      <c r="E274" s="39"/>
      <c r="J274" s="15">
        <f t="shared" si="21"/>
        <v>0</v>
      </c>
      <c r="K274" s="2" t="str">
        <f t="shared" si="22"/>
        <v xml:space="preserve"> </v>
      </c>
      <c r="L274" s="2" t="str">
        <f t="shared" si="23"/>
        <v xml:space="preserve"> </v>
      </c>
      <c r="M274" s="2" t="str">
        <f t="shared" si="24"/>
        <v xml:space="preserve"> </v>
      </c>
    </row>
    <row r="275" spans="1:13" x14ac:dyDescent="0.25">
      <c r="A275" s="40" t="str">
        <f t="shared" si="20"/>
        <v xml:space="preserve"> </v>
      </c>
      <c r="D275" s="39"/>
      <c r="E275" s="39"/>
      <c r="J275" s="15">
        <f t="shared" si="21"/>
        <v>0</v>
      </c>
      <c r="K275" s="2" t="str">
        <f t="shared" si="22"/>
        <v xml:space="preserve"> </v>
      </c>
      <c r="L275" s="2" t="str">
        <f t="shared" si="23"/>
        <v xml:space="preserve"> </v>
      </c>
      <c r="M275" s="2" t="str">
        <f t="shared" si="24"/>
        <v xml:space="preserve"> </v>
      </c>
    </row>
    <row r="276" spans="1:13" x14ac:dyDescent="0.25">
      <c r="A276" s="40" t="str">
        <f t="shared" si="20"/>
        <v xml:space="preserve"> </v>
      </c>
      <c r="D276" s="39"/>
      <c r="E276" s="39"/>
      <c r="J276" s="15">
        <f t="shared" si="21"/>
        <v>0</v>
      </c>
      <c r="K276" s="2" t="str">
        <f t="shared" si="22"/>
        <v xml:space="preserve"> </v>
      </c>
      <c r="L276" s="2" t="str">
        <f t="shared" si="23"/>
        <v xml:space="preserve"> </v>
      </c>
      <c r="M276" s="2" t="str">
        <f t="shared" si="24"/>
        <v xml:space="preserve"> </v>
      </c>
    </row>
    <row r="277" spans="1:13" x14ac:dyDescent="0.25">
      <c r="A277" s="40" t="str">
        <f t="shared" si="20"/>
        <v xml:space="preserve"> </v>
      </c>
      <c r="D277" s="39"/>
      <c r="E277" s="39"/>
      <c r="J277" s="15">
        <f t="shared" si="21"/>
        <v>0</v>
      </c>
      <c r="K277" s="2" t="str">
        <f t="shared" si="22"/>
        <v xml:space="preserve"> </v>
      </c>
      <c r="L277" s="2" t="str">
        <f t="shared" si="23"/>
        <v xml:space="preserve"> </v>
      </c>
      <c r="M277" s="2" t="str">
        <f t="shared" si="24"/>
        <v xml:space="preserve"> </v>
      </c>
    </row>
    <row r="278" spans="1:13" x14ac:dyDescent="0.25">
      <c r="A278" s="40" t="str">
        <f t="shared" si="20"/>
        <v xml:space="preserve"> </v>
      </c>
      <c r="D278" s="39"/>
      <c r="E278" s="39"/>
      <c r="J278" s="15">
        <f t="shared" si="21"/>
        <v>0</v>
      </c>
      <c r="K278" s="2" t="str">
        <f t="shared" si="22"/>
        <v xml:space="preserve"> </v>
      </c>
      <c r="L278" s="2" t="str">
        <f t="shared" si="23"/>
        <v xml:space="preserve"> </v>
      </c>
      <c r="M278" s="2" t="str">
        <f t="shared" si="24"/>
        <v xml:space="preserve"> </v>
      </c>
    </row>
    <row r="279" spans="1:13" x14ac:dyDescent="0.25">
      <c r="A279" s="40" t="str">
        <f t="shared" si="20"/>
        <v xml:space="preserve"> </v>
      </c>
      <c r="D279" s="39"/>
      <c r="E279" s="39"/>
      <c r="J279" s="15">
        <f t="shared" si="21"/>
        <v>0</v>
      </c>
      <c r="K279" s="2" t="str">
        <f t="shared" si="22"/>
        <v xml:space="preserve"> </v>
      </c>
      <c r="L279" s="2" t="str">
        <f t="shared" si="23"/>
        <v xml:space="preserve"> </v>
      </c>
      <c r="M279" s="2" t="str">
        <f t="shared" si="24"/>
        <v xml:space="preserve"> </v>
      </c>
    </row>
    <row r="280" spans="1:13" x14ac:dyDescent="0.25">
      <c r="A280" s="40" t="str">
        <f t="shared" si="20"/>
        <v xml:space="preserve"> </v>
      </c>
      <c r="D280" s="39"/>
      <c r="E280" s="39"/>
      <c r="J280" s="15">
        <f t="shared" si="21"/>
        <v>0</v>
      </c>
      <c r="K280" s="2" t="str">
        <f t="shared" si="22"/>
        <v xml:space="preserve"> </v>
      </c>
      <c r="L280" s="2" t="str">
        <f t="shared" si="23"/>
        <v xml:space="preserve"> </v>
      </c>
      <c r="M280" s="2" t="str">
        <f t="shared" si="24"/>
        <v xml:space="preserve"> </v>
      </c>
    </row>
    <row r="281" spans="1:13" x14ac:dyDescent="0.25">
      <c r="A281" s="40" t="str">
        <f t="shared" si="20"/>
        <v xml:space="preserve"> </v>
      </c>
      <c r="D281" s="39"/>
      <c r="E281" s="39"/>
      <c r="J281" s="15">
        <f t="shared" si="21"/>
        <v>0</v>
      </c>
      <c r="K281" s="2" t="str">
        <f t="shared" si="22"/>
        <v xml:space="preserve"> </v>
      </c>
      <c r="L281" s="2" t="str">
        <f t="shared" si="23"/>
        <v xml:space="preserve"> </v>
      </c>
      <c r="M281" s="2" t="str">
        <f t="shared" si="24"/>
        <v xml:space="preserve"> </v>
      </c>
    </row>
    <row r="282" spans="1:13" x14ac:dyDescent="0.25">
      <c r="A282" s="40" t="str">
        <f t="shared" si="20"/>
        <v xml:space="preserve"> </v>
      </c>
      <c r="D282" s="39"/>
      <c r="E282" s="39"/>
      <c r="J282" s="15">
        <f t="shared" si="21"/>
        <v>0</v>
      </c>
      <c r="K282" s="2" t="str">
        <f t="shared" si="22"/>
        <v xml:space="preserve"> </v>
      </c>
      <c r="L282" s="2" t="str">
        <f t="shared" si="23"/>
        <v xml:space="preserve"> </v>
      </c>
      <c r="M282" s="2" t="str">
        <f t="shared" si="24"/>
        <v xml:space="preserve"> </v>
      </c>
    </row>
    <row r="283" spans="1:13" x14ac:dyDescent="0.25">
      <c r="A283" s="40" t="str">
        <f t="shared" si="20"/>
        <v xml:space="preserve"> </v>
      </c>
      <c r="D283" s="39"/>
      <c r="E283" s="39"/>
      <c r="J283" s="15">
        <f t="shared" si="21"/>
        <v>0</v>
      </c>
      <c r="K283" s="2" t="str">
        <f t="shared" si="22"/>
        <v xml:space="preserve"> </v>
      </c>
      <c r="L283" s="2" t="str">
        <f t="shared" si="23"/>
        <v xml:space="preserve"> </v>
      </c>
      <c r="M283" s="2" t="str">
        <f t="shared" si="24"/>
        <v xml:space="preserve"> </v>
      </c>
    </row>
    <row r="284" spans="1:13" x14ac:dyDescent="0.25">
      <c r="A284" s="40" t="str">
        <f t="shared" si="20"/>
        <v xml:space="preserve"> </v>
      </c>
      <c r="D284" s="39"/>
      <c r="E284" s="39"/>
      <c r="J284" s="15">
        <f t="shared" si="21"/>
        <v>0</v>
      </c>
      <c r="K284" s="2" t="str">
        <f t="shared" si="22"/>
        <v xml:space="preserve"> </v>
      </c>
      <c r="L284" s="2" t="str">
        <f t="shared" si="23"/>
        <v xml:space="preserve"> </v>
      </c>
      <c r="M284" s="2" t="str">
        <f t="shared" si="24"/>
        <v xml:space="preserve"> </v>
      </c>
    </row>
    <row r="285" spans="1:13" x14ac:dyDescent="0.25">
      <c r="A285" s="40" t="str">
        <f t="shared" si="20"/>
        <v xml:space="preserve"> </v>
      </c>
      <c r="D285" s="39"/>
      <c r="E285" s="39"/>
      <c r="J285" s="15">
        <f t="shared" si="21"/>
        <v>0</v>
      </c>
      <c r="K285" s="2" t="str">
        <f t="shared" si="22"/>
        <v xml:space="preserve"> </v>
      </c>
      <c r="L285" s="2" t="str">
        <f t="shared" si="23"/>
        <v xml:space="preserve"> </v>
      </c>
      <c r="M285" s="2" t="str">
        <f t="shared" si="24"/>
        <v xml:space="preserve"> </v>
      </c>
    </row>
    <row r="286" spans="1:13" x14ac:dyDescent="0.25">
      <c r="A286" s="40" t="str">
        <f t="shared" si="20"/>
        <v xml:space="preserve"> </v>
      </c>
      <c r="D286" s="39"/>
      <c r="E286" s="39"/>
      <c r="J286" s="15">
        <f t="shared" si="21"/>
        <v>0</v>
      </c>
      <c r="K286" s="2" t="str">
        <f t="shared" si="22"/>
        <v xml:space="preserve"> </v>
      </c>
      <c r="L286" s="2" t="str">
        <f t="shared" si="23"/>
        <v xml:space="preserve"> </v>
      </c>
      <c r="M286" s="2" t="str">
        <f t="shared" si="24"/>
        <v xml:space="preserve"> </v>
      </c>
    </row>
    <row r="287" spans="1:13" x14ac:dyDescent="0.25">
      <c r="A287" s="40" t="str">
        <f t="shared" si="20"/>
        <v xml:space="preserve"> </v>
      </c>
      <c r="D287" s="39"/>
      <c r="E287" s="39"/>
      <c r="J287" s="15">
        <f t="shared" si="21"/>
        <v>0</v>
      </c>
      <c r="K287" s="2" t="str">
        <f t="shared" si="22"/>
        <v xml:space="preserve"> </v>
      </c>
      <c r="L287" s="2" t="str">
        <f t="shared" si="23"/>
        <v xml:space="preserve"> </v>
      </c>
      <c r="M287" s="2" t="str">
        <f t="shared" si="24"/>
        <v xml:space="preserve"> </v>
      </c>
    </row>
    <row r="288" spans="1:13" x14ac:dyDescent="0.25">
      <c r="A288" s="40" t="str">
        <f t="shared" si="20"/>
        <v xml:space="preserve"> </v>
      </c>
      <c r="D288" s="39"/>
      <c r="E288" s="39"/>
      <c r="J288" s="15">
        <f t="shared" si="21"/>
        <v>0</v>
      </c>
      <c r="K288" s="2" t="str">
        <f t="shared" si="22"/>
        <v xml:space="preserve"> </v>
      </c>
      <c r="L288" s="2" t="str">
        <f t="shared" si="23"/>
        <v xml:space="preserve"> </v>
      </c>
      <c r="M288" s="2" t="str">
        <f t="shared" si="24"/>
        <v xml:space="preserve"> </v>
      </c>
    </row>
    <row r="289" spans="1:13" x14ac:dyDescent="0.25">
      <c r="A289" s="40" t="str">
        <f t="shared" si="20"/>
        <v xml:space="preserve"> </v>
      </c>
      <c r="D289" s="39"/>
      <c r="E289" s="39"/>
      <c r="J289" s="15">
        <f t="shared" si="21"/>
        <v>0</v>
      </c>
      <c r="K289" s="2" t="str">
        <f t="shared" si="22"/>
        <v xml:space="preserve"> </v>
      </c>
      <c r="L289" s="2" t="str">
        <f t="shared" si="23"/>
        <v xml:space="preserve"> </v>
      </c>
      <c r="M289" s="2" t="str">
        <f t="shared" si="24"/>
        <v xml:space="preserve"> </v>
      </c>
    </row>
    <row r="290" spans="1:13" x14ac:dyDescent="0.25">
      <c r="A290" s="40" t="str">
        <f t="shared" si="20"/>
        <v xml:space="preserve"> </v>
      </c>
      <c r="D290" s="39"/>
      <c r="E290" s="39"/>
      <c r="J290" s="15">
        <f t="shared" si="21"/>
        <v>0</v>
      </c>
      <c r="K290" s="2" t="str">
        <f t="shared" si="22"/>
        <v xml:space="preserve"> </v>
      </c>
      <c r="L290" s="2" t="str">
        <f t="shared" si="23"/>
        <v xml:space="preserve"> </v>
      </c>
      <c r="M290" s="2" t="str">
        <f t="shared" si="24"/>
        <v xml:space="preserve"> </v>
      </c>
    </row>
    <row r="291" spans="1:13" x14ac:dyDescent="0.25">
      <c r="A291" s="40" t="str">
        <f t="shared" si="20"/>
        <v xml:space="preserve"> </v>
      </c>
      <c r="D291" s="39"/>
      <c r="E291" s="39"/>
      <c r="J291" s="15">
        <f t="shared" si="21"/>
        <v>0</v>
      </c>
      <c r="K291" s="2" t="str">
        <f t="shared" si="22"/>
        <v xml:space="preserve"> </v>
      </c>
      <c r="L291" s="2" t="str">
        <f t="shared" si="23"/>
        <v xml:space="preserve"> </v>
      </c>
      <c r="M291" s="2" t="str">
        <f t="shared" si="24"/>
        <v xml:space="preserve"> </v>
      </c>
    </row>
    <row r="292" spans="1:13" x14ac:dyDescent="0.25">
      <c r="A292" s="40" t="str">
        <f t="shared" si="20"/>
        <v xml:space="preserve"> </v>
      </c>
      <c r="D292" s="39"/>
      <c r="E292" s="39"/>
      <c r="J292" s="15">
        <f t="shared" si="21"/>
        <v>0</v>
      </c>
      <c r="K292" s="2" t="str">
        <f t="shared" si="22"/>
        <v xml:space="preserve"> </v>
      </c>
      <c r="L292" s="2" t="str">
        <f t="shared" si="23"/>
        <v xml:space="preserve"> </v>
      </c>
      <c r="M292" s="2" t="str">
        <f t="shared" si="24"/>
        <v xml:space="preserve"> </v>
      </c>
    </row>
    <row r="293" spans="1:13" x14ac:dyDescent="0.25">
      <c r="A293" s="40" t="str">
        <f t="shared" si="20"/>
        <v xml:space="preserve"> </v>
      </c>
      <c r="D293" s="39"/>
      <c r="E293" s="39"/>
      <c r="J293" s="15">
        <f t="shared" si="21"/>
        <v>0</v>
      </c>
      <c r="K293" s="2" t="str">
        <f t="shared" si="22"/>
        <v xml:space="preserve"> </v>
      </c>
      <c r="L293" s="2" t="str">
        <f t="shared" si="23"/>
        <v xml:space="preserve"> </v>
      </c>
      <c r="M293" s="2" t="str">
        <f t="shared" si="24"/>
        <v xml:space="preserve"> </v>
      </c>
    </row>
    <row r="294" spans="1:13" x14ac:dyDescent="0.25">
      <c r="A294" s="40" t="str">
        <f t="shared" si="20"/>
        <v xml:space="preserve"> </v>
      </c>
      <c r="D294" s="39"/>
      <c r="E294" s="39"/>
      <c r="J294" s="15">
        <f t="shared" si="21"/>
        <v>0</v>
      </c>
      <c r="K294" s="2" t="str">
        <f t="shared" si="22"/>
        <v xml:space="preserve"> </v>
      </c>
      <c r="L294" s="2" t="str">
        <f t="shared" si="23"/>
        <v xml:space="preserve"> </v>
      </c>
      <c r="M294" s="2" t="str">
        <f t="shared" si="24"/>
        <v xml:space="preserve"> </v>
      </c>
    </row>
    <row r="295" spans="1:13" x14ac:dyDescent="0.25">
      <c r="A295" s="40" t="str">
        <f t="shared" si="20"/>
        <v xml:space="preserve"> </v>
      </c>
      <c r="D295" s="39"/>
      <c r="E295" s="39"/>
      <c r="J295" s="15">
        <f t="shared" si="21"/>
        <v>0</v>
      </c>
      <c r="K295" s="2" t="str">
        <f t="shared" si="22"/>
        <v xml:space="preserve"> </v>
      </c>
      <c r="L295" s="2" t="str">
        <f t="shared" si="23"/>
        <v xml:space="preserve"> </v>
      </c>
      <c r="M295" s="2" t="str">
        <f t="shared" si="24"/>
        <v xml:space="preserve"> </v>
      </c>
    </row>
    <row r="296" spans="1:13" x14ac:dyDescent="0.25">
      <c r="A296" s="40" t="str">
        <f t="shared" si="20"/>
        <v xml:space="preserve"> </v>
      </c>
      <c r="D296" s="39"/>
      <c r="E296" s="39"/>
      <c r="J296" s="15">
        <f t="shared" si="21"/>
        <v>0</v>
      </c>
      <c r="K296" s="2" t="str">
        <f t="shared" si="22"/>
        <v xml:space="preserve"> </v>
      </c>
      <c r="L296" s="2" t="str">
        <f t="shared" si="23"/>
        <v xml:space="preserve"> </v>
      </c>
      <c r="M296" s="2" t="str">
        <f t="shared" si="24"/>
        <v xml:space="preserve"> </v>
      </c>
    </row>
    <row r="297" spans="1:13" x14ac:dyDescent="0.25">
      <c r="A297" s="40" t="str">
        <f t="shared" si="20"/>
        <v xml:space="preserve"> </v>
      </c>
      <c r="D297" s="39"/>
      <c r="E297" s="39"/>
      <c r="J297" s="15">
        <f t="shared" si="21"/>
        <v>0</v>
      </c>
      <c r="K297" s="2" t="str">
        <f t="shared" si="22"/>
        <v xml:space="preserve"> </v>
      </c>
      <c r="L297" s="2" t="str">
        <f t="shared" si="23"/>
        <v xml:space="preserve"> </v>
      </c>
      <c r="M297" s="2" t="str">
        <f t="shared" si="24"/>
        <v xml:space="preserve"> </v>
      </c>
    </row>
    <row r="298" spans="1:13" x14ac:dyDescent="0.25">
      <c r="A298" s="40" t="str">
        <f t="shared" si="20"/>
        <v xml:space="preserve"> </v>
      </c>
      <c r="D298" s="39"/>
      <c r="E298" s="39"/>
      <c r="J298" s="15">
        <f t="shared" si="21"/>
        <v>0</v>
      </c>
      <c r="K298" s="2" t="str">
        <f t="shared" si="22"/>
        <v xml:space="preserve"> </v>
      </c>
      <c r="L298" s="2" t="str">
        <f t="shared" si="23"/>
        <v xml:space="preserve"> </v>
      </c>
      <c r="M298" s="2" t="str">
        <f t="shared" si="24"/>
        <v xml:space="preserve"> </v>
      </c>
    </row>
    <row r="299" spans="1:13" x14ac:dyDescent="0.25">
      <c r="A299" s="40" t="str">
        <f t="shared" si="20"/>
        <v xml:space="preserve"> </v>
      </c>
      <c r="D299" s="39"/>
      <c r="E299" s="39"/>
      <c r="J299" s="15">
        <f t="shared" si="21"/>
        <v>0</v>
      </c>
      <c r="K299" s="2" t="str">
        <f t="shared" si="22"/>
        <v xml:space="preserve"> </v>
      </c>
      <c r="L299" s="2" t="str">
        <f t="shared" si="23"/>
        <v xml:space="preserve"> </v>
      </c>
      <c r="M299" s="2" t="str">
        <f t="shared" si="24"/>
        <v xml:space="preserve"> </v>
      </c>
    </row>
    <row r="300" spans="1:13" x14ac:dyDescent="0.25">
      <c r="A300" s="40" t="str">
        <f t="shared" si="20"/>
        <v xml:space="preserve"> </v>
      </c>
      <c r="D300" s="39"/>
      <c r="E300" s="39"/>
      <c r="J300" s="15">
        <f t="shared" si="21"/>
        <v>0</v>
      </c>
      <c r="K300" s="2" t="str">
        <f t="shared" si="22"/>
        <v xml:space="preserve"> </v>
      </c>
      <c r="L300" s="2" t="str">
        <f t="shared" si="23"/>
        <v xml:space="preserve"> </v>
      </c>
      <c r="M300" s="2" t="str">
        <f t="shared" si="24"/>
        <v xml:space="preserve"> </v>
      </c>
    </row>
    <row r="301" spans="1:13" x14ac:dyDescent="0.25">
      <c r="A301" s="40" t="str">
        <f t="shared" si="20"/>
        <v xml:space="preserve"> </v>
      </c>
      <c r="D301" s="39"/>
      <c r="E301" s="39"/>
      <c r="J301" s="15">
        <f t="shared" si="21"/>
        <v>0</v>
      </c>
      <c r="K301" s="2" t="str">
        <f t="shared" si="22"/>
        <v xml:space="preserve"> </v>
      </c>
      <c r="L301" s="2" t="str">
        <f t="shared" si="23"/>
        <v xml:space="preserve"> </v>
      </c>
      <c r="M301" s="2" t="str">
        <f t="shared" si="24"/>
        <v xml:space="preserve"> </v>
      </c>
    </row>
    <row r="302" spans="1:13" x14ac:dyDescent="0.25">
      <c r="A302" s="40" t="str">
        <f t="shared" si="20"/>
        <v xml:space="preserve"> </v>
      </c>
      <c r="D302" s="39"/>
      <c r="E302" s="39"/>
      <c r="J302" s="15">
        <f t="shared" si="21"/>
        <v>0</v>
      </c>
      <c r="K302" s="2" t="str">
        <f t="shared" si="22"/>
        <v xml:space="preserve"> </v>
      </c>
      <c r="L302" s="2" t="str">
        <f t="shared" si="23"/>
        <v xml:space="preserve"> </v>
      </c>
      <c r="M302" s="2" t="str">
        <f t="shared" si="24"/>
        <v xml:space="preserve"> </v>
      </c>
    </row>
    <row r="303" spans="1:13" x14ac:dyDescent="0.25">
      <c r="A303" s="40" t="str">
        <f t="shared" si="20"/>
        <v xml:space="preserve"> </v>
      </c>
      <c r="D303" s="39"/>
      <c r="E303" s="39"/>
      <c r="J303" s="15">
        <f t="shared" si="21"/>
        <v>0</v>
      </c>
      <c r="K303" s="2" t="str">
        <f t="shared" si="22"/>
        <v xml:space="preserve"> </v>
      </c>
      <c r="L303" s="2" t="str">
        <f t="shared" si="23"/>
        <v xml:space="preserve"> </v>
      </c>
      <c r="M303" s="2" t="str">
        <f t="shared" si="24"/>
        <v xml:space="preserve"> </v>
      </c>
    </row>
    <row r="304" spans="1:13" x14ac:dyDescent="0.25">
      <c r="A304" s="40" t="str">
        <f t="shared" si="20"/>
        <v xml:space="preserve"> </v>
      </c>
      <c r="D304" s="39"/>
      <c r="E304" s="39"/>
      <c r="J304" s="15">
        <f t="shared" si="21"/>
        <v>0</v>
      </c>
      <c r="K304" s="2" t="str">
        <f t="shared" si="22"/>
        <v xml:space="preserve"> </v>
      </c>
      <c r="L304" s="2" t="str">
        <f t="shared" si="23"/>
        <v xml:space="preserve"> </v>
      </c>
      <c r="M304" s="2" t="str">
        <f t="shared" si="24"/>
        <v xml:space="preserve"> </v>
      </c>
    </row>
    <row r="305" spans="1:13" x14ac:dyDescent="0.25">
      <c r="A305" s="40" t="str">
        <f t="shared" si="20"/>
        <v xml:space="preserve"> </v>
      </c>
      <c r="D305" s="39"/>
      <c r="E305" s="39"/>
      <c r="J305" s="15">
        <f t="shared" si="21"/>
        <v>0</v>
      </c>
      <c r="K305" s="2" t="str">
        <f t="shared" si="22"/>
        <v xml:space="preserve"> </v>
      </c>
      <c r="L305" s="2" t="str">
        <f t="shared" si="23"/>
        <v xml:space="preserve"> </v>
      </c>
      <c r="M305" s="2" t="str">
        <f t="shared" si="24"/>
        <v xml:space="preserve"> </v>
      </c>
    </row>
    <row r="306" spans="1:13" x14ac:dyDescent="0.25">
      <c r="A306" s="40" t="str">
        <f t="shared" si="20"/>
        <v xml:space="preserve"> </v>
      </c>
      <c r="D306" s="39"/>
      <c r="E306" s="39"/>
      <c r="J306" s="15">
        <f t="shared" si="21"/>
        <v>0</v>
      </c>
      <c r="K306" s="2" t="str">
        <f t="shared" si="22"/>
        <v xml:space="preserve"> </v>
      </c>
      <c r="L306" s="2" t="str">
        <f t="shared" si="23"/>
        <v xml:space="preserve"> </v>
      </c>
      <c r="M306" s="2" t="str">
        <f t="shared" si="24"/>
        <v xml:space="preserve"> </v>
      </c>
    </row>
    <row r="307" spans="1:13" x14ac:dyDescent="0.25">
      <c r="A307" s="40" t="str">
        <f t="shared" si="20"/>
        <v xml:space="preserve"> </v>
      </c>
      <c r="D307" s="39"/>
      <c r="E307" s="39"/>
      <c r="J307" s="15">
        <f t="shared" si="21"/>
        <v>0</v>
      </c>
      <c r="K307" s="2" t="str">
        <f t="shared" si="22"/>
        <v xml:space="preserve"> </v>
      </c>
      <c r="L307" s="2" t="str">
        <f t="shared" si="23"/>
        <v xml:space="preserve"> </v>
      </c>
      <c r="M307" s="2" t="str">
        <f t="shared" si="24"/>
        <v xml:space="preserve"> </v>
      </c>
    </row>
    <row r="308" spans="1:13" x14ac:dyDescent="0.25">
      <c r="A308" s="40" t="str">
        <f t="shared" si="20"/>
        <v xml:space="preserve"> </v>
      </c>
      <c r="D308" s="39"/>
      <c r="E308" s="39"/>
      <c r="J308" s="15">
        <f t="shared" si="21"/>
        <v>0</v>
      </c>
      <c r="K308" s="2" t="str">
        <f t="shared" si="22"/>
        <v xml:space="preserve"> </v>
      </c>
      <c r="L308" s="2" t="str">
        <f t="shared" si="23"/>
        <v xml:space="preserve"> </v>
      </c>
      <c r="M308" s="2" t="str">
        <f t="shared" si="24"/>
        <v xml:space="preserve"> </v>
      </c>
    </row>
    <row r="309" spans="1:13" x14ac:dyDescent="0.25">
      <c r="A309" s="40" t="str">
        <f t="shared" si="20"/>
        <v xml:space="preserve"> </v>
      </c>
      <c r="D309" s="39"/>
      <c r="E309" s="39"/>
      <c r="J309" s="15">
        <f t="shared" si="21"/>
        <v>0</v>
      </c>
      <c r="K309" s="2" t="str">
        <f t="shared" si="22"/>
        <v xml:space="preserve"> </v>
      </c>
      <c r="L309" s="2" t="str">
        <f t="shared" si="23"/>
        <v xml:space="preserve"> </v>
      </c>
      <c r="M309" s="2" t="str">
        <f t="shared" si="24"/>
        <v xml:space="preserve"> </v>
      </c>
    </row>
    <row r="310" spans="1:13" x14ac:dyDescent="0.25">
      <c r="A310" s="40" t="str">
        <f t="shared" si="20"/>
        <v xml:space="preserve"> </v>
      </c>
      <c r="D310" s="39"/>
      <c r="E310" s="39"/>
      <c r="J310" s="15">
        <f t="shared" si="21"/>
        <v>0</v>
      </c>
      <c r="K310" s="2" t="str">
        <f t="shared" si="22"/>
        <v xml:space="preserve"> </v>
      </c>
      <c r="L310" s="2" t="str">
        <f t="shared" si="23"/>
        <v xml:space="preserve"> </v>
      </c>
      <c r="M310" s="2" t="str">
        <f t="shared" si="24"/>
        <v xml:space="preserve"> </v>
      </c>
    </row>
    <row r="311" spans="1:13" x14ac:dyDescent="0.25">
      <c r="A311" s="40" t="str">
        <f t="shared" si="20"/>
        <v xml:space="preserve"> </v>
      </c>
      <c r="D311" s="39"/>
      <c r="E311" s="39"/>
      <c r="J311" s="15">
        <f t="shared" si="21"/>
        <v>0</v>
      </c>
      <c r="K311" s="2" t="str">
        <f t="shared" si="22"/>
        <v xml:space="preserve"> </v>
      </c>
      <c r="L311" s="2" t="str">
        <f t="shared" si="23"/>
        <v xml:space="preserve"> </v>
      </c>
      <c r="M311" s="2" t="str">
        <f t="shared" si="24"/>
        <v xml:space="preserve"> </v>
      </c>
    </row>
    <row r="312" spans="1:13" x14ac:dyDescent="0.25">
      <c r="A312" s="40" t="str">
        <f t="shared" si="20"/>
        <v xml:space="preserve"> </v>
      </c>
      <c r="D312" s="39"/>
      <c r="E312" s="39"/>
      <c r="J312" s="15">
        <f t="shared" si="21"/>
        <v>0</v>
      </c>
      <c r="K312" s="2" t="str">
        <f t="shared" si="22"/>
        <v xml:space="preserve"> </v>
      </c>
      <c r="L312" s="2" t="str">
        <f t="shared" si="23"/>
        <v xml:space="preserve"> </v>
      </c>
      <c r="M312" s="2" t="str">
        <f t="shared" si="24"/>
        <v xml:space="preserve"> </v>
      </c>
    </row>
    <row r="313" spans="1:13" x14ac:dyDescent="0.25">
      <c r="A313" s="40" t="str">
        <f t="shared" si="20"/>
        <v xml:space="preserve"> </v>
      </c>
      <c r="D313" s="39"/>
      <c r="E313" s="39"/>
      <c r="J313" s="15">
        <f t="shared" si="21"/>
        <v>0</v>
      </c>
      <c r="K313" s="2" t="str">
        <f t="shared" si="22"/>
        <v xml:space="preserve"> </v>
      </c>
      <c r="L313" s="2" t="str">
        <f t="shared" si="23"/>
        <v xml:space="preserve"> </v>
      </c>
      <c r="M313" s="2" t="str">
        <f t="shared" si="24"/>
        <v xml:space="preserve"> </v>
      </c>
    </row>
    <row r="314" spans="1:13" x14ac:dyDescent="0.25">
      <c r="A314" s="40" t="str">
        <f t="shared" si="20"/>
        <v xml:space="preserve"> </v>
      </c>
      <c r="D314" s="39"/>
      <c r="E314" s="39"/>
      <c r="J314" s="15">
        <f t="shared" si="21"/>
        <v>0</v>
      </c>
      <c r="K314" s="2" t="str">
        <f t="shared" si="22"/>
        <v xml:space="preserve"> </v>
      </c>
      <c r="L314" s="2" t="str">
        <f t="shared" si="23"/>
        <v xml:space="preserve"> </v>
      </c>
      <c r="M314" s="2" t="str">
        <f t="shared" si="24"/>
        <v xml:space="preserve"> </v>
      </c>
    </row>
    <row r="315" spans="1:13" x14ac:dyDescent="0.25">
      <c r="A315" s="40" t="str">
        <f t="shared" si="20"/>
        <v xml:space="preserve"> </v>
      </c>
      <c r="D315" s="39"/>
      <c r="E315" s="39"/>
      <c r="J315" s="15">
        <f t="shared" si="21"/>
        <v>0</v>
      </c>
      <c r="K315" s="2" t="str">
        <f t="shared" si="22"/>
        <v xml:space="preserve"> </v>
      </c>
      <c r="L315" s="2" t="str">
        <f t="shared" si="23"/>
        <v xml:space="preserve"> </v>
      </c>
      <c r="M315" s="2" t="str">
        <f t="shared" si="24"/>
        <v xml:space="preserve"> </v>
      </c>
    </row>
    <row r="316" spans="1:13" x14ac:dyDescent="0.25">
      <c r="A316" s="40" t="str">
        <f t="shared" si="20"/>
        <v xml:space="preserve"> </v>
      </c>
      <c r="D316" s="39"/>
      <c r="E316" s="39"/>
      <c r="J316" s="15">
        <f t="shared" si="21"/>
        <v>0</v>
      </c>
      <c r="K316" s="2" t="str">
        <f t="shared" si="22"/>
        <v xml:space="preserve"> </v>
      </c>
      <c r="L316" s="2" t="str">
        <f t="shared" si="23"/>
        <v xml:space="preserve"> </v>
      </c>
      <c r="M316" s="2" t="str">
        <f t="shared" si="24"/>
        <v xml:space="preserve"> </v>
      </c>
    </row>
    <row r="317" spans="1:13" x14ac:dyDescent="0.25">
      <c r="A317" s="40" t="str">
        <f t="shared" si="20"/>
        <v xml:space="preserve"> </v>
      </c>
      <c r="D317" s="39"/>
      <c r="E317" s="39"/>
      <c r="J317" s="15">
        <f t="shared" si="21"/>
        <v>0</v>
      </c>
      <c r="K317" s="2" t="str">
        <f t="shared" si="22"/>
        <v xml:space="preserve"> </v>
      </c>
      <c r="L317" s="2" t="str">
        <f t="shared" si="23"/>
        <v xml:space="preserve"> </v>
      </c>
      <c r="M317" s="2" t="str">
        <f t="shared" si="24"/>
        <v xml:space="preserve"> </v>
      </c>
    </row>
    <row r="318" spans="1:13" x14ac:dyDescent="0.25">
      <c r="A318" s="40" t="str">
        <f t="shared" si="20"/>
        <v xml:space="preserve"> </v>
      </c>
      <c r="D318" s="39"/>
      <c r="E318" s="39"/>
      <c r="J318" s="15">
        <f t="shared" si="21"/>
        <v>0</v>
      </c>
      <c r="K318" s="2" t="str">
        <f t="shared" si="22"/>
        <v xml:space="preserve"> </v>
      </c>
      <c r="L318" s="2" t="str">
        <f t="shared" si="23"/>
        <v xml:space="preserve"> </v>
      </c>
      <c r="M318" s="2" t="str">
        <f t="shared" si="24"/>
        <v xml:space="preserve"> </v>
      </c>
    </row>
    <row r="319" spans="1:13" x14ac:dyDescent="0.25">
      <c r="A319" s="40" t="str">
        <f t="shared" si="20"/>
        <v xml:space="preserve"> </v>
      </c>
      <c r="D319" s="39"/>
      <c r="E319" s="39"/>
      <c r="J319" s="15">
        <f t="shared" si="21"/>
        <v>0</v>
      </c>
      <c r="K319" s="2" t="str">
        <f t="shared" si="22"/>
        <v xml:space="preserve"> </v>
      </c>
      <c r="L319" s="2" t="str">
        <f t="shared" si="23"/>
        <v xml:space="preserve"> </v>
      </c>
      <c r="M319" s="2" t="str">
        <f t="shared" si="24"/>
        <v xml:space="preserve"> </v>
      </c>
    </row>
    <row r="320" spans="1:13" x14ac:dyDescent="0.25">
      <c r="A320" s="40" t="str">
        <f t="shared" si="20"/>
        <v xml:space="preserve"> </v>
      </c>
      <c r="D320" s="39"/>
      <c r="E320" s="39"/>
      <c r="J320" s="15">
        <f t="shared" si="21"/>
        <v>0</v>
      </c>
      <c r="K320" s="2" t="str">
        <f t="shared" si="22"/>
        <v xml:space="preserve"> </v>
      </c>
      <c r="L320" s="2" t="str">
        <f t="shared" si="23"/>
        <v xml:space="preserve"> </v>
      </c>
      <c r="M320" s="2" t="str">
        <f t="shared" si="24"/>
        <v xml:space="preserve"> </v>
      </c>
    </row>
    <row r="321" spans="1:13" x14ac:dyDescent="0.25">
      <c r="A321" s="40" t="str">
        <f t="shared" si="20"/>
        <v xml:space="preserve"> </v>
      </c>
      <c r="D321" s="39"/>
      <c r="E321" s="39"/>
      <c r="J321" s="15">
        <f t="shared" si="21"/>
        <v>0</v>
      </c>
      <c r="K321" s="2" t="str">
        <f t="shared" si="22"/>
        <v xml:space="preserve"> </v>
      </c>
      <c r="L321" s="2" t="str">
        <f t="shared" si="23"/>
        <v xml:space="preserve"> </v>
      </c>
      <c r="M321" s="2" t="str">
        <f t="shared" si="24"/>
        <v xml:space="preserve"> </v>
      </c>
    </row>
    <row r="322" spans="1:13" x14ac:dyDescent="0.25">
      <c r="A322" s="40" t="str">
        <f t="shared" si="20"/>
        <v xml:space="preserve"> </v>
      </c>
      <c r="D322" s="39"/>
      <c r="E322" s="39"/>
      <c r="J322" s="15">
        <f t="shared" si="21"/>
        <v>0</v>
      </c>
      <c r="K322" s="2" t="str">
        <f t="shared" si="22"/>
        <v xml:space="preserve"> </v>
      </c>
      <c r="L322" s="2" t="str">
        <f t="shared" si="23"/>
        <v xml:space="preserve"> </v>
      </c>
      <c r="M322" s="2" t="str">
        <f t="shared" si="24"/>
        <v xml:space="preserve"> </v>
      </c>
    </row>
    <row r="323" spans="1:13" x14ac:dyDescent="0.25">
      <c r="A323" s="40" t="str">
        <f t="shared" si="20"/>
        <v xml:space="preserve"> </v>
      </c>
      <c r="D323" s="39"/>
      <c r="E323" s="39"/>
      <c r="J323" s="15">
        <f t="shared" si="21"/>
        <v>0</v>
      </c>
      <c r="K323" s="2" t="str">
        <f t="shared" si="22"/>
        <v xml:space="preserve"> </v>
      </c>
      <c r="L323" s="2" t="str">
        <f t="shared" si="23"/>
        <v xml:space="preserve"> </v>
      </c>
      <c r="M323" s="2" t="str">
        <f t="shared" si="24"/>
        <v xml:space="preserve"> </v>
      </c>
    </row>
    <row r="324" spans="1:13" x14ac:dyDescent="0.25">
      <c r="A324" s="40" t="str">
        <f t="shared" si="20"/>
        <v xml:space="preserve"> </v>
      </c>
      <c r="D324" s="39"/>
      <c r="E324" s="39"/>
      <c r="J324" s="15">
        <f t="shared" si="21"/>
        <v>0</v>
      </c>
      <c r="K324" s="2" t="str">
        <f t="shared" si="22"/>
        <v xml:space="preserve"> </v>
      </c>
      <c r="L324" s="2" t="str">
        <f t="shared" si="23"/>
        <v xml:space="preserve"> </v>
      </c>
      <c r="M324" s="2" t="str">
        <f t="shared" si="24"/>
        <v xml:space="preserve"> </v>
      </c>
    </row>
    <row r="325" spans="1:13" x14ac:dyDescent="0.25">
      <c r="A325" s="40" t="str">
        <f t="shared" si="20"/>
        <v xml:space="preserve"> </v>
      </c>
      <c r="D325" s="39"/>
      <c r="E325" s="39"/>
      <c r="J325" s="15">
        <f t="shared" si="21"/>
        <v>0</v>
      </c>
      <c r="K325" s="2" t="str">
        <f t="shared" si="22"/>
        <v xml:space="preserve"> </v>
      </c>
      <c r="L325" s="2" t="str">
        <f t="shared" si="23"/>
        <v xml:space="preserve"> </v>
      </c>
      <c r="M325" s="2" t="str">
        <f t="shared" si="24"/>
        <v xml:space="preserve"> </v>
      </c>
    </row>
    <row r="326" spans="1:13" x14ac:dyDescent="0.25">
      <c r="A326" s="40" t="str">
        <f t="shared" si="20"/>
        <v xml:space="preserve"> </v>
      </c>
      <c r="D326" s="39"/>
      <c r="E326" s="39"/>
      <c r="J326" s="15">
        <f t="shared" si="21"/>
        <v>0</v>
      </c>
      <c r="K326" s="2" t="str">
        <f t="shared" si="22"/>
        <v xml:space="preserve"> </v>
      </c>
      <c r="L326" s="2" t="str">
        <f t="shared" si="23"/>
        <v xml:space="preserve"> </v>
      </c>
      <c r="M326" s="2" t="str">
        <f t="shared" si="24"/>
        <v xml:space="preserve"> </v>
      </c>
    </row>
    <row r="327" spans="1:13" x14ac:dyDescent="0.25">
      <c r="A327" s="40" t="str">
        <f t="shared" si="20"/>
        <v xml:space="preserve"> </v>
      </c>
      <c r="D327" s="39"/>
      <c r="E327" s="39"/>
      <c r="J327" s="15">
        <f t="shared" si="21"/>
        <v>0</v>
      </c>
      <c r="K327" s="2" t="str">
        <f t="shared" si="22"/>
        <v xml:space="preserve"> </v>
      </c>
      <c r="L327" s="2" t="str">
        <f t="shared" si="23"/>
        <v xml:space="preserve"> </v>
      </c>
      <c r="M327" s="2" t="str">
        <f t="shared" si="24"/>
        <v xml:space="preserve"> </v>
      </c>
    </row>
    <row r="328" spans="1:13" x14ac:dyDescent="0.25">
      <c r="A328" s="40" t="str">
        <f t="shared" si="20"/>
        <v xml:space="preserve"> </v>
      </c>
      <c r="D328" s="39"/>
      <c r="E328" s="39"/>
      <c r="J328" s="15">
        <f t="shared" si="21"/>
        <v>0</v>
      </c>
      <c r="K328" s="2" t="str">
        <f t="shared" si="22"/>
        <v xml:space="preserve"> </v>
      </c>
      <c r="L328" s="2" t="str">
        <f t="shared" si="23"/>
        <v xml:space="preserve"> </v>
      </c>
      <c r="M328" s="2" t="str">
        <f t="shared" si="24"/>
        <v xml:space="preserve"> </v>
      </c>
    </row>
    <row r="329" spans="1:13" x14ac:dyDescent="0.25">
      <c r="A329" s="40" t="str">
        <f t="shared" si="20"/>
        <v xml:space="preserve"> </v>
      </c>
      <c r="D329" s="39"/>
      <c r="E329" s="39"/>
      <c r="J329" s="15">
        <f t="shared" si="21"/>
        <v>0</v>
      </c>
      <c r="K329" s="2" t="str">
        <f t="shared" si="22"/>
        <v xml:space="preserve"> </v>
      </c>
      <c r="L329" s="2" t="str">
        <f t="shared" si="23"/>
        <v xml:space="preserve"> </v>
      </c>
      <c r="M329" s="2" t="str">
        <f t="shared" si="24"/>
        <v xml:space="preserve"> </v>
      </c>
    </row>
    <row r="330" spans="1:13" x14ac:dyDescent="0.25">
      <c r="A330" s="40" t="str">
        <f t="shared" si="20"/>
        <v xml:space="preserve"> </v>
      </c>
      <c r="D330" s="39"/>
      <c r="E330" s="39"/>
      <c r="J330" s="15">
        <f t="shared" si="21"/>
        <v>0</v>
      </c>
      <c r="K330" s="2" t="str">
        <f t="shared" si="22"/>
        <v xml:space="preserve"> </v>
      </c>
      <c r="L330" s="2" t="str">
        <f t="shared" si="23"/>
        <v xml:space="preserve"> </v>
      </c>
      <c r="M330" s="2" t="str">
        <f t="shared" si="24"/>
        <v xml:space="preserve"> </v>
      </c>
    </row>
    <row r="331" spans="1:13" x14ac:dyDescent="0.25">
      <c r="A331" s="40" t="str">
        <f t="shared" si="20"/>
        <v xml:space="preserve"> </v>
      </c>
      <c r="D331" s="39"/>
      <c r="E331" s="39"/>
      <c r="J331" s="15">
        <f t="shared" si="21"/>
        <v>0</v>
      </c>
      <c r="K331" s="2" t="str">
        <f t="shared" si="22"/>
        <v xml:space="preserve"> </v>
      </c>
      <c r="L331" s="2" t="str">
        <f t="shared" si="23"/>
        <v xml:space="preserve"> </v>
      </c>
      <c r="M331" s="2" t="str">
        <f t="shared" si="24"/>
        <v xml:space="preserve"> </v>
      </c>
    </row>
    <row r="332" spans="1:13" x14ac:dyDescent="0.25">
      <c r="A332" s="40" t="str">
        <f t="shared" si="20"/>
        <v xml:space="preserve"> </v>
      </c>
      <c r="D332" s="39"/>
      <c r="E332" s="39"/>
      <c r="J332" s="15">
        <f t="shared" si="21"/>
        <v>0</v>
      </c>
      <c r="K332" s="2" t="str">
        <f t="shared" si="22"/>
        <v xml:space="preserve"> </v>
      </c>
      <c r="L332" s="2" t="str">
        <f t="shared" si="23"/>
        <v xml:space="preserve"> </v>
      </c>
      <c r="M332" s="2" t="str">
        <f t="shared" si="24"/>
        <v xml:space="preserve"> </v>
      </c>
    </row>
    <row r="333" spans="1:13" x14ac:dyDescent="0.25">
      <c r="A333" s="40" t="str">
        <f t="shared" si="20"/>
        <v xml:space="preserve"> </v>
      </c>
      <c r="D333" s="39"/>
      <c r="E333" s="39"/>
      <c r="J333" s="15">
        <f t="shared" si="21"/>
        <v>0</v>
      </c>
      <c r="K333" s="2" t="str">
        <f t="shared" si="22"/>
        <v xml:space="preserve"> </v>
      </c>
      <c r="L333" s="2" t="str">
        <f t="shared" si="23"/>
        <v xml:space="preserve"> </v>
      </c>
      <c r="M333" s="2" t="str">
        <f t="shared" si="24"/>
        <v xml:space="preserve"> </v>
      </c>
    </row>
    <row r="334" spans="1:13" x14ac:dyDescent="0.25">
      <c r="A334" s="40" t="str">
        <f t="shared" si="20"/>
        <v xml:space="preserve"> </v>
      </c>
      <c r="D334" s="39"/>
      <c r="E334" s="39"/>
      <c r="J334" s="15">
        <f t="shared" si="21"/>
        <v>0</v>
      </c>
      <c r="K334" s="2" t="str">
        <f t="shared" si="22"/>
        <v xml:space="preserve"> </v>
      </c>
      <c r="L334" s="2" t="str">
        <f t="shared" si="23"/>
        <v xml:space="preserve"> </v>
      </c>
      <c r="M334" s="2" t="str">
        <f t="shared" si="24"/>
        <v xml:space="preserve"> </v>
      </c>
    </row>
    <row r="335" spans="1:13" x14ac:dyDescent="0.25">
      <c r="A335" s="40" t="str">
        <f t="shared" ref="A335:A398" si="25">IF(COUNTIF(K335:M335,"ERROR")&gt;0,"ERROR"," ")</f>
        <v xml:space="preserve"> </v>
      </c>
      <c r="D335" s="39"/>
      <c r="E335" s="39"/>
      <c r="J335" s="15">
        <f t="shared" ref="J335:J396" si="26">F335-G335+H335-I335</f>
        <v>0</v>
      </c>
      <c r="K335" s="2" t="str">
        <f t="shared" si="22"/>
        <v xml:space="preserve"> </v>
      </c>
      <c r="L335" s="2" t="str">
        <f t="shared" si="23"/>
        <v xml:space="preserve"> </v>
      </c>
      <c r="M335" s="2" t="str">
        <f t="shared" si="24"/>
        <v xml:space="preserve"> </v>
      </c>
    </row>
    <row r="336" spans="1:13" x14ac:dyDescent="0.25">
      <c r="A336" s="40" t="str">
        <f t="shared" si="25"/>
        <v xml:space="preserve"> </v>
      </c>
      <c r="D336" s="39"/>
      <c r="E336" s="39"/>
      <c r="J336" s="15">
        <f t="shared" si="26"/>
        <v>0</v>
      </c>
      <c r="K336" s="2" t="str">
        <f t="shared" ref="K336:K399" si="27">IF(COUNTA(D336:E336)=2,"ERROR"," ")</f>
        <v xml:space="preserve"> </v>
      </c>
      <c r="L336" s="2" t="str">
        <f t="shared" ref="L336:L399" si="28">IF(D336=0," ",IF(COUNTIF(ProfitLoss,D336)&gt;0," ","ERROR"))</f>
        <v xml:space="preserve"> </v>
      </c>
      <c r="M336" s="2" t="str">
        <f t="shared" ref="M336:M399" si="29">IF(E336=0," ",IF(COUNTIF(BalanceSheet,E336)&gt;0," ","ERROR"))</f>
        <v xml:space="preserve"> </v>
      </c>
    </row>
    <row r="337" spans="1:13" x14ac:dyDescent="0.25">
      <c r="A337" s="40" t="str">
        <f t="shared" si="25"/>
        <v xml:space="preserve"> </v>
      </c>
      <c r="D337" s="39"/>
      <c r="E337" s="39"/>
      <c r="J337" s="15">
        <f t="shared" si="26"/>
        <v>0</v>
      </c>
      <c r="K337" s="2" t="str">
        <f t="shared" si="27"/>
        <v xml:space="preserve"> </v>
      </c>
      <c r="L337" s="2" t="str">
        <f t="shared" si="28"/>
        <v xml:space="preserve"> </v>
      </c>
      <c r="M337" s="2" t="str">
        <f t="shared" si="29"/>
        <v xml:space="preserve"> </v>
      </c>
    </row>
    <row r="338" spans="1:13" x14ac:dyDescent="0.25">
      <c r="A338" s="40" t="str">
        <f t="shared" si="25"/>
        <v xml:space="preserve"> </v>
      </c>
      <c r="D338" s="39"/>
      <c r="E338" s="39"/>
      <c r="J338" s="15">
        <f t="shared" si="26"/>
        <v>0</v>
      </c>
      <c r="K338" s="2" t="str">
        <f t="shared" si="27"/>
        <v xml:space="preserve"> </v>
      </c>
      <c r="L338" s="2" t="str">
        <f t="shared" si="28"/>
        <v xml:space="preserve"> </v>
      </c>
      <c r="M338" s="2" t="str">
        <f t="shared" si="29"/>
        <v xml:space="preserve"> </v>
      </c>
    </row>
    <row r="339" spans="1:13" x14ac:dyDescent="0.25">
      <c r="A339" s="40" t="str">
        <f t="shared" si="25"/>
        <v xml:space="preserve"> </v>
      </c>
      <c r="D339" s="39"/>
      <c r="E339" s="39"/>
      <c r="J339" s="15">
        <f t="shared" si="26"/>
        <v>0</v>
      </c>
      <c r="K339" s="2" t="str">
        <f t="shared" si="27"/>
        <v xml:space="preserve"> </v>
      </c>
      <c r="L339" s="2" t="str">
        <f t="shared" si="28"/>
        <v xml:space="preserve"> </v>
      </c>
      <c r="M339" s="2" t="str">
        <f t="shared" si="29"/>
        <v xml:space="preserve"> </v>
      </c>
    </row>
    <row r="340" spans="1:13" x14ac:dyDescent="0.25">
      <c r="A340" s="40" t="str">
        <f t="shared" si="25"/>
        <v xml:space="preserve"> </v>
      </c>
      <c r="D340" s="39"/>
      <c r="E340" s="39"/>
      <c r="J340" s="15">
        <f t="shared" si="26"/>
        <v>0</v>
      </c>
      <c r="K340" s="2" t="str">
        <f t="shared" si="27"/>
        <v xml:space="preserve"> </v>
      </c>
      <c r="L340" s="2" t="str">
        <f t="shared" si="28"/>
        <v xml:space="preserve"> </v>
      </c>
      <c r="M340" s="2" t="str">
        <f t="shared" si="29"/>
        <v xml:space="preserve"> </v>
      </c>
    </row>
    <row r="341" spans="1:13" x14ac:dyDescent="0.25">
      <c r="A341" s="40" t="str">
        <f t="shared" si="25"/>
        <v xml:space="preserve"> </v>
      </c>
      <c r="D341" s="39"/>
      <c r="E341" s="39"/>
      <c r="J341" s="15">
        <f t="shared" si="26"/>
        <v>0</v>
      </c>
      <c r="K341" s="2" t="str">
        <f t="shared" si="27"/>
        <v xml:space="preserve"> </v>
      </c>
      <c r="L341" s="2" t="str">
        <f t="shared" si="28"/>
        <v xml:space="preserve"> </v>
      </c>
      <c r="M341" s="2" t="str">
        <f t="shared" si="29"/>
        <v xml:space="preserve"> </v>
      </c>
    </row>
    <row r="342" spans="1:13" x14ac:dyDescent="0.25">
      <c r="A342" s="40" t="str">
        <f t="shared" si="25"/>
        <v xml:space="preserve"> </v>
      </c>
      <c r="D342" s="39"/>
      <c r="E342" s="39"/>
      <c r="J342" s="15">
        <f t="shared" si="26"/>
        <v>0</v>
      </c>
      <c r="K342" s="2" t="str">
        <f t="shared" si="27"/>
        <v xml:space="preserve"> </v>
      </c>
      <c r="L342" s="2" t="str">
        <f t="shared" si="28"/>
        <v xml:space="preserve"> </v>
      </c>
      <c r="M342" s="2" t="str">
        <f t="shared" si="29"/>
        <v xml:space="preserve"> </v>
      </c>
    </row>
    <row r="343" spans="1:13" x14ac:dyDescent="0.25">
      <c r="A343" s="40" t="str">
        <f t="shared" si="25"/>
        <v xml:space="preserve"> </v>
      </c>
      <c r="D343" s="39"/>
      <c r="E343" s="39"/>
      <c r="J343" s="15">
        <f t="shared" si="26"/>
        <v>0</v>
      </c>
      <c r="K343" s="2" t="str">
        <f t="shared" si="27"/>
        <v xml:space="preserve"> </v>
      </c>
      <c r="L343" s="2" t="str">
        <f t="shared" si="28"/>
        <v xml:space="preserve"> </v>
      </c>
      <c r="M343" s="2" t="str">
        <f t="shared" si="29"/>
        <v xml:space="preserve"> </v>
      </c>
    </row>
    <row r="344" spans="1:13" x14ac:dyDescent="0.25">
      <c r="A344" s="40" t="str">
        <f t="shared" si="25"/>
        <v xml:space="preserve"> </v>
      </c>
      <c r="D344" s="39"/>
      <c r="E344" s="39"/>
      <c r="J344" s="15">
        <f t="shared" si="26"/>
        <v>0</v>
      </c>
      <c r="K344" s="2" t="str">
        <f t="shared" si="27"/>
        <v xml:space="preserve"> </v>
      </c>
      <c r="L344" s="2" t="str">
        <f t="shared" si="28"/>
        <v xml:space="preserve"> </v>
      </c>
      <c r="M344" s="2" t="str">
        <f t="shared" si="29"/>
        <v xml:space="preserve"> </v>
      </c>
    </row>
    <row r="345" spans="1:13" x14ac:dyDescent="0.25">
      <c r="A345" s="40" t="str">
        <f t="shared" si="25"/>
        <v xml:space="preserve"> </v>
      </c>
      <c r="D345" s="39"/>
      <c r="E345" s="39"/>
      <c r="J345" s="15">
        <f t="shared" si="26"/>
        <v>0</v>
      </c>
      <c r="K345" s="2" t="str">
        <f t="shared" si="27"/>
        <v xml:space="preserve"> </v>
      </c>
      <c r="L345" s="2" t="str">
        <f t="shared" si="28"/>
        <v xml:space="preserve"> </v>
      </c>
      <c r="M345" s="2" t="str">
        <f t="shared" si="29"/>
        <v xml:space="preserve"> </v>
      </c>
    </row>
    <row r="346" spans="1:13" x14ac:dyDescent="0.25">
      <c r="A346" s="40" t="str">
        <f t="shared" si="25"/>
        <v xml:space="preserve"> </v>
      </c>
      <c r="D346" s="39"/>
      <c r="E346" s="39"/>
      <c r="J346" s="15">
        <f t="shared" si="26"/>
        <v>0</v>
      </c>
      <c r="K346" s="2" t="str">
        <f t="shared" si="27"/>
        <v xml:space="preserve"> </v>
      </c>
      <c r="L346" s="2" t="str">
        <f t="shared" si="28"/>
        <v xml:space="preserve"> </v>
      </c>
      <c r="M346" s="2" t="str">
        <f t="shared" si="29"/>
        <v xml:space="preserve"> </v>
      </c>
    </row>
    <row r="347" spans="1:13" x14ac:dyDescent="0.25">
      <c r="A347" s="40" t="str">
        <f t="shared" si="25"/>
        <v xml:space="preserve"> </v>
      </c>
      <c r="D347" s="39"/>
      <c r="E347" s="39"/>
      <c r="J347" s="15">
        <f t="shared" si="26"/>
        <v>0</v>
      </c>
      <c r="K347" s="2" t="str">
        <f t="shared" si="27"/>
        <v xml:space="preserve"> </v>
      </c>
      <c r="L347" s="2" t="str">
        <f t="shared" si="28"/>
        <v xml:space="preserve"> </v>
      </c>
      <c r="M347" s="2" t="str">
        <f t="shared" si="29"/>
        <v xml:space="preserve"> </v>
      </c>
    </row>
    <row r="348" spans="1:13" x14ac:dyDescent="0.25">
      <c r="A348" s="40" t="str">
        <f t="shared" si="25"/>
        <v xml:space="preserve"> </v>
      </c>
      <c r="D348" s="39"/>
      <c r="E348" s="39"/>
      <c r="J348" s="15">
        <f t="shared" si="26"/>
        <v>0</v>
      </c>
      <c r="K348" s="2" t="str">
        <f t="shared" si="27"/>
        <v xml:space="preserve"> </v>
      </c>
      <c r="L348" s="2" t="str">
        <f t="shared" si="28"/>
        <v xml:space="preserve"> </v>
      </c>
      <c r="M348" s="2" t="str">
        <f t="shared" si="29"/>
        <v xml:space="preserve"> </v>
      </c>
    </row>
    <row r="349" spans="1:13" x14ac:dyDescent="0.25">
      <c r="A349" s="40" t="str">
        <f t="shared" si="25"/>
        <v xml:space="preserve"> </v>
      </c>
      <c r="D349" s="39"/>
      <c r="E349" s="39"/>
      <c r="J349" s="15">
        <f t="shared" si="26"/>
        <v>0</v>
      </c>
      <c r="K349" s="2" t="str">
        <f t="shared" si="27"/>
        <v xml:space="preserve"> </v>
      </c>
      <c r="L349" s="2" t="str">
        <f t="shared" si="28"/>
        <v xml:space="preserve"> </v>
      </c>
      <c r="M349" s="2" t="str">
        <f t="shared" si="29"/>
        <v xml:space="preserve"> </v>
      </c>
    </row>
    <row r="350" spans="1:13" x14ac:dyDescent="0.25">
      <c r="A350" s="40" t="str">
        <f t="shared" si="25"/>
        <v xml:space="preserve"> </v>
      </c>
      <c r="D350" s="39"/>
      <c r="E350" s="39"/>
      <c r="J350" s="15">
        <f t="shared" si="26"/>
        <v>0</v>
      </c>
      <c r="K350" s="2" t="str">
        <f t="shared" si="27"/>
        <v xml:space="preserve"> </v>
      </c>
      <c r="L350" s="2" t="str">
        <f t="shared" si="28"/>
        <v xml:space="preserve"> </v>
      </c>
      <c r="M350" s="2" t="str">
        <f t="shared" si="29"/>
        <v xml:space="preserve"> </v>
      </c>
    </row>
    <row r="351" spans="1:13" x14ac:dyDescent="0.25">
      <c r="A351" s="40" t="str">
        <f t="shared" si="25"/>
        <v xml:space="preserve"> </v>
      </c>
      <c r="D351" s="39"/>
      <c r="E351" s="39"/>
      <c r="J351" s="15">
        <f t="shared" si="26"/>
        <v>0</v>
      </c>
      <c r="K351" s="2" t="str">
        <f t="shared" si="27"/>
        <v xml:space="preserve"> </v>
      </c>
      <c r="L351" s="2" t="str">
        <f t="shared" si="28"/>
        <v xml:space="preserve"> </v>
      </c>
      <c r="M351" s="2" t="str">
        <f t="shared" si="29"/>
        <v xml:space="preserve"> </v>
      </c>
    </row>
    <row r="352" spans="1:13" x14ac:dyDescent="0.25">
      <c r="A352" s="40" t="str">
        <f t="shared" si="25"/>
        <v xml:space="preserve"> </v>
      </c>
      <c r="D352" s="39"/>
      <c r="E352" s="39"/>
      <c r="J352" s="15">
        <f t="shared" si="26"/>
        <v>0</v>
      </c>
      <c r="K352" s="2" t="str">
        <f t="shared" si="27"/>
        <v xml:space="preserve"> </v>
      </c>
      <c r="L352" s="2" t="str">
        <f t="shared" si="28"/>
        <v xml:space="preserve"> </v>
      </c>
      <c r="M352" s="2" t="str">
        <f t="shared" si="29"/>
        <v xml:space="preserve"> </v>
      </c>
    </row>
    <row r="353" spans="1:13" x14ac:dyDescent="0.25">
      <c r="A353" s="40" t="str">
        <f t="shared" si="25"/>
        <v xml:space="preserve"> </v>
      </c>
      <c r="D353" s="39"/>
      <c r="E353" s="39"/>
      <c r="J353" s="15">
        <f t="shared" si="26"/>
        <v>0</v>
      </c>
      <c r="K353" s="2" t="str">
        <f t="shared" si="27"/>
        <v xml:space="preserve"> </v>
      </c>
      <c r="L353" s="2" t="str">
        <f t="shared" si="28"/>
        <v xml:space="preserve"> </v>
      </c>
      <c r="M353" s="2" t="str">
        <f t="shared" si="29"/>
        <v xml:space="preserve"> </v>
      </c>
    </row>
    <row r="354" spans="1:13" x14ac:dyDescent="0.25">
      <c r="A354" s="40" t="str">
        <f t="shared" si="25"/>
        <v xml:space="preserve"> </v>
      </c>
      <c r="D354" s="39"/>
      <c r="E354" s="39"/>
      <c r="J354" s="15">
        <f t="shared" si="26"/>
        <v>0</v>
      </c>
      <c r="K354" s="2" t="str">
        <f t="shared" si="27"/>
        <v xml:space="preserve"> </v>
      </c>
      <c r="L354" s="2" t="str">
        <f t="shared" si="28"/>
        <v xml:space="preserve"> </v>
      </c>
      <c r="M354" s="2" t="str">
        <f t="shared" si="29"/>
        <v xml:space="preserve"> </v>
      </c>
    </row>
    <row r="355" spans="1:13" x14ac:dyDescent="0.25">
      <c r="A355" s="40" t="str">
        <f t="shared" si="25"/>
        <v xml:space="preserve"> </v>
      </c>
      <c r="D355" s="39"/>
      <c r="E355" s="39"/>
      <c r="J355" s="15">
        <f t="shared" si="26"/>
        <v>0</v>
      </c>
      <c r="K355" s="2" t="str">
        <f t="shared" si="27"/>
        <v xml:space="preserve"> </v>
      </c>
      <c r="L355" s="2" t="str">
        <f t="shared" si="28"/>
        <v xml:space="preserve"> </v>
      </c>
      <c r="M355" s="2" t="str">
        <f t="shared" si="29"/>
        <v xml:space="preserve"> </v>
      </c>
    </row>
    <row r="356" spans="1:13" x14ac:dyDescent="0.25">
      <c r="A356" s="40" t="str">
        <f t="shared" si="25"/>
        <v xml:space="preserve"> </v>
      </c>
      <c r="D356" s="39"/>
      <c r="E356" s="39"/>
      <c r="J356" s="15">
        <f t="shared" si="26"/>
        <v>0</v>
      </c>
      <c r="K356" s="2" t="str">
        <f t="shared" si="27"/>
        <v xml:space="preserve"> </v>
      </c>
      <c r="L356" s="2" t="str">
        <f t="shared" si="28"/>
        <v xml:space="preserve"> </v>
      </c>
      <c r="M356" s="2" t="str">
        <f t="shared" si="29"/>
        <v xml:space="preserve"> </v>
      </c>
    </row>
    <row r="357" spans="1:13" x14ac:dyDescent="0.25">
      <c r="A357" s="40" t="str">
        <f t="shared" si="25"/>
        <v xml:space="preserve"> </v>
      </c>
      <c r="D357" s="39"/>
      <c r="E357" s="39"/>
      <c r="J357" s="15">
        <f t="shared" si="26"/>
        <v>0</v>
      </c>
      <c r="K357" s="2" t="str">
        <f t="shared" si="27"/>
        <v xml:space="preserve"> </v>
      </c>
      <c r="L357" s="2" t="str">
        <f t="shared" si="28"/>
        <v xml:space="preserve"> </v>
      </c>
      <c r="M357" s="2" t="str">
        <f t="shared" si="29"/>
        <v xml:space="preserve"> </v>
      </c>
    </row>
    <row r="358" spans="1:13" x14ac:dyDescent="0.25">
      <c r="A358" s="40" t="str">
        <f t="shared" si="25"/>
        <v xml:space="preserve"> </v>
      </c>
      <c r="D358" s="39"/>
      <c r="E358" s="39"/>
      <c r="J358" s="15">
        <f t="shared" si="26"/>
        <v>0</v>
      </c>
      <c r="K358" s="2" t="str">
        <f t="shared" si="27"/>
        <v xml:space="preserve"> </v>
      </c>
      <c r="L358" s="2" t="str">
        <f t="shared" si="28"/>
        <v xml:space="preserve"> </v>
      </c>
      <c r="M358" s="2" t="str">
        <f t="shared" si="29"/>
        <v xml:space="preserve"> </v>
      </c>
    </row>
    <row r="359" spans="1:13" x14ac:dyDescent="0.25">
      <c r="A359" s="40" t="str">
        <f t="shared" si="25"/>
        <v xml:space="preserve"> </v>
      </c>
      <c r="D359" s="39"/>
      <c r="E359" s="39"/>
      <c r="J359" s="15">
        <f t="shared" si="26"/>
        <v>0</v>
      </c>
      <c r="K359" s="2" t="str">
        <f t="shared" si="27"/>
        <v xml:space="preserve"> </v>
      </c>
      <c r="L359" s="2" t="str">
        <f t="shared" si="28"/>
        <v xml:space="preserve"> </v>
      </c>
      <c r="M359" s="2" t="str">
        <f t="shared" si="29"/>
        <v xml:space="preserve"> </v>
      </c>
    </row>
    <row r="360" spans="1:13" x14ac:dyDescent="0.25">
      <c r="A360" s="40" t="str">
        <f t="shared" si="25"/>
        <v xml:space="preserve"> </v>
      </c>
      <c r="D360" s="39"/>
      <c r="E360" s="39"/>
      <c r="J360" s="15">
        <f t="shared" si="26"/>
        <v>0</v>
      </c>
      <c r="K360" s="2" t="str">
        <f t="shared" si="27"/>
        <v xml:space="preserve"> </v>
      </c>
      <c r="L360" s="2" t="str">
        <f t="shared" si="28"/>
        <v xml:space="preserve"> </v>
      </c>
      <c r="M360" s="2" t="str">
        <f t="shared" si="29"/>
        <v xml:space="preserve"> </v>
      </c>
    </row>
    <row r="361" spans="1:13" x14ac:dyDescent="0.25">
      <c r="A361" s="40" t="str">
        <f t="shared" si="25"/>
        <v xml:space="preserve"> </v>
      </c>
      <c r="D361" s="39"/>
      <c r="E361" s="39"/>
      <c r="J361" s="15">
        <f t="shared" si="26"/>
        <v>0</v>
      </c>
      <c r="K361" s="2" t="str">
        <f t="shared" si="27"/>
        <v xml:space="preserve"> </v>
      </c>
      <c r="L361" s="2" t="str">
        <f t="shared" si="28"/>
        <v xml:space="preserve"> </v>
      </c>
      <c r="M361" s="2" t="str">
        <f t="shared" si="29"/>
        <v xml:space="preserve"> </v>
      </c>
    </row>
    <row r="362" spans="1:13" x14ac:dyDescent="0.25">
      <c r="A362" s="40" t="str">
        <f t="shared" si="25"/>
        <v xml:space="preserve"> </v>
      </c>
      <c r="D362" s="39"/>
      <c r="E362" s="39"/>
      <c r="J362" s="15">
        <f t="shared" si="26"/>
        <v>0</v>
      </c>
      <c r="K362" s="2" t="str">
        <f t="shared" si="27"/>
        <v xml:space="preserve"> </v>
      </c>
      <c r="L362" s="2" t="str">
        <f t="shared" si="28"/>
        <v xml:space="preserve"> </v>
      </c>
      <c r="M362" s="2" t="str">
        <f t="shared" si="29"/>
        <v xml:space="preserve"> </v>
      </c>
    </row>
    <row r="363" spans="1:13" x14ac:dyDescent="0.25">
      <c r="A363" s="40" t="str">
        <f t="shared" si="25"/>
        <v xml:space="preserve"> </v>
      </c>
      <c r="D363" s="39"/>
      <c r="E363" s="39"/>
      <c r="J363" s="15">
        <f t="shared" si="26"/>
        <v>0</v>
      </c>
      <c r="K363" s="2" t="str">
        <f t="shared" si="27"/>
        <v xml:space="preserve"> </v>
      </c>
      <c r="L363" s="2" t="str">
        <f t="shared" si="28"/>
        <v xml:space="preserve"> </v>
      </c>
      <c r="M363" s="2" t="str">
        <f t="shared" si="29"/>
        <v xml:space="preserve"> </v>
      </c>
    </row>
    <row r="364" spans="1:13" x14ac:dyDescent="0.25">
      <c r="A364" s="40" t="str">
        <f t="shared" si="25"/>
        <v xml:space="preserve"> </v>
      </c>
      <c r="D364" s="39"/>
      <c r="E364" s="39"/>
      <c r="J364" s="15">
        <f t="shared" si="26"/>
        <v>0</v>
      </c>
      <c r="K364" s="2" t="str">
        <f t="shared" si="27"/>
        <v xml:space="preserve"> </v>
      </c>
      <c r="L364" s="2" t="str">
        <f t="shared" si="28"/>
        <v xml:space="preserve"> </v>
      </c>
      <c r="M364" s="2" t="str">
        <f t="shared" si="29"/>
        <v xml:space="preserve"> </v>
      </c>
    </row>
    <row r="365" spans="1:13" x14ac:dyDescent="0.25">
      <c r="A365" s="40" t="str">
        <f t="shared" si="25"/>
        <v xml:space="preserve"> </v>
      </c>
      <c r="D365" s="39"/>
      <c r="E365" s="39"/>
      <c r="J365" s="15">
        <f t="shared" si="26"/>
        <v>0</v>
      </c>
      <c r="K365" s="2" t="str">
        <f t="shared" si="27"/>
        <v xml:space="preserve"> </v>
      </c>
      <c r="L365" s="2" t="str">
        <f t="shared" si="28"/>
        <v xml:space="preserve"> </v>
      </c>
      <c r="M365" s="2" t="str">
        <f t="shared" si="29"/>
        <v xml:space="preserve"> </v>
      </c>
    </row>
    <row r="366" spans="1:13" x14ac:dyDescent="0.25">
      <c r="A366" s="40" t="str">
        <f t="shared" si="25"/>
        <v xml:space="preserve"> </v>
      </c>
      <c r="D366" s="39"/>
      <c r="E366" s="39"/>
      <c r="J366" s="15">
        <f t="shared" si="26"/>
        <v>0</v>
      </c>
      <c r="K366" s="2" t="str">
        <f t="shared" si="27"/>
        <v xml:space="preserve"> </v>
      </c>
      <c r="L366" s="2" t="str">
        <f t="shared" si="28"/>
        <v xml:space="preserve"> </v>
      </c>
      <c r="M366" s="2" t="str">
        <f t="shared" si="29"/>
        <v xml:space="preserve"> </v>
      </c>
    </row>
    <row r="367" spans="1:13" x14ac:dyDescent="0.25">
      <c r="A367" s="40" t="str">
        <f t="shared" si="25"/>
        <v xml:space="preserve"> </v>
      </c>
      <c r="D367" s="39"/>
      <c r="E367" s="39"/>
      <c r="J367" s="15">
        <f t="shared" si="26"/>
        <v>0</v>
      </c>
      <c r="K367" s="2" t="str">
        <f t="shared" si="27"/>
        <v xml:space="preserve"> </v>
      </c>
      <c r="L367" s="2" t="str">
        <f t="shared" si="28"/>
        <v xml:space="preserve"> </v>
      </c>
      <c r="M367" s="2" t="str">
        <f t="shared" si="29"/>
        <v xml:space="preserve"> </v>
      </c>
    </row>
    <row r="368" spans="1:13" x14ac:dyDescent="0.25">
      <c r="A368" s="40" t="str">
        <f t="shared" si="25"/>
        <v xml:space="preserve"> </v>
      </c>
      <c r="D368" s="39"/>
      <c r="E368" s="39"/>
      <c r="J368" s="15">
        <f t="shared" si="26"/>
        <v>0</v>
      </c>
      <c r="K368" s="2" t="str">
        <f t="shared" si="27"/>
        <v xml:space="preserve"> </v>
      </c>
      <c r="L368" s="2" t="str">
        <f t="shared" si="28"/>
        <v xml:space="preserve"> </v>
      </c>
      <c r="M368" s="2" t="str">
        <f t="shared" si="29"/>
        <v xml:space="preserve"> </v>
      </c>
    </row>
    <row r="369" spans="1:13" x14ac:dyDescent="0.25">
      <c r="A369" s="40" t="str">
        <f t="shared" si="25"/>
        <v xml:space="preserve"> </v>
      </c>
      <c r="D369" s="39"/>
      <c r="E369" s="39"/>
      <c r="J369" s="15">
        <f t="shared" si="26"/>
        <v>0</v>
      </c>
      <c r="K369" s="2" t="str">
        <f t="shared" si="27"/>
        <v xml:space="preserve"> </v>
      </c>
      <c r="L369" s="2" t="str">
        <f t="shared" si="28"/>
        <v xml:space="preserve"> </v>
      </c>
      <c r="M369" s="2" t="str">
        <f t="shared" si="29"/>
        <v xml:space="preserve"> </v>
      </c>
    </row>
    <row r="370" spans="1:13" x14ac:dyDescent="0.25">
      <c r="A370" s="40" t="str">
        <f t="shared" si="25"/>
        <v xml:space="preserve"> </v>
      </c>
      <c r="D370" s="39"/>
      <c r="E370" s="39"/>
      <c r="J370" s="15">
        <f t="shared" si="26"/>
        <v>0</v>
      </c>
      <c r="K370" s="2" t="str">
        <f t="shared" si="27"/>
        <v xml:space="preserve"> </v>
      </c>
      <c r="L370" s="2" t="str">
        <f t="shared" si="28"/>
        <v xml:space="preserve"> </v>
      </c>
      <c r="M370" s="2" t="str">
        <f t="shared" si="29"/>
        <v xml:space="preserve"> </v>
      </c>
    </row>
    <row r="371" spans="1:13" x14ac:dyDescent="0.25">
      <c r="A371" s="40" t="str">
        <f t="shared" si="25"/>
        <v xml:space="preserve"> </v>
      </c>
      <c r="D371" s="39"/>
      <c r="E371" s="39"/>
      <c r="J371" s="15">
        <f t="shared" si="26"/>
        <v>0</v>
      </c>
      <c r="K371" s="2" t="str">
        <f t="shared" si="27"/>
        <v xml:space="preserve"> </v>
      </c>
      <c r="L371" s="2" t="str">
        <f t="shared" si="28"/>
        <v xml:space="preserve"> </v>
      </c>
      <c r="M371" s="2" t="str">
        <f t="shared" si="29"/>
        <v xml:space="preserve"> </v>
      </c>
    </row>
    <row r="372" spans="1:13" x14ac:dyDescent="0.25">
      <c r="A372" s="40" t="str">
        <f t="shared" si="25"/>
        <v xml:space="preserve"> </v>
      </c>
      <c r="D372" s="39"/>
      <c r="E372" s="39"/>
      <c r="J372" s="15">
        <f t="shared" si="26"/>
        <v>0</v>
      </c>
      <c r="K372" s="2" t="str">
        <f t="shared" si="27"/>
        <v xml:space="preserve"> </v>
      </c>
      <c r="L372" s="2" t="str">
        <f t="shared" si="28"/>
        <v xml:space="preserve"> </v>
      </c>
      <c r="M372" s="2" t="str">
        <f t="shared" si="29"/>
        <v xml:space="preserve"> </v>
      </c>
    </row>
    <row r="373" spans="1:13" x14ac:dyDescent="0.25">
      <c r="A373" s="40" t="str">
        <f t="shared" si="25"/>
        <v xml:space="preserve"> </v>
      </c>
      <c r="D373" s="39"/>
      <c r="E373" s="39"/>
      <c r="J373" s="15">
        <f t="shared" si="26"/>
        <v>0</v>
      </c>
      <c r="K373" s="2" t="str">
        <f t="shared" si="27"/>
        <v xml:space="preserve"> </v>
      </c>
      <c r="L373" s="2" t="str">
        <f t="shared" si="28"/>
        <v xml:space="preserve"> </v>
      </c>
      <c r="M373" s="2" t="str">
        <f t="shared" si="29"/>
        <v xml:space="preserve"> </v>
      </c>
    </row>
    <row r="374" spans="1:13" x14ac:dyDescent="0.25">
      <c r="A374" s="40" t="str">
        <f t="shared" si="25"/>
        <v xml:space="preserve"> </v>
      </c>
      <c r="D374" s="39"/>
      <c r="E374" s="39"/>
      <c r="J374" s="15">
        <f t="shared" si="26"/>
        <v>0</v>
      </c>
      <c r="K374" s="2" t="str">
        <f t="shared" si="27"/>
        <v xml:space="preserve"> </v>
      </c>
      <c r="L374" s="2" t="str">
        <f t="shared" si="28"/>
        <v xml:space="preserve"> </v>
      </c>
      <c r="M374" s="2" t="str">
        <f t="shared" si="29"/>
        <v xml:space="preserve"> </v>
      </c>
    </row>
    <row r="375" spans="1:13" x14ac:dyDescent="0.25">
      <c r="A375" s="40" t="str">
        <f t="shared" si="25"/>
        <v xml:space="preserve"> </v>
      </c>
      <c r="D375" s="39"/>
      <c r="E375" s="39"/>
      <c r="J375" s="15">
        <f t="shared" si="26"/>
        <v>0</v>
      </c>
      <c r="K375" s="2" t="str">
        <f t="shared" si="27"/>
        <v xml:space="preserve"> </v>
      </c>
      <c r="L375" s="2" t="str">
        <f t="shared" si="28"/>
        <v xml:space="preserve"> </v>
      </c>
      <c r="M375" s="2" t="str">
        <f t="shared" si="29"/>
        <v xml:space="preserve"> </v>
      </c>
    </row>
    <row r="376" spans="1:13" x14ac:dyDescent="0.25">
      <c r="A376" s="40" t="str">
        <f t="shared" si="25"/>
        <v xml:space="preserve"> </v>
      </c>
      <c r="D376" s="39"/>
      <c r="E376" s="39"/>
      <c r="J376" s="15">
        <f t="shared" si="26"/>
        <v>0</v>
      </c>
      <c r="K376" s="2" t="str">
        <f t="shared" si="27"/>
        <v xml:space="preserve"> </v>
      </c>
      <c r="L376" s="2" t="str">
        <f t="shared" si="28"/>
        <v xml:space="preserve"> </v>
      </c>
      <c r="M376" s="2" t="str">
        <f t="shared" si="29"/>
        <v xml:space="preserve"> </v>
      </c>
    </row>
    <row r="377" spans="1:13" x14ac:dyDescent="0.25">
      <c r="A377" s="40" t="str">
        <f t="shared" si="25"/>
        <v xml:space="preserve"> </v>
      </c>
      <c r="D377" s="39"/>
      <c r="E377" s="39"/>
      <c r="J377" s="15">
        <f t="shared" si="26"/>
        <v>0</v>
      </c>
      <c r="K377" s="2" t="str">
        <f t="shared" si="27"/>
        <v xml:space="preserve"> </v>
      </c>
      <c r="L377" s="2" t="str">
        <f t="shared" si="28"/>
        <v xml:space="preserve"> </v>
      </c>
      <c r="M377" s="2" t="str">
        <f t="shared" si="29"/>
        <v xml:space="preserve"> </v>
      </c>
    </row>
    <row r="378" spans="1:13" x14ac:dyDescent="0.25">
      <c r="A378" s="40" t="str">
        <f t="shared" si="25"/>
        <v xml:space="preserve"> </v>
      </c>
      <c r="D378" s="39"/>
      <c r="E378" s="39"/>
      <c r="J378" s="15">
        <f t="shared" si="26"/>
        <v>0</v>
      </c>
      <c r="K378" s="2" t="str">
        <f t="shared" si="27"/>
        <v xml:space="preserve"> </v>
      </c>
      <c r="L378" s="2" t="str">
        <f t="shared" si="28"/>
        <v xml:space="preserve"> </v>
      </c>
      <c r="M378" s="2" t="str">
        <f t="shared" si="29"/>
        <v xml:space="preserve"> </v>
      </c>
    </row>
    <row r="379" spans="1:13" x14ac:dyDescent="0.25">
      <c r="A379" s="40" t="str">
        <f t="shared" si="25"/>
        <v xml:space="preserve"> </v>
      </c>
      <c r="D379" s="39"/>
      <c r="E379" s="39"/>
      <c r="J379" s="15">
        <f t="shared" si="26"/>
        <v>0</v>
      </c>
      <c r="K379" s="2" t="str">
        <f t="shared" si="27"/>
        <v xml:space="preserve"> </v>
      </c>
      <c r="L379" s="2" t="str">
        <f t="shared" si="28"/>
        <v xml:space="preserve"> </v>
      </c>
      <c r="M379" s="2" t="str">
        <f t="shared" si="29"/>
        <v xml:space="preserve"> </v>
      </c>
    </row>
    <row r="380" spans="1:13" x14ac:dyDescent="0.25">
      <c r="A380" s="40" t="str">
        <f t="shared" si="25"/>
        <v xml:space="preserve"> </v>
      </c>
      <c r="D380" s="39"/>
      <c r="E380" s="39"/>
      <c r="J380" s="15">
        <f t="shared" si="26"/>
        <v>0</v>
      </c>
      <c r="K380" s="2" t="str">
        <f t="shared" si="27"/>
        <v xml:space="preserve"> </v>
      </c>
      <c r="L380" s="2" t="str">
        <f t="shared" si="28"/>
        <v xml:space="preserve"> </v>
      </c>
      <c r="M380" s="2" t="str">
        <f t="shared" si="29"/>
        <v xml:space="preserve"> </v>
      </c>
    </row>
    <row r="381" spans="1:13" x14ac:dyDescent="0.25">
      <c r="A381" s="40" t="str">
        <f t="shared" si="25"/>
        <v xml:space="preserve"> </v>
      </c>
      <c r="D381" s="39"/>
      <c r="E381" s="39"/>
      <c r="J381" s="15">
        <f t="shared" si="26"/>
        <v>0</v>
      </c>
      <c r="K381" s="2" t="str">
        <f t="shared" si="27"/>
        <v xml:space="preserve"> </v>
      </c>
      <c r="L381" s="2" t="str">
        <f t="shared" si="28"/>
        <v xml:space="preserve"> </v>
      </c>
      <c r="M381" s="2" t="str">
        <f t="shared" si="29"/>
        <v xml:space="preserve"> </v>
      </c>
    </row>
    <row r="382" spans="1:13" x14ac:dyDescent="0.25">
      <c r="A382" s="40" t="str">
        <f t="shared" si="25"/>
        <v xml:space="preserve"> </v>
      </c>
      <c r="D382" s="39"/>
      <c r="E382" s="39"/>
      <c r="J382" s="15">
        <f t="shared" si="26"/>
        <v>0</v>
      </c>
      <c r="K382" s="2" t="str">
        <f t="shared" si="27"/>
        <v xml:space="preserve"> </v>
      </c>
      <c r="L382" s="2" t="str">
        <f t="shared" si="28"/>
        <v xml:space="preserve"> </v>
      </c>
      <c r="M382" s="2" t="str">
        <f t="shared" si="29"/>
        <v xml:space="preserve"> </v>
      </c>
    </row>
    <row r="383" spans="1:13" x14ac:dyDescent="0.25">
      <c r="A383" s="40" t="str">
        <f t="shared" si="25"/>
        <v xml:space="preserve"> </v>
      </c>
      <c r="D383" s="39"/>
      <c r="E383" s="39"/>
      <c r="J383" s="15">
        <f t="shared" si="26"/>
        <v>0</v>
      </c>
      <c r="K383" s="2" t="str">
        <f t="shared" si="27"/>
        <v xml:space="preserve"> </v>
      </c>
      <c r="L383" s="2" t="str">
        <f t="shared" si="28"/>
        <v xml:space="preserve"> </v>
      </c>
      <c r="M383" s="2" t="str">
        <f t="shared" si="29"/>
        <v xml:space="preserve"> </v>
      </c>
    </row>
    <row r="384" spans="1:13" x14ac:dyDescent="0.25">
      <c r="A384" s="40" t="str">
        <f t="shared" si="25"/>
        <v xml:space="preserve"> </v>
      </c>
      <c r="D384" s="39"/>
      <c r="E384" s="39"/>
      <c r="J384" s="15">
        <f t="shared" si="26"/>
        <v>0</v>
      </c>
      <c r="K384" s="2" t="str">
        <f t="shared" si="27"/>
        <v xml:space="preserve"> </v>
      </c>
      <c r="L384" s="2" t="str">
        <f t="shared" si="28"/>
        <v xml:space="preserve"> </v>
      </c>
      <c r="M384" s="2" t="str">
        <f t="shared" si="29"/>
        <v xml:space="preserve"> </v>
      </c>
    </row>
    <row r="385" spans="1:13" x14ac:dyDescent="0.25">
      <c r="A385" s="40" t="str">
        <f t="shared" si="25"/>
        <v xml:space="preserve"> </v>
      </c>
      <c r="D385" s="39"/>
      <c r="E385" s="39"/>
      <c r="J385" s="15">
        <f t="shared" si="26"/>
        <v>0</v>
      </c>
      <c r="K385" s="2" t="str">
        <f t="shared" si="27"/>
        <v xml:space="preserve"> </v>
      </c>
      <c r="L385" s="2" t="str">
        <f t="shared" si="28"/>
        <v xml:space="preserve"> </v>
      </c>
      <c r="M385" s="2" t="str">
        <f t="shared" si="29"/>
        <v xml:space="preserve"> </v>
      </c>
    </row>
    <row r="386" spans="1:13" x14ac:dyDescent="0.25">
      <c r="A386" s="40" t="str">
        <f t="shared" si="25"/>
        <v xml:space="preserve"> </v>
      </c>
      <c r="D386" s="39"/>
      <c r="E386" s="39"/>
      <c r="J386" s="15">
        <f t="shared" si="26"/>
        <v>0</v>
      </c>
      <c r="K386" s="2" t="str">
        <f t="shared" si="27"/>
        <v xml:space="preserve"> </v>
      </c>
      <c r="L386" s="2" t="str">
        <f t="shared" si="28"/>
        <v xml:space="preserve"> </v>
      </c>
      <c r="M386" s="2" t="str">
        <f t="shared" si="29"/>
        <v xml:space="preserve"> </v>
      </c>
    </row>
    <row r="387" spans="1:13" x14ac:dyDescent="0.25">
      <c r="A387" s="40" t="str">
        <f t="shared" si="25"/>
        <v xml:space="preserve"> </v>
      </c>
      <c r="D387" s="39"/>
      <c r="E387" s="39"/>
      <c r="J387" s="15">
        <f t="shared" si="26"/>
        <v>0</v>
      </c>
      <c r="K387" s="2" t="str">
        <f t="shared" si="27"/>
        <v xml:space="preserve"> </v>
      </c>
      <c r="L387" s="2" t="str">
        <f t="shared" si="28"/>
        <v xml:space="preserve"> </v>
      </c>
      <c r="M387" s="2" t="str">
        <f t="shared" si="29"/>
        <v xml:space="preserve"> </v>
      </c>
    </row>
    <row r="388" spans="1:13" x14ac:dyDescent="0.25">
      <c r="A388" s="40" t="str">
        <f t="shared" si="25"/>
        <v xml:space="preserve"> </v>
      </c>
      <c r="D388" s="39"/>
      <c r="E388" s="39"/>
      <c r="J388" s="15">
        <f t="shared" si="26"/>
        <v>0</v>
      </c>
      <c r="K388" s="2" t="str">
        <f t="shared" si="27"/>
        <v xml:space="preserve"> </v>
      </c>
      <c r="L388" s="2" t="str">
        <f t="shared" si="28"/>
        <v xml:space="preserve"> </v>
      </c>
      <c r="M388" s="2" t="str">
        <f t="shared" si="29"/>
        <v xml:space="preserve"> </v>
      </c>
    </row>
    <row r="389" spans="1:13" x14ac:dyDescent="0.25">
      <c r="A389" s="40" t="str">
        <f t="shared" si="25"/>
        <v xml:space="preserve"> </v>
      </c>
      <c r="D389" s="39"/>
      <c r="E389" s="39"/>
      <c r="J389" s="15">
        <f t="shared" si="26"/>
        <v>0</v>
      </c>
      <c r="K389" s="2" t="str">
        <f t="shared" si="27"/>
        <v xml:space="preserve"> </v>
      </c>
      <c r="L389" s="2" t="str">
        <f t="shared" si="28"/>
        <v xml:space="preserve"> </v>
      </c>
      <c r="M389" s="2" t="str">
        <f t="shared" si="29"/>
        <v xml:space="preserve"> </v>
      </c>
    </row>
    <row r="390" spans="1:13" x14ac:dyDescent="0.25">
      <c r="A390" s="40" t="str">
        <f t="shared" si="25"/>
        <v xml:space="preserve"> </v>
      </c>
      <c r="D390" s="39"/>
      <c r="E390" s="39"/>
      <c r="J390" s="15">
        <f t="shared" si="26"/>
        <v>0</v>
      </c>
      <c r="K390" s="2" t="str">
        <f t="shared" si="27"/>
        <v xml:space="preserve"> </v>
      </c>
      <c r="L390" s="2" t="str">
        <f t="shared" si="28"/>
        <v xml:space="preserve"> </v>
      </c>
      <c r="M390" s="2" t="str">
        <f t="shared" si="29"/>
        <v xml:space="preserve"> </v>
      </c>
    </row>
    <row r="391" spans="1:13" x14ac:dyDescent="0.25">
      <c r="A391" s="40" t="str">
        <f t="shared" si="25"/>
        <v xml:space="preserve"> </v>
      </c>
      <c r="D391" s="39"/>
      <c r="E391" s="39"/>
      <c r="J391" s="15">
        <f t="shared" si="26"/>
        <v>0</v>
      </c>
      <c r="K391" s="2" t="str">
        <f t="shared" si="27"/>
        <v xml:space="preserve"> </v>
      </c>
      <c r="L391" s="2" t="str">
        <f t="shared" si="28"/>
        <v xml:space="preserve"> </v>
      </c>
      <c r="M391" s="2" t="str">
        <f t="shared" si="29"/>
        <v xml:space="preserve"> </v>
      </c>
    </row>
    <row r="392" spans="1:13" x14ac:dyDescent="0.25">
      <c r="A392" s="40" t="str">
        <f t="shared" si="25"/>
        <v xml:space="preserve"> </v>
      </c>
      <c r="D392" s="39"/>
      <c r="E392" s="39"/>
      <c r="J392" s="15">
        <f t="shared" si="26"/>
        <v>0</v>
      </c>
      <c r="K392" s="2" t="str">
        <f t="shared" si="27"/>
        <v xml:space="preserve"> </v>
      </c>
      <c r="L392" s="2" t="str">
        <f t="shared" si="28"/>
        <v xml:space="preserve"> </v>
      </c>
      <c r="M392" s="2" t="str">
        <f t="shared" si="29"/>
        <v xml:space="preserve"> </v>
      </c>
    </row>
    <row r="393" spans="1:13" x14ac:dyDescent="0.25">
      <c r="A393" s="40" t="str">
        <f t="shared" si="25"/>
        <v xml:space="preserve"> </v>
      </c>
      <c r="D393" s="39"/>
      <c r="E393" s="39"/>
      <c r="J393" s="15">
        <f t="shared" si="26"/>
        <v>0</v>
      </c>
      <c r="K393" s="2" t="str">
        <f t="shared" si="27"/>
        <v xml:space="preserve"> </v>
      </c>
      <c r="L393" s="2" t="str">
        <f t="shared" si="28"/>
        <v xml:space="preserve"> </v>
      </c>
      <c r="M393" s="2" t="str">
        <f t="shared" si="29"/>
        <v xml:space="preserve"> </v>
      </c>
    </row>
    <row r="394" spans="1:13" x14ac:dyDescent="0.25">
      <c r="A394" s="40" t="str">
        <f t="shared" si="25"/>
        <v xml:space="preserve"> </v>
      </c>
      <c r="D394" s="39"/>
      <c r="E394" s="39"/>
      <c r="J394" s="15">
        <f t="shared" si="26"/>
        <v>0</v>
      </c>
      <c r="K394" s="2" t="str">
        <f t="shared" si="27"/>
        <v xml:space="preserve"> </v>
      </c>
      <c r="L394" s="2" t="str">
        <f t="shared" si="28"/>
        <v xml:space="preserve"> </v>
      </c>
      <c r="M394" s="2" t="str">
        <f t="shared" si="29"/>
        <v xml:space="preserve"> </v>
      </c>
    </row>
    <row r="395" spans="1:13" x14ac:dyDescent="0.25">
      <c r="A395" s="40" t="str">
        <f t="shared" si="25"/>
        <v xml:space="preserve"> </v>
      </c>
      <c r="D395" s="39"/>
      <c r="E395" s="39"/>
      <c r="J395" s="15">
        <f t="shared" si="26"/>
        <v>0</v>
      </c>
      <c r="K395" s="2" t="str">
        <f t="shared" si="27"/>
        <v xml:space="preserve"> </v>
      </c>
      <c r="L395" s="2" t="str">
        <f t="shared" si="28"/>
        <v xml:space="preserve"> </v>
      </c>
      <c r="M395" s="2" t="str">
        <f t="shared" si="29"/>
        <v xml:space="preserve"> </v>
      </c>
    </row>
    <row r="396" spans="1:13" x14ac:dyDescent="0.25">
      <c r="A396" s="40" t="str">
        <f t="shared" si="25"/>
        <v xml:space="preserve"> </v>
      </c>
      <c r="D396" s="39"/>
      <c r="E396" s="39"/>
      <c r="J396" s="15">
        <f t="shared" si="26"/>
        <v>0</v>
      </c>
      <c r="K396" s="2" t="str">
        <f t="shared" si="27"/>
        <v xml:space="preserve"> </v>
      </c>
      <c r="L396" s="2" t="str">
        <f t="shared" si="28"/>
        <v xml:space="preserve"> </v>
      </c>
      <c r="M396" s="2" t="str">
        <f t="shared" si="29"/>
        <v xml:space="preserve"> </v>
      </c>
    </row>
    <row r="397" spans="1:13" x14ac:dyDescent="0.25">
      <c r="A397" s="40" t="str">
        <f t="shared" si="25"/>
        <v xml:space="preserve"> </v>
      </c>
      <c r="D397" s="39"/>
      <c r="E397" s="39"/>
      <c r="J397" s="15">
        <f t="shared" ref="J397:J450" si="30">F397-G397+H397-I397</f>
        <v>0</v>
      </c>
      <c r="K397" s="2" t="str">
        <f t="shared" si="27"/>
        <v xml:space="preserve"> </v>
      </c>
      <c r="L397" s="2" t="str">
        <f t="shared" si="28"/>
        <v xml:space="preserve"> </v>
      </c>
      <c r="M397" s="2" t="str">
        <f t="shared" si="29"/>
        <v xml:space="preserve"> </v>
      </c>
    </row>
    <row r="398" spans="1:13" x14ac:dyDescent="0.25">
      <c r="A398" s="40" t="str">
        <f t="shared" si="25"/>
        <v xml:space="preserve"> </v>
      </c>
      <c r="D398" s="39"/>
      <c r="E398" s="39"/>
      <c r="J398" s="15">
        <f t="shared" si="30"/>
        <v>0</v>
      </c>
      <c r="K398" s="2" t="str">
        <f t="shared" si="27"/>
        <v xml:space="preserve"> </v>
      </c>
      <c r="L398" s="2" t="str">
        <f t="shared" si="28"/>
        <v xml:space="preserve"> </v>
      </c>
      <c r="M398" s="2" t="str">
        <f t="shared" si="29"/>
        <v xml:space="preserve"> </v>
      </c>
    </row>
    <row r="399" spans="1:13" x14ac:dyDescent="0.25">
      <c r="A399" s="40" t="str">
        <f t="shared" ref="A399:A462" si="31">IF(COUNTIF(K399:M399,"ERROR")&gt;0,"ERROR"," ")</f>
        <v xml:space="preserve"> </v>
      </c>
      <c r="D399" s="39"/>
      <c r="E399" s="39"/>
      <c r="J399" s="15">
        <f t="shared" si="30"/>
        <v>0</v>
      </c>
      <c r="K399" s="2" t="str">
        <f t="shared" si="27"/>
        <v xml:space="preserve"> </v>
      </c>
      <c r="L399" s="2" t="str">
        <f t="shared" si="28"/>
        <v xml:space="preserve"> </v>
      </c>
      <c r="M399" s="2" t="str">
        <f t="shared" si="29"/>
        <v xml:space="preserve"> </v>
      </c>
    </row>
    <row r="400" spans="1:13" x14ac:dyDescent="0.25">
      <c r="A400" s="40" t="str">
        <f t="shared" si="31"/>
        <v xml:space="preserve"> </v>
      </c>
      <c r="D400" s="39"/>
      <c r="E400" s="39"/>
      <c r="J400" s="15">
        <f t="shared" si="30"/>
        <v>0</v>
      </c>
      <c r="K400" s="2" t="str">
        <f t="shared" ref="K400:K463" si="32">IF(COUNTA(D400:E400)=2,"ERROR"," ")</f>
        <v xml:space="preserve"> </v>
      </c>
      <c r="L400" s="2" t="str">
        <f t="shared" ref="L400:L463" si="33">IF(D400=0," ",IF(COUNTIF(ProfitLoss,D400)&gt;0," ","ERROR"))</f>
        <v xml:space="preserve"> </v>
      </c>
      <c r="M400" s="2" t="str">
        <f t="shared" ref="M400:M463" si="34">IF(E400=0," ",IF(COUNTIF(BalanceSheet,E400)&gt;0," ","ERROR"))</f>
        <v xml:space="preserve"> </v>
      </c>
    </row>
    <row r="401" spans="1:13" x14ac:dyDescent="0.25">
      <c r="A401" s="40" t="str">
        <f t="shared" si="31"/>
        <v xml:space="preserve"> </v>
      </c>
      <c r="D401" s="39"/>
      <c r="E401" s="39"/>
      <c r="J401" s="15">
        <f t="shared" si="30"/>
        <v>0</v>
      </c>
      <c r="K401" s="2" t="str">
        <f t="shared" si="32"/>
        <v xml:space="preserve"> </v>
      </c>
      <c r="L401" s="2" t="str">
        <f t="shared" si="33"/>
        <v xml:space="preserve"> </v>
      </c>
      <c r="M401" s="2" t="str">
        <f t="shared" si="34"/>
        <v xml:space="preserve"> </v>
      </c>
    </row>
    <row r="402" spans="1:13" x14ac:dyDescent="0.25">
      <c r="A402" s="40" t="str">
        <f t="shared" si="31"/>
        <v xml:space="preserve"> </v>
      </c>
      <c r="D402" s="39"/>
      <c r="E402" s="39"/>
      <c r="J402" s="15">
        <f t="shared" si="30"/>
        <v>0</v>
      </c>
      <c r="K402" s="2" t="str">
        <f t="shared" si="32"/>
        <v xml:space="preserve"> </v>
      </c>
      <c r="L402" s="2" t="str">
        <f t="shared" si="33"/>
        <v xml:space="preserve"> </v>
      </c>
      <c r="M402" s="2" t="str">
        <f t="shared" si="34"/>
        <v xml:space="preserve"> </v>
      </c>
    </row>
    <row r="403" spans="1:13" x14ac:dyDescent="0.25">
      <c r="A403" s="40" t="str">
        <f t="shared" si="31"/>
        <v xml:space="preserve"> </v>
      </c>
      <c r="D403" s="39"/>
      <c r="E403" s="39"/>
      <c r="J403" s="15">
        <f t="shared" si="30"/>
        <v>0</v>
      </c>
      <c r="K403" s="2" t="str">
        <f t="shared" si="32"/>
        <v xml:space="preserve"> </v>
      </c>
      <c r="L403" s="2" t="str">
        <f t="shared" si="33"/>
        <v xml:space="preserve"> </v>
      </c>
      <c r="M403" s="2" t="str">
        <f t="shared" si="34"/>
        <v xml:space="preserve"> </v>
      </c>
    </row>
    <row r="404" spans="1:13" x14ac:dyDescent="0.25">
      <c r="A404" s="40" t="str">
        <f t="shared" si="31"/>
        <v xml:space="preserve"> </v>
      </c>
      <c r="D404" s="39"/>
      <c r="E404" s="39"/>
      <c r="J404" s="15">
        <f t="shared" si="30"/>
        <v>0</v>
      </c>
      <c r="K404" s="2" t="str">
        <f t="shared" si="32"/>
        <v xml:space="preserve"> </v>
      </c>
      <c r="L404" s="2" t="str">
        <f t="shared" si="33"/>
        <v xml:space="preserve"> </v>
      </c>
      <c r="M404" s="2" t="str">
        <f t="shared" si="34"/>
        <v xml:space="preserve"> </v>
      </c>
    </row>
    <row r="405" spans="1:13" x14ac:dyDescent="0.25">
      <c r="A405" s="40" t="str">
        <f t="shared" si="31"/>
        <v xml:space="preserve"> </v>
      </c>
      <c r="D405" s="39"/>
      <c r="E405" s="39"/>
      <c r="J405" s="15">
        <f t="shared" si="30"/>
        <v>0</v>
      </c>
      <c r="K405" s="2" t="str">
        <f t="shared" si="32"/>
        <v xml:space="preserve"> </v>
      </c>
      <c r="L405" s="2" t="str">
        <f t="shared" si="33"/>
        <v xml:space="preserve"> </v>
      </c>
      <c r="M405" s="2" t="str">
        <f t="shared" si="34"/>
        <v xml:space="preserve"> </v>
      </c>
    </row>
    <row r="406" spans="1:13" x14ac:dyDescent="0.25">
      <c r="A406" s="40" t="str">
        <f t="shared" si="31"/>
        <v xml:space="preserve"> </v>
      </c>
      <c r="D406" s="39"/>
      <c r="E406" s="39"/>
      <c r="J406" s="15">
        <f t="shared" si="30"/>
        <v>0</v>
      </c>
      <c r="K406" s="2" t="str">
        <f t="shared" si="32"/>
        <v xml:space="preserve"> </v>
      </c>
      <c r="L406" s="2" t="str">
        <f t="shared" si="33"/>
        <v xml:space="preserve"> </v>
      </c>
      <c r="M406" s="2" t="str">
        <f t="shared" si="34"/>
        <v xml:space="preserve"> </v>
      </c>
    </row>
    <row r="407" spans="1:13" x14ac:dyDescent="0.25">
      <c r="A407" s="40" t="str">
        <f t="shared" si="31"/>
        <v xml:space="preserve"> </v>
      </c>
      <c r="D407" s="39"/>
      <c r="E407" s="39"/>
      <c r="J407" s="15">
        <f t="shared" si="30"/>
        <v>0</v>
      </c>
      <c r="K407" s="2" t="str">
        <f t="shared" si="32"/>
        <v xml:space="preserve"> </v>
      </c>
      <c r="L407" s="2" t="str">
        <f t="shared" si="33"/>
        <v xml:space="preserve"> </v>
      </c>
      <c r="M407" s="2" t="str">
        <f t="shared" si="34"/>
        <v xml:space="preserve"> </v>
      </c>
    </row>
    <row r="408" spans="1:13" x14ac:dyDescent="0.25">
      <c r="A408" s="40" t="str">
        <f t="shared" si="31"/>
        <v xml:space="preserve"> </v>
      </c>
      <c r="D408" s="39"/>
      <c r="E408" s="39"/>
      <c r="J408" s="15">
        <f t="shared" si="30"/>
        <v>0</v>
      </c>
      <c r="K408" s="2" t="str">
        <f t="shared" si="32"/>
        <v xml:space="preserve"> </v>
      </c>
      <c r="L408" s="2" t="str">
        <f t="shared" si="33"/>
        <v xml:space="preserve"> </v>
      </c>
      <c r="M408" s="2" t="str">
        <f t="shared" si="34"/>
        <v xml:space="preserve"> </v>
      </c>
    </row>
    <row r="409" spans="1:13" x14ac:dyDescent="0.25">
      <c r="A409" s="40" t="str">
        <f t="shared" si="31"/>
        <v xml:space="preserve"> </v>
      </c>
      <c r="D409" s="39"/>
      <c r="E409" s="39"/>
      <c r="J409" s="15">
        <f t="shared" si="30"/>
        <v>0</v>
      </c>
      <c r="K409" s="2" t="str">
        <f t="shared" si="32"/>
        <v xml:space="preserve"> </v>
      </c>
      <c r="L409" s="2" t="str">
        <f t="shared" si="33"/>
        <v xml:space="preserve"> </v>
      </c>
      <c r="M409" s="2" t="str">
        <f t="shared" si="34"/>
        <v xml:space="preserve"> </v>
      </c>
    </row>
    <row r="410" spans="1:13" x14ac:dyDescent="0.25">
      <c r="A410" s="40" t="str">
        <f t="shared" si="31"/>
        <v xml:space="preserve"> </v>
      </c>
      <c r="D410" s="39"/>
      <c r="E410" s="39"/>
      <c r="J410" s="15">
        <f t="shared" si="30"/>
        <v>0</v>
      </c>
      <c r="K410" s="2" t="str">
        <f t="shared" si="32"/>
        <v xml:space="preserve"> </v>
      </c>
      <c r="L410" s="2" t="str">
        <f t="shared" si="33"/>
        <v xml:space="preserve"> </v>
      </c>
      <c r="M410" s="2" t="str">
        <f t="shared" si="34"/>
        <v xml:space="preserve"> </v>
      </c>
    </row>
    <row r="411" spans="1:13" x14ac:dyDescent="0.25">
      <c r="A411" s="40" t="str">
        <f t="shared" si="31"/>
        <v xml:space="preserve"> </v>
      </c>
      <c r="D411" s="39"/>
      <c r="E411" s="39"/>
      <c r="J411" s="15">
        <f t="shared" si="30"/>
        <v>0</v>
      </c>
      <c r="K411" s="2" t="str">
        <f t="shared" si="32"/>
        <v xml:space="preserve"> </v>
      </c>
      <c r="L411" s="2" t="str">
        <f t="shared" si="33"/>
        <v xml:space="preserve"> </v>
      </c>
      <c r="M411" s="2" t="str">
        <f t="shared" si="34"/>
        <v xml:space="preserve"> </v>
      </c>
    </row>
    <row r="412" spans="1:13" x14ac:dyDescent="0.25">
      <c r="A412" s="40" t="str">
        <f t="shared" si="31"/>
        <v xml:space="preserve"> </v>
      </c>
      <c r="D412" s="39"/>
      <c r="E412" s="39"/>
      <c r="J412" s="15">
        <f t="shared" si="30"/>
        <v>0</v>
      </c>
      <c r="K412" s="2" t="str">
        <f t="shared" si="32"/>
        <v xml:space="preserve"> </v>
      </c>
      <c r="L412" s="2" t="str">
        <f t="shared" si="33"/>
        <v xml:space="preserve"> </v>
      </c>
      <c r="M412" s="2" t="str">
        <f t="shared" si="34"/>
        <v xml:space="preserve"> </v>
      </c>
    </row>
    <row r="413" spans="1:13" x14ac:dyDescent="0.25">
      <c r="A413" s="40" t="str">
        <f t="shared" si="31"/>
        <v xml:space="preserve"> </v>
      </c>
      <c r="D413" s="39"/>
      <c r="E413" s="39"/>
      <c r="J413" s="15">
        <f t="shared" si="30"/>
        <v>0</v>
      </c>
      <c r="K413" s="2" t="str">
        <f t="shared" si="32"/>
        <v xml:space="preserve"> </v>
      </c>
      <c r="L413" s="2" t="str">
        <f t="shared" si="33"/>
        <v xml:space="preserve"> </v>
      </c>
      <c r="M413" s="2" t="str">
        <f t="shared" si="34"/>
        <v xml:space="preserve"> </v>
      </c>
    </row>
    <row r="414" spans="1:13" x14ac:dyDescent="0.25">
      <c r="A414" s="40" t="str">
        <f t="shared" si="31"/>
        <v xml:space="preserve"> </v>
      </c>
      <c r="D414" s="39"/>
      <c r="E414" s="39"/>
      <c r="J414" s="15">
        <f t="shared" si="30"/>
        <v>0</v>
      </c>
      <c r="K414" s="2" t="str">
        <f t="shared" si="32"/>
        <v xml:space="preserve"> </v>
      </c>
      <c r="L414" s="2" t="str">
        <f t="shared" si="33"/>
        <v xml:space="preserve"> </v>
      </c>
      <c r="M414" s="2" t="str">
        <f t="shared" si="34"/>
        <v xml:space="preserve"> </v>
      </c>
    </row>
    <row r="415" spans="1:13" x14ac:dyDescent="0.25">
      <c r="A415" s="40" t="str">
        <f t="shared" si="31"/>
        <v xml:space="preserve"> </v>
      </c>
      <c r="D415" s="39"/>
      <c r="E415" s="39"/>
      <c r="J415" s="15">
        <f t="shared" si="30"/>
        <v>0</v>
      </c>
      <c r="K415" s="2" t="str">
        <f t="shared" si="32"/>
        <v xml:space="preserve"> </v>
      </c>
      <c r="L415" s="2" t="str">
        <f t="shared" si="33"/>
        <v xml:space="preserve"> </v>
      </c>
      <c r="M415" s="2" t="str">
        <f t="shared" si="34"/>
        <v xml:space="preserve"> </v>
      </c>
    </row>
    <row r="416" spans="1:13" x14ac:dyDescent="0.25">
      <c r="A416" s="40" t="str">
        <f t="shared" si="31"/>
        <v xml:space="preserve"> </v>
      </c>
      <c r="D416" s="39"/>
      <c r="E416" s="39"/>
      <c r="J416" s="15">
        <f t="shared" si="30"/>
        <v>0</v>
      </c>
      <c r="K416" s="2" t="str">
        <f t="shared" si="32"/>
        <v xml:space="preserve"> </v>
      </c>
      <c r="L416" s="2" t="str">
        <f t="shared" si="33"/>
        <v xml:space="preserve"> </v>
      </c>
      <c r="M416" s="2" t="str">
        <f t="shared" si="34"/>
        <v xml:space="preserve"> </v>
      </c>
    </row>
    <row r="417" spans="1:13" x14ac:dyDescent="0.25">
      <c r="A417" s="40" t="str">
        <f t="shared" si="31"/>
        <v xml:space="preserve"> </v>
      </c>
      <c r="D417" s="39"/>
      <c r="E417" s="39"/>
      <c r="J417" s="15">
        <f t="shared" si="30"/>
        <v>0</v>
      </c>
      <c r="K417" s="2" t="str">
        <f t="shared" si="32"/>
        <v xml:space="preserve"> </v>
      </c>
      <c r="L417" s="2" t="str">
        <f t="shared" si="33"/>
        <v xml:space="preserve"> </v>
      </c>
      <c r="M417" s="2" t="str">
        <f t="shared" si="34"/>
        <v xml:space="preserve"> </v>
      </c>
    </row>
    <row r="418" spans="1:13" x14ac:dyDescent="0.25">
      <c r="A418" s="40" t="str">
        <f t="shared" si="31"/>
        <v xml:space="preserve"> </v>
      </c>
      <c r="D418" s="39"/>
      <c r="E418" s="39"/>
      <c r="J418" s="15">
        <f t="shared" si="30"/>
        <v>0</v>
      </c>
      <c r="K418" s="2" t="str">
        <f t="shared" si="32"/>
        <v xml:space="preserve"> </v>
      </c>
      <c r="L418" s="2" t="str">
        <f t="shared" si="33"/>
        <v xml:space="preserve"> </v>
      </c>
      <c r="M418" s="2" t="str">
        <f t="shared" si="34"/>
        <v xml:space="preserve"> </v>
      </c>
    </row>
    <row r="419" spans="1:13" x14ac:dyDescent="0.25">
      <c r="A419" s="40" t="str">
        <f t="shared" si="31"/>
        <v xml:space="preserve"> </v>
      </c>
      <c r="D419" s="39"/>
      <c r="E419" s="39"/>
      <c r="J419" s="15">
        <f t="shared" si="30"/>
        <v>0</v>
      </c>
      <c r="K419" s="2" t="str">
        <f t="shared" si="32"/>
        <v xml:space="preserve"> </v>
      </c>
      <c r="L419" s="2" t="str">
        <f t="shared" si="33"/>
        <v xml:space="preserve"> </v>
      </c>
      <c r="M419" s="2" t="str">
        <f t="shared" si="34"/>
        <v xml:space="preserve"> </v>
      </c>
    </row>
    <row r="420" spans="1:13" x14ac:dyDescent="0.25">
      <c r="A420" s="40" t="str">
        <f t="shared" si="31"/>
        <v xml:space="preserve"> </v>
      </c>
      <c r="D420" s="39"/>
      <c r="E420" s="39"/>
      <c r="J420" s="15">
        <f t="shared" si="30"/>
        <v>0</v>
      </c>
      <c r="K420" s="2" t="str">
        <f t="shared" si="32"/>
        <v xml:space="preserve"> </v>
      </c>
      <c r="L420" s="2" t="str">
        <f t="shared" si="33"/>
        <v xml:space="preserve"> </v>
      </c>
      <c r="M420" s="2" t="str">
        <f t="shared" si="34"/>
        <v xml:space="preserve"> </v>
      </c>
    </row>
    <row r="421" spans="1:13" x14ac:dyDescent="0.25">
      <c r="A421" s="40" t="str">
        <f t="shared" si="31"/>
        <v xml:space="preserve"> </v>
      </c>
      <c r="D421" s="39"/>
      <c r="E421" s="39"/>
      <c r="J421" s="15">
        <f t="shared" si="30"/>
        <v>0</v>
      </c>
      <c r="K421" s="2" t="str">
        <f t="shared" si="32"/>
        <v xml:space="preserve"> </v>
      </c>
      <c r="L421" s="2" t="str">
        <f t="shared" si="33"/>
        <v xml:space="preserve"> </v>
      </c>
      <c r="M421" s="2" t="str">
        <f t="shared" si="34"/>
        <v xml:space="preserve"> </v>
      </c>
    </row>
    <row r="422" spans="1:13" x14ac:dyDescent="0.25">
      <c r="A422" s="40" t="str">
        <f t="shared" si="31"/>
        <v xml:space="preserve"> </v>
      </c>
      <c r="D422" s="39"/>
      <c r="E422" s="39"/>
      <c r="J422" s="15">
        <f t="shared" si="30"/>
        <v>0</v>
      </c>
      <c r="K422" s="2" t="str">
        <f t="shared" si="32"/>
        <v xml:space="preserve"> </v>
      </c>
      <c r="L422" s="2" t="str">
        <f t="shared" si="33"/>
        <v xml:space="preserve"> </v>
      </c>
      <c r="M422" s="2" t="str">
        <f t="shared" si="34"/>
        <v xml:space="preserve"> </v>
      </c>
    </row>
    <row r="423" spans="1:13" x14ac:dyDescent="0.25">
      <c r="A423" s="40" t="str">
        <f t="shared" si="31"/>
        <v xml:space="preserve"> </v>
      </c>
      <c r="D423" s="39"/>
      <c r="E423" s="39"/>
      <c r="J423" s="15">
        <f t="shared" si="30"/>
        <v>0</v>
      </c>
      <c r="K423" s="2" t="str">
        <f t="shared" si="32"/>
        <v xml:space="preserve"> </v>
      </c>
      <c r="L423" s="2" t="str">
        <f t="shared" si="33"/>
        <v xml:space="preserve"> </v>
      </c>
      <c r="M423" s="2" t="str">
        <f t="shared" si="34"/>
        <v xml:space="preserve"> </v>
      </c>
    </row>
    <row r="424" spans="1:13" x14ac:dyDescent="0.25">
      <c r="A424" s="40" t="str">
        <f t="shared" si="31"/>
        <v xml:space="preserve"> </v>
      </c>
      <c r="D424" s="39"/>
      <c r="E424" s="39"/>
      <c r="J424" s="15">
        <f t="shared" si="30"/>
        <v>0</v>
      </c>
      <c r="K424" s="2" t="str">
        <f t="shared" si="32"/>
        <v xml:space="preserve"> </v>
      </c>
      <c r="L424" s="2" t="str">
        <f t="shared" si="33"/>
        <v xml:space="preserve"> </v>
      </c>
      <c r="M424" s="2" t="str">
        <f t="shared" si="34"/>
        <v xml:space="preserve"> </v>
      </c>
    </row>
    <row r="425" spans="1:13" x14ac:dyDescent="0.25">
      <c r="A425" s="40" t="str">
        <f t="shared" si="31"/>
        <v xml:space="preserve"> </v>
      </c>
      <c r="D425" s="39"/>
      <c r="E425" s="39"/>
      <c r="J425" s="15">
        <f t="shared" si="30"/>
        <v>0</v>
      </c>
      <c r="K425" s="2" t="str">
        <f t="shared" si="32"/>
        <v xml:space="preserve"> </v>
      </c>
      <c r="L425" s="2" t="str">
        <f t="shared" si="33"/>
        <v xml:space="preserve"> </v>
      </c>
      <c r="M425" s="2" t="str">
        <f t="shared" si="34"/>
        <v xml:space="preserve"> </v>
      </c>
    </row>
    <row r="426" spans="1:13" x14ac:dyDescent="0.25">
      <c r="A426" s="40" t="str">
        <f t="shared" si="31"/>
        <v xml:space="preserve"> </v>
      </c>
      <c r="D426" s="39"/>
      <c r="E426" s="39"/>
      <c r="J426" s="15">
        <f t="shared" si="30"/>
        <v>0</v>
      </c>
      <c r="K426" s="2" t="str">
        <f t="shared" si="32"/>
        <v xml:space="preserve"> </v>
      </c>
      <c r="L426" s="2" t="str">
        <f t="shared" si="33"/>
        <v xml:space="preserve"> </v>
      </c>
      <c r="M426" s="2" t="str">
        <f t="shared" si="34"/>
        <v xml:space="preserve"> </v>
      </c>
    </row>
    <row r="427" spans="1:13" x14ac:dyDescent="0.25">
      <c r="A427" s="40" t="str">
        <f t="shared" si="31"/>
        <v xml:space="preserve"> </v>
      </c>
      <c r="D427" s="39"/>
      <c r="E427" s="39"/>
      <c r="J427" s="15">
        <f t="shared" si="30"/>
        <v>0</v>
      </c>
      <c r="K427" s="2" t="str">
        <f t="shared" si="32"/>
        <v xml:space="preserve"> </v>
      </c>
      <c r="L427" s="2" t="str">
        <f t="shared" si="33"/>
        <v xml:space="preserve"> </v>
      </c>
      <c r="M427" s="2" t="str">
        <f t="shared" si="34"/>
        <v xml:space="preserve"> </v>
      </c>
    </row>
    <row r="428" spans="1:13" x14ac:dyDescent="0.25">
      <c r="A428" s="40" t="str">
        <f t="shared" si="31"/>
        <v xml:space="preserve"> </v>
      </c>
      <c r="D428" s="39"/>
      <c r="E428" s="39"/>
      <c r="J428" s="15">
        <f t="shared" si="30"/>
        <v>0</v>
      </c>
      <c r="K428" s="2" t="str">
        <f t="shared" si="32"/>
        <v xml:space="preserve"> </v>
      </c>
      <c r="L428" s="2" t="str">
        <f t="shared" si="33"/>
        <v xml:space="preserve"> </v>
      </c>
      <c r="M428" s="2" t="str">
        <f t="shared" si="34"/>
        <v xml:space="preserve"> </v>
      </c>
    </row>
    <row r="429" spans="1:13" x14ac:dyDescent="0.25">
      <c r="A429" s="40" t="str">
        <f t="shared" si="31"/>
        <v xml:space="preserve"> </v>
      </c>
      <c r="D429" s="39"/>
      <c r="E429" s="39"/>
      <c r="J429" s="15">
        <f t="shared" si="30"/>
        <v>0</v>
      </c>
      <c r="K429" s="2" t="str">
        <f t="shared" si="32"/>
        <v xml:space="preserve"> </v>
      </c>
      <c r="L429" s="2" t="str">
        <f t="shared" si="33"/>
        <v xml:space="preserve"> </v>
      </c>
      <c r="M429" s="2" t="str">
        <f t="shared" si="34"/>
        <v xml:space="preserve"> </v>
      </c>
    </row>
    <row r="430" spans="1:13" x14ac:dyDescent="0.25">
      <c r="A430" s="40" t="str">
        <f t="shared" si="31"/>
        <v xml:space="preserve"> </v>
      </c>
      <c r="D430" s="39"/>
      <c r="E430" s="39"/>
      <c r="J430" s="15">
        <f t="shared" si="30"/>
        <v>0</v>
      </c>
      <c r="K430" s="2" t="str">
        <f t="shared" si="32"/>
        <v xml:space="preserve"> </v>
      </c>
      <c r="L430" s="2" t="str">
        <f t="shared" si="33"/>
        <v xml:space="preserve"> </v>
      </c>
      <c r="M430" s="2" t="str">
        <f t="shared" si="34"/>
        <v xml:space="preserve"> </v>
      </c>
    </row>
    <row r="431" spans="1:13" x14ac:dyDescent="0.25">
      <c r="A431" s="40" t="str">
        <f t="shared" si="31"/>
        <v xml:space="preserve"> </v>
      </c>
      <c r="D431" s="39"/>
      <c r="E431" s="39"/>
      <c r="J431" s="15">
        <f t="shared" si="30"/>
        <v>0</v>
      </c>
      <c r="K431" s="2" t="str">
        <f t="shared" si="32"/>
        <v xml:space="preserve"> </v>
      </c>
      <c r="L431" s="2" t="str">
        <f t="shared" si="33"/>
        <v xml:space="preserve"> </v>
      </c>
      <c r="M431" s="2" t="str">
        <f t="shared" si="34"/>
        <v xml:space="preserve"> </v>
      </c>
    </row>
    <row r="432" spans="1:13" x14ac:dyDescent="0.25">
      <c r="A432" s="40" t="str">
        <f t="shared" si="31"/>
        <v xml:space="preserve"> </v>
      </c>
      <c r="D432" s="39"/>
      <c r="E432" s="39"/>
      <c r="J432" s="15">
        <f t="shared" si="30"/>
        <v>0</v>
      </c>
      <c r="K432" s="2" t="str">
        <f t="shared" si="32"/>
        <v xml:space="preserve"> </v>
      </c>
      <c r="L432" s="2" t="str">
        <f t="shared" si="33"/>
        <v xml:space="preserve"> </v>
      </c>
      <c r="M432" s="2" t="str">
        <f t="shared" si="34"/>
        <v xml:space="preserve"> </v>
      </c>
    </row>
    <row r="433" spans="1:13" x14ac:dyDescent="0.25">
      <c r="A433" s="40" t="str">
        <f t="shared" si="31"/>
        <v xml:space="preserve"> </v>
      </c>
      <c r="D433" s="39"/>
      <c r="E433" s="39"/>
      <c r="J433" s="15">
        <f t="shared" si="30"/>
        <v>0</v>
      </c>
      <c r="K433" s="2" t="str">
        <f t="shared" si="32"/>
        <v xml:space="preserve"> </v>
      </c>
      <c r="L433" s="2" t="str">
        <f t="shared" si="33"/>
        <v xml:space="preserve"> </v>
      </c>
      <c r="M433" s="2" t="str">
        <f t="shared" si="34"/>
        <v xml:space="preserve"> </v>
      </c>
    </row>
    <row r="434" spans="1:13" x14ac:dyDescent="0.25">
      <c r="A434" s="40" t="str">
        <f t="shared" si="31"/>
        <v xml:space="preserve"> </v>
      </c>
      <c r="D434" s="39"/>
      <c r="E434" s="39"/>
      <c r="J434" s="15">
        <f t="shared" si="30"/>
        <v>0</v>
      </c>
      <c r="K434" s="2" t="str">
        <f t="shared" si="32"/>
        <v xml:space="preserve"> </v>
      </c>
      <c r="L434" s="2" t="str">
        <f t="shared" si="33"/>
        <v xml:space="preserve"> </v>
      </c>
      <c r="M434" s="2" t="str">
        <f t="shared" si="34"/>
        <v xml:space="preserve"> </v>
      </c>
    </row>
    <row r="435" spans="1:13" x14ac:dyDescent="0.25">
      <c r="A435" s="40" t="str">
        <f t="shared" si="31"/>
        <v xml:space="preserve"> </v>
      </c>
      <c r="D435" s="39"/>
      <c r="E435" s="39"/>
      <c r="J435" s="15">
        <f t="shared" si="30"/>
        <v>0</v>
      </c>
      <c r="K435" s="2" t="str">
        <f t="shared" si="32"/>
        <v xml:space="preserve"> </v>
      </c>
      <c r="L435" s="2" t="str">
        <f t="shared" si="33"/>
        <v xml:space="preserve"> </v>
      </c>
      <c r="M435" s="2" t="str">
        <f t="shared" si="34"/>
        <v xml:space="preserve"> </v>
      </c>
    </row>
    <row r="436" spans="1:13" x14ac:dyDescent="0.25">
      <c r="A436" s="40" t="str">
        <f t="shared" si="31"/>
        <v xml:space="preserve"> </v>
      </c>
      <c r="D436" s="39"/>
      <c r="E436" s="39"/>
      <c r="J436" s="15">
        <f t="shared" si="30"/>
        <v>0</v>
      </c>
      <c r="K436" s="2" t="str">
        <f t="shared" si="32"/>
        <v xml:space="preserve"> </v>
      </c>
      <c r="L436" s="2" t="str">
        <f t="shared" si="33"/>
        <v xml:space="preserve"> </v>
      </c>
      <c r="M436" s="2" t="str">
        <f t="shared" si="34"/>
        <v xml:space="preserve"> </v>
      </c>
    </row>
    <row r="437" spans="1:13" x14ac:dyDescent="0.25">
      <c r="A437" s="40" t="str">
        <f t="shared" si="31"/>
        <v xml:space="preserve"> </v>
      </c>
      <c r="D437" s="39"/>
      <c r="E437" s="39"/>
      <c r="J437" s="15">
        <f t="shared" si="30"/>
        <v>0</v>
      </c>
      <c r="K437" s="2" t="str">
        <f t="shared" si="32"/>
        <v xml:space="preserve"> </v>
      </c>
      <c r="L437" s="2" t="str">
        <f t="shared" si="33"/>
        <v xml:space="preserve"> </v>
      </c>
      <c r="M437" s="2" t="str">
        <f t="shared" si="34"/>
        <v xml:space="preserve"> </v>
      </c>
    </row>
    <row r="438" spans="1:13" x14ac:dyDescent="0.25">
      <c r="A438" s="40" t="str">
        <f t="shared" si="31"/>
        <v xml:space="preserve"> </v>
      </c>
      <c r="D438" s="39"/>
      <c r="E438" s="39"/>
      <c r="J438" s="15">
        <f t="shared" si="30"/>
        <v>0</v>
      </c>
      <c r="K438" s="2" t="str">
        <f t="shared" si="32"/>
        <v xml:space="preserve"> </v>
      </c>
      <c r="L438" s="2" t="str">
        <f t="shared" si="33"/>
        <v xml:space="preserve"> </v>
      </c>
      <c r="M438" s="2" t="str">
        <f t="shared" si="34"/>
        <v xml:space="preserve"> </v>
      </c>
    </row>
    <row r="439" spans="1:13" x14ac:dyDescent="0.25">
      <c r="A439" s="40" t="str">
        <f t="shared" si="31"/>
        <v xml:space="preserve"> </v>
      </c>
      <c r="D439" s="39"/>
      <c r="E439" s="39"/>
      <c r="J439" s="15">
        <f t="shared" si="30"/>
        <v>0</v>
      </c>
      <c r="K439" s="2" t="str">
        <f t="shared" si="32"/>
        <v xml:space="preserve"> </v>
      </c>
      <c r="L439" s="2" t="str">
        <f t="shared" si="33"/>
        <v xml:space="preserve"> </v>
      </c>
      <c r="M439" s="2" t="str">
        <f t="shared" si="34"/>
        <v xml:space="preserve"> </v>
      </c>
    </row>
    <row r="440" spans="1:13" x14ac:dyDescent="0.25">
      <c r="A440" s="40" t="str">
        <f t="shared" si="31"/>
        <v xml:space="preserve"> </v>
      </c>
      <c r="D440" s="39"/>
      <c r="E440" s="39"/>
      <c r="J440" s="15">
        <f t="shared" si="30"/>
        <v>0</v>
      </c>
      <c r="K440" s="2" t="str">
        <f t="shared" si="32"/>
        <v xml:space="preserve"> </v>
      </c>
      <c r="L440" s="2" t="str">
        <f t="shared" si="33"/>
        <v xml:space="preserve"> </v>
      </c>
      <c r="M440" s="2" t="str">
        <f t="shared" si="34"/>
        <v xml:space="preserve"> </v>
      </c>
    </row>
    <row r="441" spans="1:13" x14ac:dyDescent="0.25">
      <c r="A441" s="40" t="str">
        <f t="shared" si="31"/>
        <v xml:space="preserve"> </v>
      </c>
      <c r="D441" s="39"/>
      <c r="E441" s="39"/>
      <c r="J441" s="15">
        <f t="shared" si="30"/>
        <v>0</v>
      </c>
      <c r="K441" s="2" t="str">
        <f t="shared" si="32"/>
        <v xml:space="preserve"> </v>
      </c>
      <c r="L441" s="2" t="str">
        <f t="shared" si="33"/>
        <v xml:space="preserve"> </v>
      </c>
      <c r="M441" s="2" t="str">
        <f t="shared" si="34"/>
        <v xml:space="preserve"> </v>
      </c>
    </row>
    <row r="442" spans="1:13" x14ac:dyDescent="0.25">
      <c r="A442" s="40" t="str">
        <f t="shared" si="31"/>
        <v xml:space="preserve"> </v>
      </c>
      <c r="D442" s="39"/>
      <c r="E442" s="39"/>
      <c r="J442" s="15">
        <f t="shared" si="30"/>
        <v>0</v>
      </c>
      <c r="K442" s="2" t="str">
        <f t="shared" si="32"/>
        <v xml:space="preserve"> </v>
      </c>
      <c r="L442" s="2" t="str">
        <f t="shared" si="33"/>
        <v xml:space="preserve"> </v>
      </c>
      <c r="M442" s="2" t="str">
        <f t="shared" si="34"/>
        <v xml:space="preserve"> </v>
      </c>
    </row>
    <row r="443" spans="1:13" x14ac:dyDescent="0.25">
      <c r="A443" s="40" t="str">
        <f t="shared" si="31"/>
        <v xml:space="preserve"> </v>
      </c>
      <c r="D443" s="39"/>
      <c r="E443" s="39"/>
      <c r="J443" s="15">
        <f t="shared" si="30"/>
        <v>0</v>
      </c>
      <c r="K443" s="2" t="str">
        <f t="shared" si="32"/>
        <v xml:space="preserve"> </v>
      </c>
      <c r="L443" s="2" t="str">
        <f t="shared" si="33"/>
        <v xml:space="preserve"> </v>
      </c>
      <c r="M443" s="2" t="str">
        <f t="shared" si="34"/>
        <v xml:space="preserve"> </v>
      </c>
    </row>
    <row r="444" spans="1:13" x14ac:dyDescent="0.25">
      <c r="A444" s="40" t="str">
        <f t="shared" si="31"/>
        <v xml:space="preserve"> </v>
      </c>
      <c r="D444" s="39"/>
      <c r="E444" s="39"/>
      <c r="J444" s="15">
        <f t="shared" si="30"/>
        <v>0</v>
      </c>
      <c r="K444" s="2" t="str">
        <f t="shared" si="32"/>
        <v xml:space="preserve"> </v>
      </c>
      <c r="L444" s="2" t="str">
        <f t="shared" si="33"/>
        <v xml:space="preserve"> </v>
      </c>
      <c r="M444" s="2" t="str">
        <f t="shared" si="34"/>
        <v xml:space="preserve"> </v>
      </c>
    </row>
    <row r="445" spans="1:13" x14ac:dyDescent="0.25">
      <c r="A445" s="40" t="str">
        <f t="shared" si="31"/>
        <v xml:space="preserve"> </v>
      </c>
      <c r="D445" s="39"/>
      <c r="E445" s="39"/>
      <c r="J445" s="15">
        <f t="shared" si="30"/>
        <v>0</v>
      </c>
      <c r="K445" s="2" t="str">
        <f t="shared" si="32"/>
        <v xml:space="preserve"> </v>
      </c>
      <c r="L445" s="2" t="str">
        <f t="shared" si="33"/>
        <v xml:space="preserve"> </v>
      </c>
      <c r="M445" s="2" t="str">
        <f t="shared" si="34"/>
        <v xml:space="preserve"> </v>
      </c>
    </row>
    <row r="446" spans="1:13" x14ac:dyDescent="0.25">
      <c r="A446" s="40" t="str">
        <f t="shared" si="31"/>
        <v xml:space="preserve"> </v>
      </c>
      <c r="D446" s="39"/>
      <c r="E446" s="39"/>
      <c r="J446" s="15">
        <f t="shared" si="30"/>
        <v>0</v>
      </c>
      <c r="K446" s="2" t="str">
        <f t="shared" si="32"/>
        <v xml:space="preserve"> </v>
      </c>
      <c r="L446" s="2" t="str">
        <f t="shared" si="33"/>
        <v xml:space="preserve"> </v>
      </c>
      <c r="M446" s="2" t="str">
        <f t="shared" si="34"/>
        <v xml:space="preserve"> </v>
      </c>
    </row>
    <row r="447" spans="1:13" x14ac:dyDescent="0.25">
      <c r="A447" s="40" t="str">
        <f t="shared" si="31"/>
        <v xml:space="preserve"> </v>
      </c>
      <c r="D447" s="39"/>
      <c r="E447" s="39"/>
      <c r="J447" s="15">
        <f t="shared" si="30"/>
        <v>0</v>
      </c>
      <c r="K447" s="2" t="str">
        <f t="shared" si="32"/>
        <v xml:space="preserve"> </v>
      </c>
      <c r="L447" s="2" t="str">
        <f t="shared" si="33"/>
        <v xml:space="preserve"> </v>
      </c>
      <c r="M447" s="2" t="str">
        <f t="shared" si="34"/>
        <v xml:space="preserve"> </v>
      </c>
    </row>
    <row r="448" spans="1:13" x14ac:dyDescent="0.25">
      <c r="A448" s="40" t="str">
        <f t="shared" si="31"/>
        <v xml:space="preserve"> </v>
      </c>
      <c r="D448" s="39"/>
      <c r="E448" s="39"/>
      <c r="J448" s="15">
        <f t="shared" si="30"/>
        <v>0</v>
      </c>
      <c r="K448" s="2" t="str">
        <f t="shared" si="32"/>
        <v xml:space="preserve"> </v>
      </c>
      <c r="L448" s="2" t="str">
        <f t="shared" si="33"/>
        <v xml:space="preserve"> </v>
      </c>
      <c r="M448" s="2" t="str">
        <f t="shared" si="34"/>
        <v xml:space="preserve"> </v>
      </c>
    </row>
    <row r="449" spans="1:13" x14ac:dyDescent="0.25">
      <c r="A449" s="40" t="str">
        <f t="shared" si="31"/>
        <v xml:space="preserve"> </v>
      </c>
      <c r="D449" s="39"/>
      <c r="E449" s="39"/>
      <c r="J449" s="15">
        <f t="shared" si="30"/>
        <v>0</v>
      </c>
      <c r="K449" s="2" t="str">
        <f t="shared" si="32"/>
        <v xml:space="preserve"> </v>
      </c>
      <c r="L449" s="2" t="str">
        <f t="shared" si="33"/>
        <v xml:space="preserve"> </v>
      </c>
      <c r="M449" s="2" t="str">
        <f t="shared" si="34"/>
        <v xml:space="preserve"> </v>
      </c>
    </row>
    <row r="450" spans="1:13" x14ac:dyDescent="0.25">
      <c r="A450" s="40" t="str">
        <f t="shared" si="31"/>
        <v xml:space="preserve"> </v>
      </c>
      <c r="D450" s="39"/>
      <c r="E450" s="39"/>
      <c r="J450" s="15">
        <f t="shared" si="30"/>
        <v>0</v>
      </c>
      <c r="K450" s="2" t="str">
        <f t="shared" si="32"/>
        <v xml:space="preserve"> </v>
      </c>
      <c r="L450" s="2" t="str">
        <f t="shared" si="33"/>
        <v xml:space="preserve"> </v>
      </c>
      <c r="M450" s="2" t="str">
        <f t="shared" si="34"/>
        <v xml:space="preserve"> </v>
      </c>
    </row>
    <row r="451" spans="1:13" x14ac:dyDescent="0.25">
      <c r="A451" s="40" t="str">
        <f t="shared" si="31"/>
        <v xml:space="preserve"> </v>
      </c>
      <c r="D451" s="39"/>
      <c r="E451" s="39"/>
      <c r="J451" s="15">
        <f t="shared" ref="J451:J482" si="35">F451-G451+H451-I451</f>
        <v>0</v>
      </c>
      <c r="K451" s="2" t="str">
        <f t="shared" si="32"/>
        <v xml:space="preserve"> </v>
      </c>
      <c r="L451" s="2" t="str">
        <f t="shared" si="33"/>
        <v xml:space="preserve"> </v>
      </c>
      <c r="M451" s="2" t="str">
        <f t="shared" si="34"/>
        <v xml:space="preserve"> </v>
      </c>
    </row>
    <row r="452" spans="1:13" x14ac:dyDescent="0.25">
      <c r="A452" s="40" t="str">
        <f t="shared" si="31"/>
        <v xml:space="preserve"> </v>
      </c>
      <c r="D452" s="39"/>
      <c r="E452" s="39"/>
      <c r="J452" s="15">
        <f t="shared" si="35"/>
        <v>0</v>
      </c>
      <c r="K452" s="2" t="str">
        <f t="shared" si="32"/>
        <v xml:space="preserve"> </v>
      </c>
      <c r="L452" s="2" t="str">
        <f t="shared" si="33"/>
        <v xml:space="preserve"> </v>
      </c>
      <c r="M452" s="2" t="str">
        <f t="shared" si="34"/>
        <v xml:space="preserve"> </v>
      </c>
    </row>
    <row r="453" spans="1:13" x14ac:dyDescent="0.25">
      <c r="A453" s="40" t="str">
        <f t="shared" si="31"/>
        <v xml:space="preserve"> </v>
      </c>
      <c r="D453" s="39"/>
      <c r="E453" s="39"/>
      <c r="J453" s="15">
        <f t="shared" si="35"/>
        <v>0</v>
      </c>
      <c r="K453" s="2" t="str">
        <f t="shared" si="32"/>
        <v xml:space="preserve"> </v>
      </c>
      <c r="L453" s="2" t="str">
        <f t="shared" si="33"/>
        <v xml:space="preserve"> </v>
      </c>
      <c r="M453" s="2" t="str">
        <f t="shared" si="34"/>
        <v xml:space="preserve"> </v>
      </c>
    </row>
    <row r="454" spans="1:13" x14ac:dyDescent="0.25">
      <c r="A454" s="40" t="str">
        <f t="shared" si="31"/>
        <v xml:space="preserve"> </v>
      </c>
      <c r="D454" s="39"/>
      <c r="E454" s="39"/>
      <c r="J454" s="15">
        <f t="shared" si="35"/>
        <v>0</v>
      </c>
      <c r="K454" s="2" t="str">
        <f t="shared" si="32"/>
        <v xml:space="preserve"> </v>
      </c>
      <c r="L454" s="2" t="str">
        <f t="shared" si="33"/>
        <v xml:space="preserve"> </v>
      </c>
      <c r="M454" s="2" t="str">
        <f t="shared" si="34"/>
        <v xml:space="preserve"> </v>
      </c>
    </row>
    <row r="455" spans="1:13" x14ac:dyDescent="0.25">
      <c r="A455" s="40" t="str">
        <f t="shared" si="31"/>
        <v xml:space="preserve"> </v>
      </c>
      <c r="D455" s="39"/>
      <c r="E455" s="39"/>
      <c r="J455" s="15">
        <f t="shared" si="35"/>
        <v>0</v>
      </c>
      <c r="K455" s="2" t="str">
        <f t="shared" si="32"/>
        <v xml:space="preserve"> </v>
      </c>
      <c r="L455" s="2" t="str">
        <f t="shared" si="33"/>
        <v xml:space="preserve"> </v>
      </c>
      <c r="M455" s="2" t="str">
        <f t="shared" si="34"/>
        <v xml:space="preserve"> </v>
      </c>
    </row>
    <row r="456" spans="1:13" x14ac:dyDescent="0.25">
      <c r="A456" s="40" t="str">
        <f t="shared" si="31"/>
        <v xml:space="preserve"> </v>
      </c>
      <c r="D456" s="39"/>
      <c r="E456" s="39"/>
      <c r="J456" s="15">
        <f t="shared" si="35"/>
        <v>0</v>
      </c>
      <c r="K456" s="2" t="str">
        <f t="shared" si="32"/>
        <v xml:space="preserve"> </v>
      </c>
      <c r="L456" s="2" t="str">
        <f t="shared" si="33"/>
        <v xml:space="preserve"> </v>
      </c>
      <c r="M456" s="2" t="str">
        <f t="shared" si="34"/>
        <v xml:space="preserve"> </v>
      </c>
    </row>
    <row r="457" spans="1:13" x14ac:dyDescent="0.25">
      <c r="A457" s="40" t="str">
        <f t="shared" si="31"/>
        <v xml:space="preserve"> </v>
      </c>
      <c r="D457" s="39"/>
      <c r="E457" s="39"/>
      <c r="J457" s="15">
        <f t="shared" si="35"/>
        <v>0</v>
      </c>
      <c r="K457" s="2" t="str">
        <f t="shared" si="32"/>
        <v xml:space="preserve"> </v>
      </c>
      <c r="L457" s="2" t="str">
        <f t="shared" si="33"/>
        <v xml:space="preserve"> </v>
      </c>
      <c r="M457" s="2" t="str">
        <f t="shared" si="34"/>
        <v xml:space="preserve"> </v>
      </c>
    </row>
    <row r="458" spans="1:13" x14ac:dyDescent="0.25">
      <c r="A458" s="40" t="str">
        <f t="shared" si="31"/>
        <v xml:space="preserve"> </v>
      </c>
      <c r="D458" s="39"/>
      <c r="E458" s="39"/>
      <c r="J458" s="15">
        <f t="shared" si="35"/>
        <v>0</v>
      </c>
      <c r="K458" s="2" t="str">
        <f t="shared" si="32"/>
        <v xml:space="preserve"> </v>
      </c>
      <c r="L458" s="2" t="str">
        <f t="shared" si="33"/>
        <v xml:space="preserve"> </v>
      </c>
      <c r="M458" s="2" t="str">
        <f t="shared" si="34"/>
        <v xml:space="preserve"> </v>
      </c>
    </row>
    <row r="459" spans="1:13" x14ac:dyDescent="0.25">
      <c r="A459" s="40" t="str">
        <f t="shared" si="31"/>
        <v xml:space="preserve"> </v>
      </c>
      <c r="D459" s="39"/>
      <c r="E459" s="39"/>
      <c r="J459" s="15">
        <f t="shared" si="35"/>
        <v>0</v>
      </c>
      <c r="K459" s="2" t="str">
        <f t="shared" si="32"/>
        <v xml:space="preserve"> </v>
      </c>
      <c r="L459" s="2" t="str">
        <f t="shared" si="33"/>
        <v xml:space="preserve"> </v>
      </c>
      <c r="M459" s="2" t="str">
        <f t="shared" si="34"/>
        <v xml:space="preserve"> </v>
      </c>
    </row>
    <row r="460" spans="1:13" x14ac:dyDescent="0.25">
      <c r="A460" s="40" t="str">
        <f t="shared" si="31"/>
        <v xml:space="preserve"> </v>
      </c>
      <c r="D460" s="39"/>
      <c r="E460" s="39"/>
      <c r="J460" s="15">
        <f t="shared" si="35"/>
        <v>0</v>
      </c>
      <c r="K460" s="2" t="str">
        <f t="shared" si="32"/>
        <v xml:space="preserve"> </v>
      </c>
      <c r="L460" s="2" t="str">
        <f t="shared" si="33"/>
        <v xml:space="preserve"> </v>
      </c>
      <c r="M460" s="2" t="str">
        <f t="shared" si="34"/>
        <v xml:space="preserve"> </v>
      </c>
    </row>
    <row r="461" spans="1:13" x14ac:dyDescent="0.25">
      <c r="A461" s="40" t="str">
        <f t="shared" si="31"/>
        <v xml:space="preserve"> </v>
      </c>
      <c r="D461" s="39"/>
      <c r="E461" s="39"/>
      <c r="J461" s="15">
        <f t="shared" si="35"/>
        <v>0</v>
      </c>
      <c r="K461" s="2" t="str">
        <f t="shared" si="32"/>
        <v xml:space="preserve"> </v>
      </c>
      <c r="L461" s="2" t="str">
        <f t="shared" si="33"/>
        <v xml:space="preserve"> </v>
      </c>
      <c r="M461" s="2" t="str">
        <f t="shared" si="34"/>
        <v xml:space="preserve"> </v>
      </c>
    </row>
    <row r="462" spans="1:13" x14ac:dyDescent="0.25">
      <c r="A462" s="40" t="str">
        <f t="shared" si="31"/>
        <v xml:space="preserve"> </v>
      </c>
      <c r="D462" s="39"/>
      <c r="E462" s="39"/>
      <c r="J462" s="15">
        <f t="shared" si="35"/>
        <v>0</v>
      </c>
      <c r="K462" s="2" t="str">
        <f t="shared" si="32"/>
        <v xml:space="preserve"> </v>
      </c>
      <c r="L462" s="2" t="str">
        <f t="shared" si="33"/>
        <v xml:space="preserve"> </v>
      </c>
      <c r="M462" s="2" t="str">
        <f t="shared" si="34"/>
        <v xml:space="preserve"> </v>
      </c>
    </row>
    <row r="463" spans="1:13" x14ac:dyDescent="0.25">
      <c r="A463" s="40" t="str">
        <f t="shared" ref="A463:A482" si="36">IF(COUNTIF(K463:M463,"ERROR")&gt;0,"ERROR"," ")</f>
        <v xml:space="preserve"> </v>
      </c>
      <c r="D463" s="39"/>
      <c r="E463" s="39"/>
      <c r="J463" s="15">
        <f t="shared" si="35"/>
        <v>0</v>
      </c>
      <c r="K463" s="2" t="str">
        <f t="shared" si="32"/>
        <v xml:space="preserve"> </v>
      </c>
      <c r="L463" s="2" t="str">
        <f t="shared" si="33"/>
        <v xml:space="preserve"> </v>
      </c>
      <c r="M463" s="2" t="str">
        <f t="shared" si="34"/>
        <v xml:space="preserve"> </v>
      </c>
    </row>
    <row r="464" spans="1:13" x14ac:dyDescent="0.25">
      <c r="A464" s="40" t="str">
        <f t="shared" si="36"/>
        <v xml:space="preserve"> </v>
      </c>
      <c r="D464" s="39"/>
      <c r="E464" s="39"/>
      <c r="J464" s="15">
        <f t="shared" si="35"/>
        <v>0</v>
      </c>
      <c r="K464" s="2" t="str">
        <f t="shared" ref="K464:K482" si="37">IF(COUNTA(D464:E464)=2,"ERROR"," ")</f>
        <v xml:space="preserve"> </v>
      </c>
      <c r="L464" s="2" t="str">
        <f t="shared" ref="L464:L482" si="38">IF(D464=0," ",IF(COUNTIF(ProfitLoss,D464)&gt;0," ","ERROR"))</f>
        <v xml:space="preserve"> </v>
      </c>
      <c r="M464" s="2" t="str">
        <f t="shared" ref="M464:M482" si="39">IF(E464=0," ",IF(COUNTIF(BalanceSheet,E464)&gt;0," ","ERROR"))</f>
        <v xml:space="preserve"> </v>
      </c>
    </row>
    <row r="465" spans="1:13" x14ac:dyDescent="0.25">
      <c r="A465" s="40" t="str">
        <f t="shared" si="36"/>
        <v xml:space="preserve"> </v>
      </c>
      <c r="D465" s="39"/>
      <c r="E465" s="39"/>
      <c r="J465" s="15">
        <f t="shared" si="35"/>
        <v>0</v>
      </c>
      <c r="K465" s="2" t="str">
        <f t="shared" si="37"/>
        <v xml:space="preserve"> </v>
      </c>
      <c r="L465" s="2" t="str">
        <f t="shared" si="38"/>
        <v xml:space="preserve"> </v>
      </c>
      <c r="M465" s="2" t="str">
        <f t="shared" si="39"/>
        <v xml:space="preserve"> </v>
      </c>
    </row>
    <row r="466" spans="1:13" x14ac:dyDescent="0.25">
      <c r="A466" s="40" t="str">
        <f t="shared" si="36"/>
        <v xml:space="preserve"> </v>
      </c>
      <c r="D466" s="39"/>
      <c r="E466" s="39"/>
      <c r="J466" s="15">
        <f t="shared" si="35"/>
        <v>0</v>
      </c>
      <c r="K466" s="2" t="str">
        <f t="shared" si="37"/>
        <v xml:space="preserve"> </v>
      </c>
      <c r="L466" s="2" t="str">
        <f t="shared" si="38"/>
        <v xml:space="preserve"> </v>
      </c>
      <c r="M466" s="2" t="str">
        <f t="shared" si="39"/>
        <v xml:space="preserve"> </v>
      </c>
    </row>
    <row r="467" spans="1:13" x14ac:dyDescent="0.25">
      <c r="A467" s="40" t="str">
        <f t="shared" si="36"/>
        <v xml:space="preserve"> </v>
      </c>
      <c r="D467" s="39"/>
      <c r="E467" s="39"/>
      <c r="J467" s="15">
        <f t="shared" si="35"/>
        <v>0</v>
      </c>
      <c r="K467" s="2" t="str">
        <f t="shared" si="37"/>
        <v xml:space="preserve"> </v>
      </c>
      <c r="L467" s="2" t="str">
        <f t="shared" si="38"/>
        <v xml:space="preserve"> </v>
      </c>
      <c r="M467" s="2" t="str">
        <f t="shared" si="39"/>
        <v xml:space="preserve"> </v>
      </c>
    </row>
    <row r="468" spans="1:13" x14ac:dyDescent="0.25">
      <c r="A468" s="40" t="str">
        <f t="shared" si="36"/>
        <v xml:space="preserve"> </v>
      </c>
      <c r="D468" s="39"/>
      <c r="E468" s="39"/>
      <c r="J468" s="15">
        <f t="shared" si="35"/>
        <v>0</v>
      </c>
      <c r="K468" s="2" t="str">
        <f t="shared" si="37"/>
        <v xml:space="preserve"> </v>
      </c>
      <c r="L468" s="2" t="str">
        <f t="shared" si="38"/>
        <v xml:space="preserve"> </v>
      </c>
      <c r="M468" s="2" t="str">
        <f t="shared" si="39"/>
        <v xml:space="preserve"> </v>
      </c>
    </row>
    <row r="469" spans="1:13" x14ac:dyDescent="0.25">
      <c r="A469" s="40" t="str">
        <f t="shared" si="36"/>
        <v xml:space="preserve"> </v>
      </c>
      <c r="D469" s="39"/>
      <c r="E469" s="39"/>
      <c r="J469" s="15">
        <f t="shared" si="35"/>
        <v>0</v>
      </c>
      <c r="K469" s="2" t="str">
        <f t="shared" si="37"/>
        <v xml:space="preserve"> </v>
      </c>
      <c r="L469" s="2" t="str">
        <f t="shared" si="38"/>
        <v xml:space="preserve"> </v>
      </c>
      <c r="M469" s="2" t="str">
        <f t="shared" si="39"/>
        <v xml:space="preserve"> </v>
      </c>
    </row>
    <row r="470" spans="1:13" x14ac:dyDescent="0.25">
      <c r="A470" s="40" t="str">
        <f t="shared" si="36"/>
        <v xml:space="preserve"> </v>
      </c>
      <c r="D470" s="39"/>
      <c r="E470" s="39"/>
      <c r="J470" s="15">
        <f t="shared" si="35"/>
        <v>0</v>
      </c>
      <c r="K470" s="2" t="str">
        <f t="shared" si="37"/>
        <v xml:space="preserve"> </v>
      </c>
      <c r="L470" s="2" t="str">
        <f t="shared" si="38"/>
        <v xml:space="preserve"> </v>
      </c>
      <c r="M470" s="2" t="str">
        <f t="shared" si="39"/>
        <v xml:space="preserve"> </v>
      </c>
    </row>
    <row r="471" spans="1:13" x14ac:dyDescent="0.25">
      <c r="A471" s="40" t="str">
        <f t="shared" si="36"/>
        <v xml:space="preserve"> </v>
      </c>
      <c r="D471" s="39"/>
      <c r="E471" s="39"/>
      <c r="J471" s="15">
        <f t="shared" si="35"/>
        <v>0</v>
      </c>
      <c r="K471" s="2" t="str">
        <f t="shared" si="37"/>
        <v xml:space="preserve"> </v>
      </c>
      <c r="L471" s="2" t="str">
        <f t="shared" si="38"/>
        <v xml:space="preserve"> </v>
      </c>
      <c r="M471" s="2" t="str">
        <f t="shared" si="39"/>
        <v xml:space="preserve"> </v>
      </c>
    </row>
    <row r="472" spans="1:13" x14ac:dyDescent="0.25">
      <c r="A472" s="40" t="str">
        <f t="shared" si="36"/>
        <v xml:space="preserve"> </v>
      </c>
      <c r="D472" s="39"/>
      <c r="E472" s="39"/>
      <c r="J472" s="15">
        <f t="shared" si="35"/>
        <v>0</v>
      </c>
      <c r="K472" s="2" t="str">
        <f t="shared" si="37"/>
        <v xml:space="preserve"> </v>
      </c>
      <c r="L472" s="2" t="str">
        <f t="shared" si="38"/>
        <v xml:space="preserve"> </v>
      </c>
      <c r="M472" s="2" t="str">
        <f t="shared" si="39"/>
        <v xml:space="preserve"> </v>
      </c>
    </row>
    <row r="473" spans="1:13" x14ac:dyDescent="0.25">
      <c r="A473" s="40" t="str">
        <f t="shared" si="36"/>
        <v xml:space="preserve"> </v>
      </c>
      <c r="D473" s="39"/>
      <c r="E473" s="39"/>
      <c r="J473" s="15">
        <f t="shared" si="35"/>
        <v>0</v>
      </c>
      <c r="K473" s="2" t="str">
        <f t="shared" si="37"/>
        <v xml:space="preserve"> </v>
      </c>
      <c r="L473" s="2" t="str">
        <f t="shared" si="38"/>
        <v xml:space="preserve"> </v>
      </c>
      <c r="M473" s="2" t="str">
        <f t="shared" si="39"/>
        <v xml:space="preserve"> </v>
      </c>
    </row>
    <row r="474" spans="1:13" x14ac:dyDescent="0.25">
      <c r="A474" s="40" t="str">
        <f t="shared" si="36"/>
        <v xml:space="preserve"> </v>
      </c>
      <c r="D474" s="39"/>
      <c r="E474" s="39"/>
      <c r="J474" s="15">
        <f t="shared" si="35"/>
        <v>0</v>
      </c>
      <c r="K474" s="2" t="str">
        <f t="shared" si="37"/>
        <v xml:space="preserve"> </v>
      </c>
      <c r="L474" s="2" t="str">
        <f t="shared" si="38"/>
        <v xml:space="preserve"> </v>
      </c>
      <c r="M474" s="2" t="str">
        <f t="shared" si="39"/>
        <v xml:space="preserve"> </v>
      </c>
    </row>
    <row r="475" spans="1:13" x14ac:dyDescent="0.25">
      <c r="A475" s="40" t="str">
        <f t="shared" si="36"/>
        <v xml:space="preserve"> </v>
      </c>
      <c r="D475" s="39"/>
      <c r="E475" s="39"/>
      <c r="J475" s="15">
        <f t="shared" si="35"/>
        <v>0</v>
      </c>
      <c r="K475" s="2" t="str">
        <f t="shared" si="37"/>
        <v xml:space="preserve"> </v>
      </c>
      <c r="L475" s="2" t="str">
        <f t="shared" si="38"/>
        <v xml:space="preserve"> </v>
      </c>
      <c r="M475" s="2" t="str">
        <f t="shared" si="39"/>
        <v xml:space="preserve"> </v>
      </c>
    </row>
    <row r="476" spans="1:13" x14ac:dyDescent="0.25">
      <c r="A476" s="40" t="str">
        <f t="shared" si="36"/>
        <v xml:space="preserve"> </v>
      </c>
      <c r="D476" s="39"/>
      <c r="E476" s="39"/>
      <c r="J476" s="15">
        <f t="shared" si="35"/>
        <v>0</v>
      </c>
      <c r="K476" s="2" t="str">
        <f t="shared" si="37"/>
        <v xml:space="preserve"> </v>
      </c>
      <c r="L476" s="2" t="str">
        <f t="shared" si="38"/>
        <v xml:space="preserve"> </v>
      </c>
      <c r="M476" s="2" t="str">
        <f t="shared" si="39"/>
        <v xml:space="preserve"> </v>
      </c>
    </row>
    <row r="477" spans="1:13" x14ac:dyDescent="0.25">
      <c r="A477" s="40" t="str">
        <f t="shared" si="36"/>
        <v xml:space="preserve"> </v>
      </c>
      <c r="D477" s="39"/>
      <c r="E477" s="39"/>
      <c r="J477" s="15">
        <f t="shared" si="35"/>
        <v>0</v>
      </c>
      <c r="K477" s="2" t="str">
        <f t="shared" si="37"/>
        <v xml:space="preserve"> </v>
      </c>
      <c r="L477" s="2" t="str">
        <f t="shared" si="38"/>
        <v xml:space="preserve"> </v>
      </c>
      <c r="M477" s="2" t="str">
        <f t="shared" si="39"/>
        <v xml:space="preserve"> </v>
      </c>
    </row>
    <row r="478" spans="1:13" x14ac:dyDescent="0.25">
      <c r="A478" s="40" t="str">
        <f t="shared" si="36"/>
        <v xml:space="preserve"> </v>
      </c>
      <c r="D478" s="39"/>
      <c r="E478" s="39"/>
      <c r="J478" s="15">
        <f t="shared" si="35"/>
        <v>0</v>
      </c>
      <c r="K478" s="2" t="str">
        <f t="shared" si="37"/>
        <v xml:space="preserve"> </v>
      </c>
      <c r="L478" s="2" t="str">
        <f t="shared" si="38"/>
        <v xml:space="preserve"> </v>
      </c>
      <c r="M478" s="2" t="str">
        <f t="shared" si="39"/>
        <v xml:space="preserve"> </v>
      </c>
    </row>
    <row r="479" spans="1:13" x14ac:dyDescent="0.25">
      <c r="A479" s="40" t="str">
        <f t="shared" si="36"/>
        <v xml:space="preserve"> </v>
      </c>
      <c r="D479" s="39"/>
      <c r="E479" s="39"/>
      <c r="J479" s="15">
        <f t="shared" si="35"/>
        <v>0</v>
      </c>
      <c r="K479" s="2" t="str">
        <f t="shared" si="37"/>
        <v xml:space="preserve"> </v>
      </c>
      <c r="L479" s="2" t="str">
        <f t="shared" si="38"/>
        <v xml:space="preserve"> </v>
      </c>
      <c r="M479" s="2" t="str">
        <f t="shared" si="39"/>
        <v xml:space="preserve"> </v>
      </c>
    </row>
    <row r="480" spans="1:13" x14ac:dyDescent="0.25">
      <c r="A480" s="40" t="str">
        <f t="shared" si="36"/>
        <v xml:space="preserve"> </v>
      </c>
      <c r="D480" s="39"/>
      <c r="E480" s="39"/>
      <c r="J480" s="15">
        <f t="shared" si="35"/>
        <v>0</v>
      </c>
      <c r="K480" s="2" t="str">
        <f t="shared" si="37"/>
        <v xml:space="preserve"> </v>
      </c>
      <c r="L480" s="2" t="str">
        <f t="shared" si="38"/>
        <v xml:space="preserve"> </v>
      </c>
      <c r="M480" s="2" t="str">
        <f t="shared" si="39"/>
        <v xml:space="preserve"> </v>
      </c>
    </row>
    <row r="481" spans="1:13" x14ac:dyDescent="0.25">
      <c r="A481" s="40" t="str">
        <f t="shared" si="36"/>
        <v xml:space="preserve"> </v>
      </c>
      <c r="D481" s="39"/>
      <c r="E481" s="39"/>
      <c r="J481" s="15">
        <f t="shared" si="35"/>
        <v>0</v>
      </c>
      <c r="K481" s="2" t="str">
        <f t="shared" si="37"/>
        <v xml:space="preserve"> </v>
      </c>
      <c r="L481" s="2" t="str">
        <f t="shared" si="38"/>
        <v xml:space="preserve"> </v>
      </c>
      <c r="M481" s="2" t="str">
        <f t="shared" si="39"/>
        <v xml:space="preserve"> </v>
      </c>
    </row>
    <row r="482" spans="1:13" x14ac:dyDescent="0.25">
      <c r="A482" s="40" t="str">
        <f t="shared" si="36"/>
        <v xml:space="preserve"> </v>
      </c>
      <c r="D482" s="39"/>
      <c r="E482" s="39"/>
      <c r="J482" s="15">
        <f t="shared" si="35"/>
        <v>0</v>
      </c>
      <c r="K482" s="2" t="str">
        <f t="shared" si="37"/>
        <v xml:space="preserve"> </v>
      </c>
      <c r="L482" s="2" t="str">
        <f t="shared" si="38"/>
        <v xml:space="preserve"> </v>
      </c>
      <c r="M482" s="2" t="str">
        <f t="shared" si="39"/>
        <v xml:space="preserve"> </v>
      </c>
    </row>
    <row r="483" spans="1:13" x14ac:dyDescent="0.25">
      <c r="A483" s="40"/>
    </row>
    <row r="484" spans="1:13" ht="16.5" thickBot="1" x14ac:dyDescent="0.3">
      <c r="A484" s="40"/>
      <c r="F484" s="17">
        <f>SUM(F14:F483)</f>
        <v>0</v>
      </c>
      <c r="G484" s="17">
        <f>SUM(G14:G483)</f>
        <v>0</v>
      </c>
      <c r="H484" s="17">
        <f>SUM(H14:H483)</f>
        <v>0</v>
      </c>
      <c r="I484" s="17">
        <f>SUM(I14:I483)</f>
        <v>0</v>
      </c>
    </row>
    <row r="485" spans="1:13" ht="16.5" thickTop="1" x14ac:dyDescent="0.25">
      <c r="A485" s="40"/>
    </row>
    <row r="486" spans="1:13" x14ac:dyDescent="0.25">
      <c r="A486" s="40"/>
      <c r="C486" s="2" t="s">
        <v>296</v>
      </c>
      <c r="F486" s="4">
        <f>G484-F484</f>
        <v>0</v>
      </c>
    </row>
  </sheetData>
  <sheetProtection formatCells="0" formatColumns="0" formatRows="0" insertHyperlinks="0" deleteColumns="0" deleteRows="0" sort="0" autoFilter="0" pivotTables="0"/>
  <mergeCells count="4">
    <mergeCell ref="F11:G11"/>
    <mergeCell ref="H11:I11"/>
    <mergeCell ref="F12:G12"/>
    <mergeCell ref="H12:I12"/>
  </mergeCells>
  <phoneticPr fontId="0" type="noConversion"/>
  <dataValidations count="2">
    <dataValidation type="list" showInputMessage="1" showErrorMessage="1" sqref="D15:D482" xr:uid="{00000000-0002-0000-0B00-000000000000}">
      <formula1>ProfitLoss</formula1>
    </dataValidation>
    <dataValidation type="list" allowBlank="1" showInputMessage="1" showErrorMessage="1" sqref="E15:E482" xr:uid="{00000000-0002-0000-0B00-000001000000}">
      <formula1>BalanceSheet</formula1>
    </dataValidation>
  </dataValidations>
  <pageMargins left="0.75" right="0.75" top="1" bottom="1" header="0.5" footer="0.5"/>
  <pageSetup paperSize="9" scale="45" orientation="portrait" r:id="rId1"/>
  <headerFooter alignWithMargins="0"/>
  <colBreaks count="1" manualBreakCount="1">
    <brk id="1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161"/>
  <sheetViews>
    <sheetView workbookViewId="0"/>
  </sheetViews>
  <sheetFormatPr defaultRowHeight="12.75" x14ac:dyDescent="0.2"/>
  <cols>
    <col min="3" max="3" width="35.85546875" bestFit="1" customWidth="1"/>
    <col min="8" max="8" width="35.85546875" bestFit="1" customWidth="1"/>
  </cols>
  <sheetData>
    <row r="1" spans="1:5" x14ac:dyDescent="0.2">
      <c r="A1" s="10"/>
    </row>
    <row r="2" spans="1:5" x14ac:dyDescent="0.2">
      <c r="A2" s="10"/>
    </row>
    <row r="3" spans="1:5" x14ac:dyDescent="0.2">
      <c r="A3" s="10"/>
      <c r="B3" s="10"/>
      <c r="C3" s="10"/>
      <c r="D3" s="10"/>
      <c r="E3" s="10"/>
    </row>
    <row r="4" spans="1:5" x14ac:dyDescent="0.2">
      <c r="A4" s="10"/>
      <c r="B4" s="10"/>
      <c r="C4" s="10"/>
      <c r="D4" s="10"/>
    </row>
    <row r="5" spans="1:5" x14ac:dyDescent="0.2">
      <c r="A5" s="10"/>
      <c r="B5" s="10"/>
      <c r="C5" s="10"/>
      <c r="D5" s="10"/>
    </row>
    <row r="6" spans="1:5" x14ac:dyDescent="0.2">
      <c r="A6" s="10"/>
      <c r="B6" s="10"/>
      <c r="C6" s="10"/>
      <c r="D6" s="10"/>
    </row>
    <row r="7" spans="1:5" x14ac:dyDescent="0.2">
      <c r="A7" s="10"/>
      <c r="B7" s="10"/>
      <c r="C7" s="10"/>
      <c r="D7" s="10"/>
    </row>
    <row r="8" spans="1:5" x14ac:dyDescent="0.2">
      <c r="A8" s="10"/>
      <c r="B8" s="10"/>
      <c r="C8" s="10"/>
    </row>
    <row r="9" spans="1:5" x14ac:dyDescent="0.2">
      <c r="A9" s="10"/>
      <c r="B9" s="10"/>
      <c r="C9" s="10"/>
    </row>
    <row r="10" spans="1:5" x14ac:dyDescent="0.2">
      <c r="A10" s="10"/>
      <c r="B10" s="10"/>
      <c r="C10" s="10"/>
    </row>
    <row r="11" spans="1:5" x14ac:dyDescent="0.2">
      <c r="A11" s="10"/>
      <c r="B11" s="10"/>
      <c r="C11" s="10"/>
    </row>
    <row r="12" spans="1:5" x14ac:dyDescent="0.2">
      <c r="A12" s="10"/>
      <c r="B12" s="10"/>
      <c r="C12" s="10"/>
    </row>
    <row r="13" spans="1:5" x14ac:dyDescent="0.2">
      <c r="A13" s="10"/>
      <c r="B13" s="10"/>
      <c r="C13" s="10"/>
    </row>
    <row r="14" spans="1:5" x14ac:dyDescent="0.2">
      <c r="A14" s="10"/>
      <c r="B14" s="10"/>
      <c r="C14" s="10"/>
      <c r="D14" s="10"/>
    </row>
    <row r="15" spans="1:5" x14ac:dyDescent="0.2">
      <c r="A15" s="10"/>
      <c r="B15" s="10"/>
      <c r="C15" s="10"/>
    </row>
    <row r="16" spans="1:5" x14ac:dyDescent="0.2">
      <c r="A16" s="10"/>
      <c r="B16" s="10"/>
      <c r="C16" s="10"/>
    </row>
    <row r="17" spans="1:4" x14ac:dyDescent="0.2">
      <c r="A17" s="10"/>
      <c r="B17" s="10"/>
      <c r="C17" s="10"/>
    </row>
    <row r="18" spans="1:4" x14ac:dyDescent="0.2">
      <c r="A18" s="10"/>
      <c r="B18" s="10"/>
      <c r="C18" s="10"/>
    </row>
    <row r="19" spans="1:4" x14ac:dyDescent="0.2">
      <c r="A19" s="10"/>
      <c r="B19" s="10"/>
      <c r="C19" s="10"/>
    </row>
    <row r="20" spans="1:4" x14ac:dyDescent="0.2">
      <c r="A20" s="10"/>
      <c r="B20" s="10"/>
      <c r="C20" s="10"/>
      <c r="D20" s="10"/>
    </row>
    <row r="21" spans="1:4" x14ac:dyDescent="0.2">
      <c r="A21" s="10"/>
      <c r="B21" s="10"/>
      <c r="C21" s="10"/>
    </row>
    <row r="22" spans="1:4" x14ac:dyDescent="0.2">
      <c r="A22" s="10"/>
      <c r="B22" s="10"/>
      <c r="C22" s="10"/>
    </row>
    <row r="23" spans="1:4" x14ac:dyDescent="0.2">
      <c r="A23" s="10"/>
      <c r="B23" s="10"/>
      <c r="C23" s="10"/>
    </row>
    <row r="24" spans="1:4" x14ac:dyDescent="0.2">
      <c r="A24" s="10"/>
      <c r="B24" s="10"/>
      <c r="C24" s="10"/>
    </row>
    <row r="25" spans="1:4" x14ac:dyDescent="0.2">
      <c r="A25" s="10"/>
      <c r="B25" s="10"/>
      <c r="C25" s="10"/>
    </row>
    <row r="26" spans="1:4" x14ac:dyDescent="0.2">
      <c r="A26" s="10"/>
      <c r="B26" s="10"/>
      <c r="C26" s="10"/>
    </row>
    <row r="27" spans="1:4" x14ac:dyDescent="0.2">
      <c r="A27" s="10"/>
      <c r="B27" s="10"/>
      <c r="C27" s="10"/>
    </row>
    <row r="28" spans="1:4" x14ac:dyDescent="0.2">
      <c r="A28" s="10"/>
      <c r="B28" s="10"/>
      <c r="C28" s="10"/>
    </row>
    <row r="29" spans="1:4" x14ac:dyDescent="0.2">
      <c r="A29" s="10"/>
      <c r="B29" s="10"/>
      <c r="C29" s="10"/>
    </row>
    <row r="30" spans="1:4" x14ac:dyDescent="0.2">
      <c r="A30" s="10"/>
      <c r="B30" s="10"/>
      <c r="C30" s="10"/>
    </row>
    <row r="31" spans="1:4" x14ac:dyDescent="0.2">
      <c r="A31" s="10"/>
      <c r="B31" s="10"/>
      <c r="C31" s="10"/>
    </row>
    <row r="32" spans="1:4" x14ac:dyDescent="0.2">
      <c r="A32" s="10"/>
      <c r="B32" s="10"/>
      <c r="C32" s="10"/>
    </row>
    <row r="33" spans="1:4" x14ac:dyDescent="0.2">
      <c r="A33" s="10"/>
      <c r="B33" s="10"/>
      <c r="C33" s="10"/>
    </row>
    <row r="34" spans="1:4" x14ac:dyDescent="0.2">
      <c r="A34" s="10"/>
      <c r="B34" s="10"/>
      <c r="C34" s="10"/>
    </row>
    <row r="35" spans="1:4" x14ac:dyDescent="0.2">
      <c r="A35" s="10"/>
      <c r="B35" s="10"/>
      <c r="C35" s="10"/>
    </row>
    <row r="36" spans="1:4" x14ac:dyDescent="0.2">
      <c r="A36" s="10"/>
      <c r="B36" s="10"/>
      <c r="C36" s="10"/>
    </row>
    <row r="37" spans="1:4" x14ac:dyDescent="0.2">
      <c r="A37" s="10"/>
      <c r="B37" s="10"/>
      <c r="C37" s="10"/>
      <c r="D37" s="10"/>
    </row>
    <row r="38" spans="1:4" x14ac:dyDescent="0.2">
      <c r="A38" s="10"/>
      <c r="B38" s="10"/>
      <c r="C38" s="10"/>
      <c r="D38" s="10"/>
    </row>
    <row r="39" spans="1:4" x14ac:dyDescent="0.2">
      <c r="A39" s="10"/>
      <c r="B39" s="10"/>
      <c r="C39" s="10"/>
      <c r="D39" s="10"/>
    </row>
    <row r="40" spans="1:4" x14ac:dyDescent="0.2">
      <c r="A40" s="10"/>
      <c r="B40" s="10"/>
      <c r="C40" s="10"/>
      <c r="D40" s="10"/>
    </row>
    <row r="41" spans="1:4" x14ac:dyDescent="0.2">
      <c r="A41" s="10"/>
      <c r="B41" s="10"/>
      <c r="C41" s="10"/>
    </row>
    <row r="42" spans="1:4" x14ac:dyDescent="0.2">
      <c r="A42" s="10"/>
      <c r="B42" s="10"/>
      <c r="C42" s="10"/>
    </row>
    <row r="43" spans="1:4" x14ac:dyDescent="0.2">
      <c r="A43" s="10"/>
      <c r="B43" s="10"/>
      <c r="C43" s="10"/>
      <c r="D43" s="10"/>
    </row>
    <row r="44" spans="1:4" x14ac:dyDescent="0.2">
      <c r="A44" s="10"/>
      <c r="B44" s="10"/>
      <c r="C44" s="10"/>
    </row>
    <row r="45" spans="1:4" x14ac:dyDescent="0.2">
      <c r="A45" s="10"/>
      <c r="B45" s="10"/>
      <c r="C45" s="10"/>
    </row>
    <row r="46" spans="1:4" x14ac:dyDescent="0.2">
      <c r="A46" s="10"/>
      <c r="B46" s="10"/>
      <c r="C46" s="10"/>
      <c r="D46" s="10"/>
    </row>
    <row r="47" spans="1:4" x14ac:dyDescent="0.2">
      <c r="A47" s="10"/>
      <c r="B47" s="10"/>
      <c r="C47" s="10"/>
      <c r="D47" s="10"/>
    </row>
    <row r="48" spans="1:4" x14ac:dyDescent="0.2">
      <c r="A48" s="10"/>
      <c r="B48" s="10"/>
      <c r="C48" s="10"/>
    </row>
    <row r="49" spans="1:4" x14ac:dyDescent="0.2">
      <c r="A49" s="10"/>
      <c r="B49" s="10"/>
      <c r="C49" s="10"/>
    </row>
    <row r="50" spans="1:4" x14ac:dyDescent="0.2">
      <c r="A50" s="10"/>
      <c r="B50" s="10"/>
      <c r="C50" s="10"/>
      <c r="D50" s="10"/>
    </row>
    <row r="51" spans="1:4" x14ac:dyDescent="0.2">
      <c r="A51" s="10"/>
      <c r="B51" s="10"/>
      <c r="C51" s="10"/>
    </row>
    <row r="52" spans="1:4" x14ac:dyDescent="0.2">
      <c r="A52" s="10"/>
      <c r="B52" s="10"/>
      <c r="C52" s="10"/>
    </row>
    <row r="53" spans="1:4" x14ac:dyDescent="0.2">
      <c r="A53" s="10"/>
      <c r="B53" s="10"/>
      <c r="C53" s="10"/>
      <c r="D53" s="10"/>
    </row>
    <row r="54" spans="1:4" x14ac:dyDescent="0.2">
      <c r="A54" s="10"/>
      <c r="B54" s="10"/>
      <c r="C54" s="10"/>
      <c r="D54" s="10"/>
    </row>
    <row r="55" spans="1:4" x14ac:dyDescent="0.2">
      <c r="A55" s="10"/>
      <c r="B55" s="10"/>
      <c r="C55" s="10"/>
    </row>
    <row r="56" spans="1:4" x14ac:dyDescent="0.2">
      <c r="A56" s="10"/>
      <c r="B56" s="10"/>
      <c r="C56" s="10"/>
      <c r="D56" s="10"/>
    </row>
    <row r="57" spans="1:4" x14ac:dyDescent="0.2">
      <c r="A57" s="10"/>
      <c r="B57" s="10"/>
      <c r="C57" s="10"/>
    </row>
    <row r="58" spans="1:4" x14ac:dyDescent="0.2">
      <c r="A58" s="10"/>
      <c r="B58" s="10"/>
      <c r="C58" s="10"/>
      <c r="D58" s="10"/>
    </row>
    <row r="59" spans="1:4" x14ac:dyDescent="0.2">
      <c r="A59" s="10"/>
      <c r="B59" s="10"/>
      <c r="C59" s="10"/>
    </row>
    <row r="60" spans="1:4" x14ac:dyDescent="0.2">
      <c r="A60" s="10"/>
      <c r="B60" s="10"/>
      <c r="C60" s="10"/>
      <c r="D60" s="10"/>
    </row>
    <row r="61" spans="1:4" x14ac:dyDescent="0.2">
      <c r="A61" s="10"/>
      <c r="B61" s="10"/>
      <c r="C61" s="10"/>
    </row>
    <row r="62" spans="1:4" x14ac:dyDescent="0.2">
      <c r="A62" s="10"/>
      <c r="B62" s="10"/>
      <c r="C62" s="10"/>
    </row>
    <row r="63" spans="1:4" x14ac:dyDescent="0.2">
      <c r="A63" s="10"/>
      <c r="B63" s="10"/>
      <c r="C63" s="10"/>
    </row>
    <row r="64" spans="1:4" x14ac:dyDescent="0.2">
      <c r="A64" s="10"/>
      <c r="B64" s="10"/>
      <c r="C64" s="10"/>
      <c r="D64" s="10"/>
    </row>
    <row r="65" spans="1:4" x14ac:dyDescent="0.2">
      <c r="A65" s="10"/>
      <c r="B65" s="10"/>
      <c r="C65" s="10"/>
      <c r="D65" s="10"/>
    </row>
    <row r="66" spans="1:4" x14ac:dyDescent="0.2">
      <c r="A66" s="10"/>
      <c r="B66" s="10"/>
      <c r="C66" s="10"/>
    </row>
    <row r="67" spans="1:4" x14ac:dyDescent="0.2">
      <c r="A67" s="10"/>
      <c r="B67" s="10"/>
      <c r="C67" s="10"/>
    </row>
    <row r="68" spans="1:4" x14ac:dyDescent="0.2">
      <c r="A68" s="10"/>
      <c r="B68" s="10"/>
      <c r="C68" s="10"/>
      <c r="D68" s="10"/>
    </row>
    <row r="69" spans="1:4" x14ac:dyDescent="0.2">
      <c r="A69" s="10"/>
      <c r="B69" s="10"/>
      <c r="C69" s="10"/>
      <c r="D69" s="10"/>
    </row>
    <row r="70" spans="1:4" x14ac:dyDescent="0.2">
      <c r="A70" s="10"/>
      <c r="B70" s="10"/>
      <c r="C70" s="10"/>
    </row>
    <row r="71" spans="1:4" x14ac:dyDescent="0.2">
      <c r="A71" s="10"/>
      <c r="B71" s="10"/>
      <c r="C71" s="10"/>
    </row>
    <row r="72" spans="1:4" x14ac:dyDescent="0.2">
      <c r="A72" s="10"/>
      <c r="B72" s="10"/>
      <c r="C72" s="10"/>
      <c r="D72" s="10"/>
    </row>
    <row r="73" spans="1:4" x14ac:dyDescent="0.2">
      <c r="A73" s="10"/>
      <c r="B73" s="10"/>
      <c r="C73" s="10"/>
    </row>
    <row r="74" spans="1:4" x14ac:dyDescent="0.2">
      <c r="A74" s="10"/>
      <c r="B74" s="10"/>
      <c r="C74" s="10"/>
    </row>
    <row r="75" spans="1:4" x14ac:dyDescent="0.2">
      <c r="A75" s="10"/>
      <c r="B75" s="10"/>
      <c r="C75" s="10"/>
    </row>
    <row r="76" spans="1:4" x14ac:dyDescent="0.2">
      <c r="A76" s="10"/>
      <c r="B76" s="10"/>
      <c r="C76" s="10"/>
    </row>
    <row r="77" spans="1:4" x14ac:dyDescent="0.2">
      <c r="A77" s="10"/>
      <c r="B77" s="10"/>
      <c r="C77" s="10"/>
    </row>
    <row r="78" spans="1:4" x14ac:dyDescent="0.2">
      <c r="A78" s="10"/>
      <c r="B78" s="10"/>
      <c r="C78" s="10"/>
    </row>
    <row r="79" spans="1:4" x14ac:dyDescent="0.2">
      <c r="A79" s="10"/>
      <c r="B79" s="10"/>
      <c r="C79" s="10"/>
    </row>
    <row r="80" spans="1:4" x14ac:dyDescent="0.2">
      <c r="A80" s="10"/>
      <c r="B80" s="10"/>
      <c r="C80" s="10"/>
    </row>
    <row r="81" spans="1:4" x14ac:dyDescent="0.2">
      <c r="A81" s="10"/>
      <c r="B81" s="10"/>
      <c r="C81" s="10"/>
    </row>
    <row r="82" spans="1:4" x14ac:dyDescent="0.2">
      <c r="A82" s="10"/>
      <c r="B82" s="10"/>
      <c r="C82" s="10"/>
      <c r="D82" s="10"/>
    </row>
    <row r="83" spans="1:4" x14ac:dyDescent="0.2">
      <c r="A83" s="10"/>
      <c r="B83" s="10"/>
      <c r="C83" s="10"/>
      <c r="D83" s="10"/>
    </row>
    <row r="84" spans="1:4" x14ac:dyDescent="0.2">
      <c r="A84" s="10"/>
      <c r="B84" s="10"/>
      <c r="C84" s="10"/>
      <c r="D84" s="10"/>
    </row>
    <row r="85" spans="1:4" x14ac:dyDescent="0.2">
      <c r="A85" s="10"/>
      <c r="B85" s="10"/>
      <c r="C85" s="10"/>
    </row>
    <row r="86" spans="1:4" x14ac:dyDescent="0.2">
      <c r="A86" s="10"/>
      <c r="B86" s="10"/>
      <c r="C86" s="10"/>
    </row>
    <row r="87" spans="1:4" x14ac:dyDescent="0.2">
      <c r="A87" s="10"/>
      <c r="B87" s="10"/>
      <c r="C87" s="10"/>
      <c r="D87" s="10"/>
    </row>
    <row r="88" spans="1:4" x14ac:dyDescent="0.2">
      <c r="A88" s="10"/>
      <c r="B88" s="10"/>
      <c r="C88" s="10"/>
      <c r="D88" s="10"/>
    </row>
    <row r="89" spans="1:4" x14ac:dyDescent="0.2">
      <c r="A89" s="10"/>
      <c r="B89" s="10"/>
      <c r="C89" s="10"/>
    </row>
    <row r="90" spans="1:4" x14ac:dyDescent="0.2">
      <c r="A90" s="10"/>
      <c r="B90" s="10"/>
      <c r="C90" s="10"/>
    </row>
    <row r="91" spans="1:4" x14ac:dyDescent="0.2">
      <c r="A91" s="10"/>
      <c r="B91" s="10"/>
      <c r="C91" s="10"/>
    </row>
    <row r="92" spans="1:4" x14ac:dyDescent="0.2">
      <c r="A92" s="10"/>
      <c r="B92" s="10"/>
      <c r="C92" s="10"/>
      <c r="D92" s="10"/>
    </row>
    <row r="93" spans="1:4" x14ac:dyDescent="0.2">
      <c r="A93" s="10"/>
      <c r="B93" s="10"/>
      <c r="C93" s="10"/>
    </row>
    <row r="94" spans="1:4" x14ac:dyDescent="0.2">
      <c r="A94" s="10"/>
      <c r="B94" s="10"/>
      <c r="C94" s="10"/>
    </row>
    <row r="95" spans="1:4" x14ac:dyDescent="0.2">
      <c r="A95" s="10"/>
      <c r="B95" s="10"/>
      <c r="C95" s="10"/>
      <c r="D95" s="10"/>
    </row>
    <row r="96" spans="1:4" x14ac:dyDescent="0.2">
      <c r="A96" s="10"/>
      <c r="B96" s="10"/>
      <c r="C96" s="10"/>
      <c r="D96" s="10"/>
    </row>
    <row r="97" spans="1:9" x14ac:dyDescent="0.2">
      <c r="A97" s="10"/>
      <c r="B97" s="10"/>
      <c r="C97" s="10"/>
    </row>
    <row r="98" spans="1:9" x14ac:dyDescent="0.2">
      <c r="A98" s="10"/>
      <c r="B98" s="10"/>
      <c r="C98" s="10"/>
    </row>
    <row r="99" spans="1:9" x14ac:dyDescent="0.2">
      <c r="A99" s="10"/>
      <c r="B99" s="10"/>
      <c r="C99" s="10"/>
    </row>
    <row r="100" spans="1:9" x14ac:dyDescent="0.2">
      <c r="A100" s="10"/>
      <c r="B100" s="10"/>
      <c r="C100" s="10"/>
    </row>
    <row r="101" spans="1:9" x14ac:dyDescent="0.2">
      <c r="A101" s="10"/>
      <c r="B101" s="10"/>
      <c r="C101" s="10"/>
    </row>
    <row r="102" spans="1:9" x14ac:dyDescent="0.2">
      <c r="A102" s="10"/>
      <c r="B102" s="10"/>
      <c r="C102" s="10"/>
      <c r="D102" s="10"/>
      <c r="G102" s="10"/>
      <c r="H102" s="10"/>
      <c r="I102" s="10"/>
    </row>
    <row r="103" spans="1:9" x14ac:dyDescent="0.2">
      <c r="A103" s="10"/>
      <c r="B103" s="10"/>
      <c r="C103" s="10"/>
      <c r="G103" s="10"/>
      <c r="H103" s="10"/>
    </row>
    <row r="104" spans="1:9" x14ac:dyDescent="0.2">
      <c r="A104" s="10"/>
      <c r="B104" s="10"/>
      <c r="C104" s="10"/>
      <c r="G104" s="10"/>
      <c r="H104" s="10"/>
    </row>
    <row r="105" spans="1:9" x14ac:dyDescent="0.2">
      <c r="A105" s="10"/>
      <c r="B105" s="10"/>
      <c r="C105" s="10"/>
      <c r="G105" s="10"/>
      <c r="H105" s="10"/>
    </row>
    <row r="106" spans="1:9" x14ac:dyDescent="0.2">
      <c r="A106" s="10"/>
      <c r="B106" s="10"/>
      <c r="C106" s="10"/>
      <c r="G106" s="10"/>
      <c r="H106" s="10"/>
    </row>
    <row r="107" spans="1:9" x14ac:dyDescent="0.2">
      <c r="A107" s="10"/>
      <c r="B107" s="10"/>
      <c r="C107" s="10"/>
      <c r="G107" s="10"/>
      <c r="H107" s="10"/>
    </row>
    <row r="108" spans="1:9" x14ac:dyDescent="0.2">
      <c r="A108" s="10"/>
      <c r="B108" s="10"/>
      <c r="C108" s="10"/>
      <c r="G108" s="10"/>
      <c r="H108" s="10"/>
    </row>
    <row r="109" spans="1:9" x14ac:dyDescent="0.2">
      <c r="A109" s="10"/>
      <c r="B109" s="10"/>
      <c r="C109" s="10"/>
      <c r="G109" s="10"/>
      <c r="H109" s="10"/>
    </row>
    <row r="110" spans="1:9" x14ac:dyDescent="0.2">
      <c r="A110" s="10"/>
      <c r="B110" s="10"/>
      <c r="C110" s="10"/>
      <c r="G110" s="10"/>
      <c r="H110" s="10"/>
    </row>
    <row r="111" spans="1:9" x14ac:dyDescent="0.2">
      <c r="A111" s="10"/>
      <c r="B111" s="10"/>
      <c r="C111" s="10"/>
      <c r="G111" s="10"/>
      <c r="H111" s="10"/>
    </row>
    <row r="112" spans="1:9" x14ac:dyDescent="0.2">
      <c r="A112" s="10"/>
      <c r="B112" s="10"/>
      <c r="C112" s="10"/>
      <c r="G112" s="10"/>
      <c r="H112" s="10"/>
    </row>
    <row r="113" spans="1:9" x14ac:dyDescent="0.2">
      <c r="A113" s="10"/>
      <c r="B113" s="10"/>
      <c r="C113" s="10"/>
      <c r="D113" s="10"/>
      <c r="G113" s="10"/>
      <c r="H113" s="10"/>
      <c r="I113" s="10"/>
    </row>
    <row r="114" spans="1:9" x14ac:dyDescent="0.2">
      <c r="A114" s="10"/>
      <c r="B114" s="10"/>
      <c r="C114" s="10"/>
      <c r="G114" s="10"/>
      <c r="H114" s="10"/>
    </row>
    <row r="115" spans="1:9" x14ac:dyDescent="0.2">
      <c r="A115" s="10"/>
      <c r="B115" s="10"/>
      <c r="C115" s="10"/>
      <c r="G115" s="10"/>
      <c r="H115" s="10"/>
    </row>
    <row r="116" spans="1:9" x14ac:dyDescent="0.2">
      <c r="A116" s="10"/>
      <c r="B116" s="10"/>
      <c r="C116" s="10"/>
      <c r="D116" s="10"/>
      <c r="G116" s="10"/>
      <c r="H116" s="10"/>
      <c r="I116" s="10"/>
    </row>
    <row r="117" spans="1:9" x14ac:dyDescent="0.2">
      <c r="A117" s="10"/>
      <c r="B117" s="10"/>
      <c r="C117" s="10"/>
      <c r="G117" s="10"/>
      <c r="H117" s="10"/>
    </row>
    <row r="118" spans="1:9" x14ac:dyDescent="0.2">
      <c r="A118" s="10"/>
      <c r="B118" s="10"/>
      <c r="C118" s="10"/>
      <c r="G118" s="10"/>
      <c r="H118" s="10"/>
    </row>
    <row r="119" spans="1:9" x14ac:dyDescent="0.2">
      <c r="A119" s="10"/>
      <c r="B119" s="10"/>
      <c r="C119" s="10"/>
      <c r="G119" s="10"/>
      <c r="H119" s="10"/>
    </row>
    <row r="120" spans="1:9" x14ac:dyDescent="0.2">
      <c r="A120" s="10"/>
      <c r="B120" s="10"/>
      <c r="C120" s="10"/>
      <c r="G120" s="10"/>
      <c r="H120" s="10"/>
    </row>
    <row r="121" spans="1:9" x14ac:dyDescent="0.2">
      <c r="A121" s="10"/>
      <c r="B121" s="10"/>
      <c r="C121" s="10"/>
      <c r="G121" s="10"/>
      <c r="H121" s="10"/>
    </row>
    <row r="122" spans="1:9" x14ac:dyDescent="0.2">
      <c r="A122" s="10"/>
      <c r="B122" s="10"/>
      <c r="C122" s="10"/>
      <c r="G122" s="10"/>
      <c r="H122" s="10"/>
    </row>
    <row r="123" spans="1:9" x14ac:dyDescent="0.2">
      <c r="A123" s="10"/>
      <c r="B123" s="10"/>
      <c r="C123" s="10"/>
      <c r="G123" s="10"/>
      <c r="H123" s="10"/>
    </row>
    <row r="124" spans="1:9" x14ac:dyDescent="0.2">
      <c r="A124" s="10"/>
      <c r="B124" s="10"/>
      <c r="C124" s="10"/>
      <c r="D124" s="10"/>
      <c r="G124" s="10"/>
      <c r="H124" s="10"/>
      <c r="I124" s="10"/>
    </row>
    <row r="125" spans="1:9" x14ac:dyDescent="0.2">
      <c r="A125" s="10"/>
      <c r="B125" s="10"/>
      <c r="C125" s="10"/>
      <c r="G125" s="10"/>
      <c r="H125" s="10"/>
    </row>
    <row r="126" spans="1:9" x14ac:dyDescent="0.2">
      <c r="A126" s="10"/>
      <c r="B126" s="10"/>
      <c r="C126" s="10"/>
      <c r="D126" s="10"/>
      <c r="G126" s="10"/>
      <c r="H126" s="10"/>
      <c r="I126" s="10"/>
    </row>
    <row r="127" spans="1:9" x14ac:dyDescent="0.2">
      <c r="A127" s="10"/>
      <c r="B127" s="10"/>
      <c r="C127" s="10"/>
      <c r="G127" s="10"/>
      <c r="H127" s="10"/>
    </row>
    <row r="128" spans="1:9" x14ac:dyDescent="0.2">
      <c r="A128" s="10"/>
      <c r="B128" s="10"/>
      <c r="C128" s="10"/>
      <c r="D128" s="10"/>
      <c r="G128" s="10"/>
      <c r="H128" s="10"/>
      <c r="I128" s="10"/>
    </row>
    <row r="129" spans="1:9" x14ac:dyDescent="0.2">
      <c r="A129" s="10"/>
      <c r="B129" s="10"/>
      <c r="C129" s="10"/>
      <c r="G129" s="10"/>
      <c r="H129" s="10"/>
    </row>
    <row r="130" spans="1:9" x14ac:dyDescent="0.2">
      <c r="A130" s="10"/>
      <c r="B130" s="10"/>
      <c r="C130" s="10"/>
      <c r="D130" s="10"/>
      <c r="G130" s="10"/>
      <c r="H130" s="10"/>
      <c r="I130" s="10"/>
    </row>
    <row r="131" spans="1:9" x14ac:dyDescent="0.2">
      <c r="A131" s="10"/>
      <c r="B131" s="10"/>
      <c r="C131" s="10"/>
      <c r="G131" s="10"/>
      <c r="H131" s="10"/>
    </row>
    <row r="132" spans="1:9" x14ac:dyDescent="0.2">
      <c r="A132" s="10"/>
      <c r="B132" s="10"/>
      <c r="C132" s="10"/>
      <c r="D132" s="10"/>
      <c r="G132" s="10"/>
      <c r="H132" s="10"/>
      <c r="I132" s="10"/>
    </row>
    <row r="133" spans="1:9" x14ac:dyDescent="0.2">
      <c r="A133" s="10"/>
      <c r="B133" s="10"/>
      <c r="C133" s="10"/>
      <c r="D133" s="10"/>
      <c r="G133" s="10"/>
      <c r="H133" s="10"/>
      <c r="I133" s="10"/>
    </row>
    <row r="134" spans="1:9" x14ac:dyDescent="0.2">
      <c r="A134" s="10"/>
      <c r="B134" s="10"/>
      <c r="C134" s="10"/>
      <c r="G134" s="10"/>
      <c r="H134" s="10"/>
    </row>
    <row r="135" spans="1:9" x14ac:dyDescent="0.2">
      <c r="A135" s="10"/>
      <c r="B135" s="10"/>
      <c r="C135" s="10"/>
      <c r="D135" s="10"/>
      <c r="G135" s="10"/>
      <c r="H135" s="10"/>
      <c r="I135" s="10"/>
    </row>
    <row r="136" spans="1:9" x14ac:dyDescent="0.2">
      <c r="A136" s="10"/>
      <c r="B136" s="10"/>
      <c r="C136" s="10"/>
      <c r="G136" s="10"/>
      <c r="H136" s="10"/>
    </row>
    <row r="137" spans="1:9" x14ac:dyDescent="0.2">
      <c r="A137" s="10"/>
      <c r="B137" s="10"/>
      <c r="C137" s="10"/>
      <c r="G137" s="10"/>
      <c r="H137" s="10"/>
    </row>
    <row r="138" spans="1:9" x14ac:dyDescent="0.2">
      <c r="A138" s="10"/>
      <c r="B138" s="10"/>
      <c r="C138" s="10"/>
      <c r="D138" s="10"/>
      <c r="G138" s="10"/>
      <c r="H138" s="10"/>
      <c r="I138" s="10"/>
    </row>
    <row r="139" spans="1:9" x14ac:dyDescent="0.2">
      <c r="A139" s="10"/>
      <c r="B139" s="10"/>
      <c r="C139" s="10"/>
      <c r="G139" s="10"/>
      <c r="H139" s="10"/>
    </row>
    <row r="140" spans="1:9" x14ac:dyDescent="0.2">
      <c r="A140" s="10"/>
      <c r="B140" s="10"/>
      <c r="C140" s="10"/>
      <c r="G140" s="10"/>
      <c r="H140" s="10"/>
    </row>
    <row r="141" spans="1:9" x14ac:dyDescent="0.2">
      <c r="A141" s="10"/>
      <c r="B141" s="10"/>
      <c r="C141" s="10"/>
      <c r="D141" s="10"/>
      <c r="G141" s="10"/>
      <c r="H141" s="10"/>
      <c r="I141" s="10"/>
    </row>
    <row r="142" spans="1:9" x14ac:dyDescent="0.2">
      <c r="A142" s="10"/>
      <c r="B142" s="10"/>
      <c r="C142" s="10"/>
      <c r="D142" s="10"/>
      <c r="G142" s="10"/>
      <c r="H142" s="10"/>
      <c r="I142" s="10"/>
    </row>
    <row r="143" spans="1:9" x14ac:dyDescent="0.2">
      <c r="A143" s="10"/>
      <c r="B143" s="10"/>
      <c r="C143" s="10"/>
      <c r="D143" s="10"/>
      <c r="G143" s="10"/>
      <c r="H143" s="10"/>
      <c r="I143" s="10"/>
    </row>
    <row r="144" spans="1:9" x14ac:dyDescent="0.2">
      <c r="A144" s="10"/>
      <c r="B144" s="10"/>
      <c r="C144" s="10"/>
      <c r="G144" s="10"/>
      <c r="H144" s="10"/>
    </row>
    <row r="145" spans="1:9" x14ac:dyDescent="0.2">
      <c r="A145" s="10"/>
      <c r="B145" s="10"/>
      <c r="C145" s="10"/>
      <c r="D145" s="10"/>
      <c r="G145" s="10"/>
      <c r="H145" s="10"/>
      <c r="I145" s="10"/>
    </row>
    <row r="146" spans="1:9" x14ac:dyDescent="0.2">
      <c r="A146" s="10"/>
      <c r="B146" s="10"/>
      <c r="C146" s="10"/>
      <c r="D146" s="10"/>
      <c r="G146" s="10"/>
      <c r="H146" s="10"/>
      <c r="I146" s="10"/>
    </row>
    <row r="147" spans="1:9" x14ac:dyDescent="0.2">
      <c r="A147" s="10"/>
      <c r="B147" s="10"/>
      <c r="C147" s="10"/>
      <c r="G147" s="10"/>
      <c r="H147" s="10"/>
    </row>
    <row r="148" spans="1:9" x14ac:dyDescent="0.2">
      <c r="A148" s="10"/>
      <c r="B148" s="10"/>
      <c r="C148" s="10"/>
      <c r="G148" s="10"/>
      <c r="H148" s="10"/>
    </row>
    <row r="149" spans="1:9" x14ac:dyDescent="0.2">
      <c r="A149" s="10"/>
      <c r="B149" s="10"/>
      <c r="C149" s="10"/>
      <c r="G149" s="10"/>
      <c r="H149" s="10"/>
    </row>
    <row r="150" spans="1:9" x14ac:dyDescent="0.2">
      <c r="A150" s="10"/>
      <c r="B150" s="10"/>
      <c r="C150" s="10"/>
      <c r="D150" s="10"/>
      <c r="G150" s="10"/>
      <c r="H150" s="10"/>
      <c r="I150" s="10"/>
    </row>
    <row r="151" spans="1:9" x14ac:dyDescent="0.2">
      <c r="A151" s="10"/>
      <c r="B151" s="10"/>
      <c r="C151" s="10"/>
      <c r="D151" s="10"/>
      <c r="G151" s="10"/>
      <c r="H151" s="10"/>
      <c r="I151" s="10"/>
    </row>
    <row r="152" spans="1:9" x14ac:dyDescent="0.2">
      <c r="A152" s="10"/>
      <c r="B152" s="10"/>
      <c r="C152" s="10"/>
      <c r="G152" s="10"/>
      <c r="H152" s="10"/>
    </row>
    <row r="153" spans="1:9" x14ac:dyDescent="0.2">
      <c r="A153" s="10"/>
      <c r="B153" s="10"/>
      <c r="C153" s="10"/>
      <c r="G153" s="10"/>
      <c r="H153" s="10"/>
    </row>
    <row r="154" spans="1:9" x14ac:dyDescent="0.2">
      <c r="A154" s="10"/>
      <c r="B154" s="10"/>
      <c r="C154" s="10"/>
      <c r="G154" s="10"/>
      <c r="H154" s="10"/>
    </row>
    <row r="155" spans="1:9" x14ac:dyDescent="0.2">
      <c r="A155" s="10"/>
      <c r="B155" s="10"/>
      <c r="C155" s="10"/>
      <c r="D155" s="10"/>
      <c r="G155" s="10"/>
      <c r="H155" s="10"/>
      <c r="I155" s="10"/>
    </row>
    <row r="156" spans="1:9" x14ac:dyDescent="0.2">
      <c r="A156" s="10"/>
      <c r="B156" s="10"/>
      <c r="C156" s="10"/>
      <c r="G156" s="10"/>
      <c r="H156" s="10"/>
    </row>
    <row r="157" spans="1:9" x14ac:dyDescent="0.2">
      <c r="A157" s="10"/>
      <c r="B157" s="10"/>
      <c r="C157" s="10"/>
      <c r="G157" s="10"/>
      <c r="H157" s="10"/>
    </row>
    <row r="158" spans="1:9" x14ac:dyDescent="0.2">
      <c r="A158" s="10"/>
      <c r="B158" s="10"/>
      <c r="C158" s="10"/>
      <c r="D158" s="10"/>
      <c r="G158" s="10"/>
      <c r="H158" s="10"/>
      <c r="I158" s="10"/>
    </row>
    <row r="159" spans="1:9" x14ac:dyDescent="0.2">
      <c r="A159" s="10"/>
      <c r="B159" s="10"/>
      <c r="C159" s="10"/>
      <c r="D159" s="10"/>
    </row>
    <row r="160" spans="1:9" x14ac:dyDescent="0.2">
      <c r="A160" s="10"/>
      <c r="B160" s="10"/>
      <c r="C160" s="10"/>
    </row>
    <row r="161" spans="1:4" x14ac:dyDescent="0.2">
      <c r="A161" s="10"/>
      <c r="B161" s="10"/>
      <c r="C161" s="10"/>
      <c r="D161" s="10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O2890"/>
  <sheetViews>
    <sheetView zoomScaleNormal="100" workbookViewId="0"/>
  </sheetViews>
  <sheetFormatPr defaultRowHeight="12.75" x14ac:dyDescent="0.2"/>
  <cols>
    <col min="2" max="2" width="17.42578125" customWidth="1"/>
    <col min="5" max="5" width="34.5703125" bestFit="1" customWidth="1"/>
    <col min="12" max="12" width="14.5703125" customWidth="1"/>
    <col min="14" max="14" width="12" customWidth="1"/>
  </cols>
  <sheetData>
    <row r="1" spans="1:8" x14ac:dyDescent="0.2">
      <c r="A1" s="10"/>
    </row>
    <row r="2" spans="1:8" x14ac:dyDescent="0.2">
      <c r="A2" s="10"/>
    </row>
    <row r="3" spans="1:8" x14ac:dyDescent="0.2">
      <c r="A3" s="10"/>
      <c r="B3" s="10"/>
      <c r="C3" s="10"/>
      <c r="D3" s="10"/>
      <c r="E3" s="10"/>
      <c r="F3" s="10"/>
      <c r="G3" s="10"/>
      <c r="H3" s="10"/>
    </row>
    <row r="4" spans="1:8" x14ac:dyDescent="0.2">
      <c r="A4" s="10"/>
      <c r="B4" s="10"/>
      <c r="C4" s="10"/>
      <c r="D4" s="10"/>
      <c r="E4" s="10"/>
    </row>
    <row r="5" spans="1:8" x14ac:dyDescent="0.2">
      <c r="A5" s="10"/>
    </row>
    <row r="6" spans="1:8" x14ac:dyDescent="0.2">
      <c r="A6" s="10"/>
    </row>
    <row r="7" spans="1:8" x14ac:dyDescent="0.2">
      <c r="A7" s="10"/>
      <c r="B7" s="10"/>
      <c r="C7" s="10"/>
      <c r="D7" s="10"/>
      <c r="E7" s="10"/>
      <c r="F7" s="10"/>
    </row>
    <row r="8" spans="1:8" x14ac:dyDescent="0.2">
      <c r="A8" s="10"/>
      <c r="B8" s="10"/>
      <c r="C8" s="10"/>
      <c r="D8" s="10"/>
      <c r="E8" s="10"/>
      <c r="F8" s="10"/>
    </row>
    <row r="9" spans="1:8" x14ac:dyDescent="0.2">
      <c r="A9" s="10"/>
      <c r="B9" s="10"/>
      <c r="C9" s="10"/>
      <c r="D9" s="10"/>
      <c r="E9" s="10"/>
      <c r="F9" s="10"/>
    </row>
    <row r="10" spans="1:8" x14ac:dyDescent="0.2">
      <c r="A10" s="10"/>
      <c r="B10" s="10"/>
      <c r="C10" s="10"/>
      <c r="D10" s="10"/>
      <c r="E10" s="10"/>
      <c r="F10" s="10"/>
    </row>
    <row r="11" spans="1:8" x14ac:dyDescent="0.2">
      <c r="A11" s="10"/>
      <c r="B11" s="10"/>
      <c r="C11" s="10"/>
      <c r="D11" s="10"/>
      <c r="E11" s="10"/>
      <c r="F11" s="10"/>
    </row>
    <row r="12" spans="1:8" x14ac:dyDescent="0.2">
      <c r="A12" s="10"/>
      <c r="B12" s="10"/>
      <c r="C12" s="10"/>
      <c r="D12" s="10"/>
      <c r="E12" s="10"/>
      <c r="F12" s="10"/>
    </row>
    <row r="13" spans="1:8" x14ac:dyDescent="0.2">
      <c r="A13" s="10"/>
      <c r="B13" s="10"/>
      <c r="C13" s="10"/>
      <c r="D13" s="10"/>
      <c r="E13" s="10"/>
      <c r="F13" s="10"/>
    </row>
    <row r="14" spans="1:8" x14ac:dyDescent="0.2">
      <c r="A14" s="10"/>
      <c r="B14" s="10"/>
      <c r="C14" s="10"/>
      <c r="D14" s="10"/>
      <c r="E14" s="10"/>
      <c r="F14" s="10"/>
    </row>
    <row r="15" spans="1:8" x14ac:dyDescent="0.2">
      <c r="A15" s="10"/>
      <c r="B15" s="10"/>
      <c r="C15" s="10"/>
      <c r="D15" s="10"/>
      <c r="E15" s="10"/>
      <c r="F15" s="10"/>
    </row>
    <row r="16" spans="1:8" x14ac:dyDescent="0.2">
      <c r="A16" s="10"/>
      <c r="B16" s="10"/>
      <c r="C16" s="10"/>
      <c r="D16" s="10"/>
      <c r="E16" s="10"/>
      <c r="F16" s="10"/>
    </row>
    <row r="17" spans="1:6" x14ac:dyDescent="0.2">
      <c r="A17" s="10"/>
      <c r="B17" s="10"/>
      <c r="C17" s="10"/>
      <c r="D17" s="10"/>
      <c r="E17" s="10"/>
      <c r="F17" s="10"/>
    </row>
    <row r="18" spans="1:6" x14ac:dyDescent="0.2">
      <c r="A18" s="10"/>
      <c r="B18" s="10"/>
      <c r="C18" s="10"/>
      <c r="D18" s="10"/>
      <c r="E18" s="10"/>
      <c r="F18" s="10"/>
    </row>
    <row r="19" spans="1:6" x14ac:dyDescent="0.2">
      <c r="A19" s="10"/>
      <c r="B19" s="10"/>
      <c r="C19" s="10"/>
      <c r="D19" s="10"/>
      <c r="E19" s="10"/>
      <c r="F19" s="10"/>
    </row>
    <row r="20" spans="1:6" x14ac:dyDescent="0.2">
      <c r="A20" s="10"/>
      <c r="B20" s="10"/>
      <c r="C20" s="10"/>
      <c r="D20" s="10"/>
      <c r="E20" s="10"/>
      <c r="F20" s="10"/>
    </row>
    <row r="21" spans="1:6" x14ac:dyDescent="0.2">
      <c r="A21" s="10"/>
      <c r="B21" s="10"/>
      <c r="C21" s="10"/>
      <c r="D21" s="10"/>
      <c r="E21" s="10"/>
      <c r="F21" s="10"/>
    </row>
    <row r="22" spans="1:6" x14ac:dyDescent="0.2">
      <c r="A22" s="10"/>
      <c r="B22" s="10"/>
      <c r="C22" s="10"/>
      <c r="D22" s="10"/>
      <c r="E22" s="10"/>
      <c r="F22" s="10"/>
    </row>
    <row r="23" spans="1:6" x14ac:dyDescent="0.2">
      <c r="A23" s="10"/>
      <c r="B23" s="10"/>
      <c r="C23" s="10"/>
      <c r="D23" s="10"/>
      <c r="E23" s="10"/>
      <c r="F23" s="10"/>
    </row>
    <row r="24" spans="1:6" x14ac:dyDescent="0.2">
      <c r="A24" s="10"/>
      <c r="B24" s="10"/>
      <c r="C24" s="10"/>
      <c r="D24" s="10"/>
      <c r="E24" s="10"/>
      <c r="F24" s="10"/>
    </row>
    <row r="25" spans="1:6" x14ac:dyDescent="0.2">
      <c r="A25" s="10"/>
      <c r="B25" s="10"/>
      <c r="C25" s="10"/>
      <c r="D25" s="10"/>
      <c r="E25" s="10"/>
      <c r="F25" s="10"/>
    </row>
    <row r="26" spans="1:6" x14ac:dyDescent="0.2">
      <c r="A26" s="10"/>
      <c r="B26" s="10"/>
      <c r="C26" s="10"/>
      <c r="D26" s="10"/>
      <c r="E26" s="10"/>
      <c r="F26" s="10"/>
    </row>
    <row r="27" spans="1:6" x14ac:dyDescent="0.2">
      <c r="A27" s="10"/>
      <c r="B27" s="10"/>
      <c r="C27" s="10"/>
      <c r="D27" s="10"/>
      <c r="E27" s="10"/>
      <c r="F27" s="10"/>
    </row>
    <row r="28" spans="1:6" x14ac:dyDescent="0.2">
      <c r="A28" s="10"/>
      <c r="B28" s="10"/>
      <c r="C28" s="10"/>
      <c r="D28" s="10"/>
      <c r="E28" s="10"/>
      <c r="F28" s="10"/>
    </row>
    <row r="29" spans="1:6" x14ac:dyDescent="0.2">
      <c r="A29" s="10"/>
      <c r="B29" s="10"/>
      <c r="C29" s="10"/>
      <c r="D29" s="10"/>
      <c r="E29" s="10"/>
      <c r="F29" s="10"/>
    </row>
    <row r="30" spans="1:6" x14ac:dyDescent="0.2">
      <c r="A30" s="10"/>
      <c r="B30" s="10"/>
      <c r="C30" s="10"/>
      <c r="D30" s="10"/>
      <c r="E30" s="10"/>
      <c r="F30" s="10"/>
    </row>
    <row r="31" spans="1:6" x14ac:dyDescent="0.2">
      <c r="A31" s="10"/>
      <c r="B31" s="10"/>
      <c r="C31" s="10"/>
      <c r="D31" s="10"/>
      <c r="E31" s="10"/>
      <c r="F31" s="10"/>
    </row>
    <row r="32" spans="1:6" x14ac:dyDescent="0.2">
      <c r="A32" s="10"/>
      <c r="B32" s="10"/>
      <c r="C32" s="10"/>
      <c r="D32" s="10"/>
      <c r="E32" s="10"/>
      <c r="F32" s="10"/>
    </row>
    <row r="33" spans="1:7" x14ac:dyDescent="0.2">
      <c r="A33" s="10"/>
      <c r="B33" s="10"/>
      <c r="C33" s="10"/>
      <c r="D33" s="10"/>
      <c r="E33" s="10"/>
      <c r="F33" s="10"/>
    </row>
    <row r="34" spans="1:7" x14ac:dyDescent="0.2">
      <c r="A34" s="10"/>
      <c r="B34" s="10"/>
      <c r="C34" s="10"/>
      <c r="D34" s="10"/>
      <c r="E34" s="10"/>
      <c r="F34" s="10"/>
    </row>
    <row r="35" spans="1:7" x14ac:dyDescent="0.2">
      <c r="A35" s="10"/>
      <c r="B35" s="10"/>
      <c r="C35" s="10"/>
      <c r="D35" s="10"/>
      <c r="E35" s="10"/>
      <c r="F35" s="10"/>
    </row>
    <row r="36" spans="1:7" x14ac:dyDescent="0.2">
      <c r="A36" s="10"/>
      <c r="B36" s="10"/>
      <c r="C36" s="10"/>
      <c r="D36" s="10"/>
      <c r="E36" s="10"/>
      <c r="F36" s="10"/>
    </row>
    <row r="37" spans="1:7" x14ac:dyDescent="0.2">
      <c r="A37" s="10"/>
      <c r="B37" s="10"/>
      <c r="C37" s="10"/>
      <c r="D37" s="10"/>
      <c r="E37" s="10"/>
      <c r="F37" s="10"/>
    </row>
    <row r="38" spans="1:7" x14ac:dyDescent="0.2">
      <c r="A38" s="10"/>
      <c r="B38" s="10"/>
      <c r="C38" s="10"/>
      <c r="D38" s="10"/>
      <c r="E38" s="10"/>
      <c r="F38" s="10"/>
    </row>
    <row r="39" spans="1:7" x14ac:dyDescent="0.2">
      <c r="A39" s="10"/>
      <c r="B39" s="10"/>
      <c r="C39" s="10"/>
      <c r="D39" s="10"/>
      <c r="E39" s="10"/>
      <c r="F39" s="10"/>
    </row>
    <row r="40" spans="1:7" x14ac:dyDescent="0.2">
      <c r="A40" s="10"/>
      <c r="B40" s="10"/>
      <c r="C40" s="10"/>
      <c r="D40" s="10"/>
      <c r="E40" s="10"/>
      <c r="F40" s="10"/>
    </row>
    <row r="41" spans="1:7" x14ac:dyDescent="0.2">
      <c r="A41" s="10"/>
      <c r="B41" s="10"/>
      <c r="C41" s="10"/>
      <c r="D41" s="10"/>
      <c r="E41" s="10"/>
      <c r="F41" s="10"/>
    </row>
    <row r="42" spans="1:7" x14ac:dyDescent="0.2">
      <c r="A42" s="10"/>
      <c r="B42" s="10"/>
      <c r="C42" s="10"/>
      <c r="D42" s="10"/>
      <c r="E42" s="10"/>
      <c r="F42" s="10"/>
    </row>
    <row r="43" spans="1:7" x14ac:dyDescent="0.2">
      <c r="A43" s="10"/>
      <c r="B43" s="10"/>
      <c r="C43" s="10"/>
      <c r="D43" s="10"/>
      <c r="E43" s="10"/>
      <c r="F43" s="10"/>
    </row>
    <row r="44" spans="1:7" x14ac:dyDescent="0.2">
      <c r="A44" s="10"/>
      <c r="B44" s="10"/>
      <c r="C44" s="10"/>
      <c r="D44" s="10"/>
      <c r="E44" s="10"/>
      <c r="F44" s="10"/>
    </row>
    <row r="45" spans="1:7" x14ac:dyDescent="0.2">
      <c r="A45" s="10"/>
      <c r="B45" s="10"/>
      <c r="C45" s="10"/>
      <c r="D45" s="10"/>
      <c r="E45" s="10"/>
      <c r="F45" s="10"/>
    </row>
    <row r="46" spans="1:7" x14ac:dyDescent="0.2">
      <c r="A46" s="10"/>
      <c r="B46" s="10"/>
      <c r="C46" s="10"/>
      <c r="D46" s="10"/>
      <c r="E46" s="10"/>
      <c r="F46" s="10"/>
    </row>
    <row r="47" spans="1:7" x14ac:dyDescent="0.2">
      <c r="A47" s="10"/>
      <c r="B47" s="10"/>
      <c r="C47" s="10"/>
      <c r="D47" s="10"/>
      <c r="E47" s="10"/>
      <c r="G47" s="10"/>
    </row>
    <row r="48" spans="1:7" x14ac:dyDescent="0.2">
      <c r="A48" s="10"/>
      <c r="B48" s="10"/>
      <c r="C48" s="10"/>
      <c r="D48" s="10"/>
      <c r="E48" s="10"/>
      <c r="F48" s="10"/>
    </row>
    <row r="49" spans="1:7" x14ac:dyDescent="0.2">
      <c r="A49" s="10"/>
      <c r="B49" s="10"/>
      <c r="C49" s="10"/>
      <c r="D49" s="10"/>
      <c r="E49" s="10"/>
      <c r="F49" s="10"/>
    </row>
    <row r="50" spans="1:7" x14ac:dyDescent="0.2">
      <c r="A50" s="10"/>
      <c r="B50" s="10"/>
      <c r="C50" s="10"/>
      <c r="D50" s="10"/>
      <c r="E50" s="10"/>
      <c r="F50" s="10"/>
    </row>
    <row r="51" spans="1:7" x14ac:dyDescent="0.2">
      <c r="A51" s="10"/>
      <c r="B51" s="10"/>
      <c r="C51" s="10"/>
      <c r="D51" s="10"/>
      <c r="E51" s="10"/>
      <c r="G51" s="10"/>
    </row>
    <row r="52" spans="1:7" x14ac:dyDescent="0.2">
      <c r="A52" s="10"/>
      <c r="B52" s="10"/>
      <c r="C52" s="10"/>
      <c r="D52" s="10"/>
      <c r="E52" s="10"/>
      <c r="F52" s="10"/>
    </row>
    <row r="53" spans="1:7" x14ac:dyDescent="0.2">
      <c r="A53" s="10"/>
      <c r="B53" s="10"/>
      <c r="C53" s="10"/>
      <c r="D53" s="10"/>
      <c r="E53" s="10"/>
      <c r="F53" s="10"/>
    </row>
    <row r="54" spans="1:7" x14ac:dyDescent="0.2">
      <c r="A54" s="10"/>
      <c r="B54" s="10"/>
      <c r="C54" s="10"/>
      <c r="D54" s="10"/>
      <c r="E54" s="10"/>
      <c r="F54" s="10"/>
    </row>
    <row r="55" spans="1:7" x14ac:dyDescent="0.2">
      <c r="A55" s="10"/>
      <c r="B55" s="10"/>
      <c r="C55" s="10"/>
      <c r="D55" s="10"/>
      <c r="E55" s="10"/>
      <c r="F55" s="10"/>
    </row>
    <row r="56" spans="1:7" x14ac:dyDescent="0.2">
      <c r="A56" s="10"/>
      <c r="B56" s="10"/>
      <c r="C56" s="10"/>
      <c r="D56" s="10"/>
      <c r="E56" s="10"/>
      <c r="F56" s="10"/>
    </row>
    <row r="57" spans="1:7" x14ac:dyDescent="0.2">
      <c r="A57" s="10"/>
      <c r="B57" s="10"/>
      <c r="C57" s="10"/>
      <c r="D57" s="10"/>
      <c r="E57" s="10"/>
      <c r="F57" s="10"/>
    </row>
    <row r="58" spans="1:7" x14ac:dyDescent="0.2">
      <c r="A58" s="10"/>
      <c r="B58" s="10"/>
      <c r="C58" s="10"/>
      <c r="D58" s="10"/>
      <c r="E58" s="10"/>
      <c r="F58" s="10"/>
    </row>
    <row r="59" spans="1:7" x14ac:dyDescent="0.2">
      <c r="A59" s="10"/>
      <c r="B59" s="10"/>
      <c r="C59" s="10"/>
      <c r="D59" s="10"/>
      <c r="E59" s="10"/>
      <c r="F59" s="10"/>
    </row>
    <row r="60" spans="1:7" x14ac:dyDescent="0.2">
      <c r="A60" s="10"/>
      <c r="B60" s="10"/>
      <c r="C60" s="10"/>
      <c r="D60" s="10"/>
      <c r="E60" s="10"/>
      <c r="F60" s="10"/>
    </row>
    <row r="61" spans="1:7" x14ac:dyDescent="0.2">
      <c r="A61" s="10"/>
      <c r="B61" s="10"/>
      <c r="C61" s="10"/>
      <c r="D61" s="10"/>
      <c r="E61" s="10"/>
      <c r="F61" s="10"/>
    </row>
    <row r="62" spans="1:7" x14ac:dyDescent="0.2">
      <c r="A62" s="10"/>
      <c r="B62" s="10"/>
      <c r="C62" s="10"/>
      <c r="D62" s="10"/>
      <c r="E62" s="10"/>
      <c r="F62" s="10"/>
    </row>
    <row r="63" spans="1:7" x14ac:dyDescent="0.2">
      <c r="A63" s="10"/>
      <c r="B63" s="10"/>
      <c r="C63" s="10"/>
      <c r="D63" s="10"/>
      <c r="E63" s="10"/>
      <c r="F63" s="10"/>
    </row>
    <row r="64" spans="1:7" x14ac:dyDescent="0.2">
      <c r="A64" s="10"/>
      <c r="B64" s="10"/>
      <c r="C64" s="10"/>
      <c r="D64" s="10"/>
      <c r="E64" s="10"/>
      <c r="G64" s="10"/>
    </row>
    <row r="65" spans="1:7" x14ac:dyDescent="0.2">
      <c r="A65" s="10"/>
      <c r="B65" s="10"/>
      <c r="C65" s="10"/>
      <c r="D65" s="10"/>
      <c r="E65" s="10"/>
      <c r="G65" s="10"/>
    </row>
    <row r="66" spans="1:7" x14ac:dyDescent="0.2">
      <c r="A66" s="10"/>
      <c r="B66" s="10"/>
      <c r="C66" s="10"/>
      <c r="D66" s="10"/>
      <c r="E66" s="10"/>
      <c r="F66" s="10"/>
    </row>
    <row r="67" spans="1:7" x14ac:dyDescent="0.2">
      <c r="A67" s="10"/>
      <c r="B67" s="10"/>
      <c r="C67" s="10"/>
      <c r="D67" s="10"/>
      <c r="E67" s="10"/>
      <c r="F67" s="10"/>
    </row>
    <row r="68" spans="1:7" x14ac:dyDescent="0.2">
      <c r="A68" s="10"/>
      <c r="B68" s="10"/>
      <c r="C68" s="10"/>
      <c r="D68" s="10"/>
      <c r="E68" s="10"/>
      <c r="F68" s="10"/>
    </row>
    <row r="69" spans="1:7" x14ac:dyDescent="0.2">
      <c r="A69" s="10"/>
      <c r="B69" s="10"/>
      <c r="C69" s="10"/>
      <c r="D69" s="10"/>
      <c r="E69" s="10"/>
      <c r="F69" s="10"/>
    </row>
    <row r="70" spans="1:7" x14ac:dyDescent="0.2">
      <c r="A70" s="10"/>
      <c r="B70" s="10"/>
      <c r="C70" s="10"/>
      <c r="D70" s="10"/>
      <c r="E70" s="10"/>
      <c r="F70" s="10"/>
    </row>
    <row r="71" spans="1:7" x14ac:dyDescent="0.2">
      <c r="A71" s="10"/>
      <c r="B71" s="10"/>
      <c r="C71" s="10"/>
      <c r="D71" s="10"/>
      <c r="E71" s="10"/>
      <c r="F71" s="10"/>
    </row>
    <row r="72" spans="1:7" x14ac:dyDescent="0.2">
      <c r="A72" s="10"/>
      <c r="B72" s="10"/>
      <c r="C72" s="10"/>
      <c r="D72" s="10"/>
      <c r="E72" s="10"/>
      <c r="F72" s="10"/>
    </row>
    <row r="73" spans="1:7" x14ac:dyDescent="0.2">
      <c r="A73" s="10"/>
      <c r="B73" s="10"/>
      <c r="C73" s="10"/>
      <c r="D73" s="10"/>
      <c r="E73" s="10"/>
      <c r="F73" s="10"/>
    </row>
    <row r="74" spans="1:7" x14ac:dyDescent="0.2">
      <c r="A74" s="10"/>
      <c r="B74" s="10"/>
      <c r="C74" s="10"/>
      <c r="D74" s="10"/>
      <c r="E74" s="10"/>
      <c r="F74" s="10"/>
    </row>
    <row r="75" spans="1:7" x14ac:dyDescent="0.2">
      <c r="A75" s="10"/>
      <c r="B75" s="10"/>
      <c r="C75" s="10"/>
      <c r="D75" s="10"/>
      <c r="E75" s="10"/>
      <c r="F75" s="10"/>
    </row>
    <row r="76" spans="1:7" x14ac:dyDescent="0.2">
      <c r="A76" s="10"/>
      <c r="B76" s="10"/>
      <c r="C76" s="10"/>
      <c r="D76" s="10"/>
      <c r="E76" s="10"/>
      <c r="F76" s="10"/>
    </row>
    <row r="77" spans="1:7" x14ac:dyDescent="0.2">
      <c r="A77" s="10"/>
      <c r="B77" s="10"/>
      <c r="C77" s="10"/>
      <c r="D77" s="10"/>
      <c r="E77" s="10"/>
      <c r="F77" s="10"/>
    </row>
    <row r="78" spans="1:7" x14ac:dyDescent="0.2">
      <c r="A78" s="10"/>
      <c r="B78" s="10"/>
      <c r="C78" s="10"/>
      <c r="D78" s="10"/>
      <c r="E78" s="10"/>
      <c r="F78" s="10"/>
    </row>
    <row r="79" spans="1:7" x14ac:dyDescent="0.2">
      <c r="A79" s="10"/>
      <c r="B79" s="10"/>
      <c r="C79" s="10"/>
      <c r="D79" s="10"/>
      <c r="E79" s="10"/>
      <c r="F79" s="10"/>
    </row>
    <row r="80" spans="1:7" x14ac:dyDescent="0.2">
      <c r="A80" s="10"/>
      <c r="B80" s="10"/>
      <c r="C80" s="10"/>
      <c r="D80" s="10"/>
      <c r="E80" s="10"/>
      <c r="F80" s="10"/>
    </row>
    <row r="81" spans="1:7" x14ac:dyDescent="0.2">
      <c r="A81" s="10"/>
      <c r="B81" s="10"/>
      <c r="C81" s="10"/>
      <c r="D81" s="10"/>
      <c r="E81" s="10"/>
      <c r="G81" s="10"/>
    </row>
    <row r="82" spans="1:7" x14ac:dyDescent="0.2">
      <c r="A82" s="10"/>
      <c r="B82" s="10"/>
      <c r="C82" s="10"/>
      <c r="D82" s="10"/>
      <c r="E82" s="10"/>
      <c r="F82" s="10"/>
    </row>
    <row r="83" spans="1:7" x14ac:dyDescent="0.2">
      <c r="A83" s="10"/>
      <c r="B83" s="10"/>
      <c r="C83" s="10"/>
      <c r="D83" s="10"/>
      <c r="E83" s="10"/>
      <c r="F83" s="10"/>
    </row>
    <row r="84" spans="1:7" x14ac:dyDescent="0.2">
      <c r="A84" s="10"/>
      <c r="B84" s="10"/>
      <c r="C84" s="10"/>
      <c r="D84" s="10"/>
      <c r="E84" s="10"/>
      <c r="F84" s="10"/>
    </row>
    <row r="85" spans="1:7" x14ac:dyDescent="0.2">
      <c r="A85" s="10"/>
      <c r="B85" s="10"/>
      <c r="C85" s="10"/>
      <c r="D85" s="10"/>
      <c r="E85" s="10"/>
      <c r="F85" s="10"/>
    </row>
    <row r="86" spans="1:7" x14ac:dyDescent="0.2">
      <c r="A86" s="10"/>
      <c r="B86" s="10"/>
      <c r="C86" s="10"/>
      <c r="D86" s="10"/>
      <c r="E86" s="10"/>
      <c r="F86" s="10"/>
    </row>
    <row r="87" spans="1:7" x14ac:dyDescent="0.2">
      <c r="A87" s="10"/>
      <c r="B87" s="10"/>
      <c r="C87" s="10"/>
      <c r="D87" s="10"/>
      <c r="E87" s="10"/>
      <c r="F87" s="10"/>
    </row>
    <row r="88" spans="1:7" x14ac:dyDescent="0.2">
      <c r="A88" s="10"/>
      <c r="B88" s="10"/>
      <c r="C88" s="10"/>
      <c r="D88" s="10"/>
      <c r="E88" s="10"/>
      <c r="F88" s="10"/>
    </row>
    <row r="89" spans="1:7" x14ac:dyDescent="0.2">
      <c r="A89" s="10"/>
      <c r="B89" s="10"/>
      <c r="C89" s="10"/>
      <c r="D89" s="10"/>
      <c r="E89" s="10"/>
      <c r="F89" s="10"/>
    </row>
    <row r="90" spans="1:7" x14ac:dyDescent="0.2">
      <c r="A90" s="10"/>
      <c r="B90" s="10"/>
      <c r="C90" s="10"/>
      <c r="D90" s="10"/>
      <c r="E90" s="10"/>
      <c r="F90" s="10"/>
    </row>
    <row r="91" spans="1:7" x14ac:dyDescent="0.2">
      <c r="A91" s="10"/>
      <c r="B91" s="10"/>
      <c r="C91" s="10"/>
      <c r="D91" s="10"/>
      <c r="E91" s="10"/>
      <c r="F91" s="10"/>
    </row>
    <row r="92" spans="1:7" x14ac:dyDescent="0.2">
      <c r="A92" s="10"/>
      <c r="B92" s="10"/>
      <c r="C92" s="10"/>
      <c r="D92" s="10"/>
      <c r="E92" s="10"/>
      <c r="F92" s="10"/>
    </row>
    <row r="93" spans="1:7" x14ac:dyDescent="0.2">
      <c r="A93" s="10"/>
      <c r="B93" s="10"/>
      <c r="C93" s="10"/>
      <c r="D93" s="10"/>
      <c r="E93" s="10"/>
      <c r="F93" s="10"/>
    </row>
    <row r="94" spans="1:7" x14ac:dyDescent="0.2">
      <c r="A94" s="10"/>
      <c r="B94" s="10"/>
      <c r="C94" s="10"/>
      <c r="D94" s="10"/>
      <c r="E94" s="10"/>
      <c r="F94" s="10"/>
    </row>
    <row r="95" spans="1:7" x14ac:dyDescent="0.2">
      <c r="A95" s="10"/>
      <c r="B95" s="10"/>
      <c r="C95" s="10"/>
      <c r="D95" s="10"/>
      <c r="E95" s="10"/>
      <c r="F95" s="10"/>
    </row>
    <row r="96" spans="1:7" x14ac:dyDescent="0.2">
      <c r="A96" s="10"/>
      <c r="B96" s="10"/>
      <c r="C96" s="10"/>
      <c r="D96" s="10"/>
      <c r="E96" s="10"/>
      <c r="F96" s="10"/>
    </row>
    <row r="97" spans="1:6" x14ac:dyDescent="0.2">
      <c r="A97" s="10"/>
      <c r="B97" s="10"/>
      <c r="C97" s="10"/>
      <c r="D97" s="10"/>
      <c r="E97" s="10"/>
      <c r="F97" s="10"/>
    </row>
    <row r="98" spans="1:6" x14ac:dyDescent="0.2">
      <c r="A98" s="10"/>
      <c r="B98" s="10"/>
      <c r="C98" s="10"/>
      <c r="D98" s="10"/>
      <c r="E98" s="10"/>
      <c r="F98" s="10"/>
    </row>
    <row r="99" spans="1:6" x14ac:dyDescent="0.2">
      <c r="A99" s="10"/>
      <c r="B99" s="10"/>
      <c r="C99" s="10"/>
      <c r="D99" s="10"/>
      <c r="E99" s="10"/>
      <c r="F99" s="10"/>
    </row>
    <row r="100" spans="1:6" x14ac:dyDescent="0.2">
      <c r="A100" s="10"/>
      <c r="B100" s="10"/>
      <c r="C100" s="10"/>
      <c r="D100" s="10"/>
      <c r="E100" s="10"/>
      <c r="F100" s="10"/>
    </row>
    <row r="101" spans="1:6" x14ac:dyDescent="0.2">
      <c r="A101" s="10"/>
      <c r="B101" s="10"/>
      <c r="C101" s="10"/>
      <c r="D101" s="10"/>
      <c r="E101" s="10"/>
      <c r="F101" s="10"/>
    </row>
    <row r="102" spans="1:6" x14ac:dyDescent="0.2">
      <c r="A102" s="10"/>
      <c r="B102" s="10"/>
      <c r="C102" s="10"/>
      <c r="D102" s="10"/>
      <c r="E102" s="10"/>
      <c r="F102" s="10"/>
    </row>
    <row r="103" spans="1:6" x14ac:dyDescent="0.2">
      <c r="A103" s="10"/>
      <c r="B103" s="10"/>
      <c r="C103" s="10"/>
      <c r="D103" s="10"/>
      <c r="E103" s="10"/>
      <c r="F103" s="10"/>
    </row>
    <row r="104" spans="1:6" x14ac:dyDescent="0.2">
      <c r="A104" s="10"/>
      <c r="B104" s="10"/>
      <c r="C104" s="10"/>
      <c r="D104" s="10"/>
      <c r="E104" s="10"/>
      <c r="F104" s="10"/>
    </row>
    <row r="105" spans="1:6" x14ac:dyDescent="0.2">
      <c r="A105" s="10"/>
      <c r="B105" s="10"/>
      <c r="C105" s="10"/>
      <c r="D105" s="10"/>
      <c r="E105" s="10"/>
      <c r="F105" s="10"/>
    </row>
    <row r="106" spans="1:6" x14ac:dyDescent="0.2">
      <c r="A106" s="10"/>
      <c r="B106" s="10"/>
      <c r="C106" s="10"/>
      <c r="D106" s="10"/>
      <c r="E106" s="10"/>
      <c r="F106" s="10"/>
    </row>
    <row r="107" spans="1:6" x14ac:dyDescent="0.2">
      <c r="A107" s="10"/>
      <c r="B107" s="10"/>
      <c r="C107" s="10"/>
      <c r="D107" s="10"/>
      <c r="E107" s="10"/>
      <c r="F107" s="10"/>
    </row>
    <row r="108" spans="1:6" x14ac:dyDescent="0.2">
      <c r="A108" s="10"/>
      <c r="B108" s="10"/>
      <c r="C108" s="10"/>
      <c r="D108" s="10"/>
      <c r="E108" s="10"/>
      <c r="F108" s="10"/>
    </row>
    <row r="109" spans="1:6" x14ac:dyDescent="0.2">
      <c r="A109" s="10"/>
      <c r="B109" s="10"/>
      <c r="C109" s="10"/>
      <c r="D109" s="10"/>
      <c r="E109" s="10"/>
      <c r="F109" s="10"/>
    </row>
    <row r="110" spans="1:6" x14ac:dyDescent="0.2">
      <c r="A110" s="10"/>
      <c r="B110" s="10"/>
      <c r="C110" s="10"/>
      <c r="D110" s="10"/>
      <c r="E110" s="10"/>
      <c r="F110" s="10"/>
    </row>
    <row r="111" spans="1:6" x14ac:dyDescent="0.2">
      <c r="A111" s="10"/>
      <c r="B111" s="10"/>
      <c r="C111" s="10"/>
      <c r="D111" s="10"/>
      <c r="E111" s="10"/>
      <c r="F111" s="10"/>
    </row>
    <row r="112" spans="1:6" x14ac:dyDescent="0.2">
      <c r="A112" s="10"/>
      <c r="B112" s="10"/>
      <c r="C112" s="10"/>
      <c r="D112" s="10"/>
      <c r="E112" s="10"/>
      <c r="F112" s="10"/>
    </row>
    <row r="113" spans="1:6" x14ac:dyDescent="0.2">
      <c r="A113" s="10"/>
      <c r="B113" s="10"/>
      <c r="C113" s="10"/>
      <c r="D113" s="10"/>
      <c r="E113" s="10"/>
      <c r="F113" s="10"/>
    </row>
    <row r="114" spans="1:6" x14ac:dyDescent="0.2">
      <c r="A114" s="10"/>
      <c r="B114" s="10"/>
      <c r="C114" s="10"/>
      <c r="D114" s="10"/>
      <c r="E114" s="10"/>
      <c r="F114" s="10"/>
    </row>
    <row r="115" spans="1:6" x14ac:dyDescent="0.2">
      <c r="A115" s="10"/>
      <c r="B115" s="10"/>
      <c r="C115" s="10"/>
      <c r="D115" s="10"/>
      <c r="E115" s="10"/>
      <c r="F115" s="10"/>
    </row>
    <row r="116" spans="1:6" x14ac:dyDescent="0.2">
      <c r="A116" s="10"/>
      <c r="B116" s="10"/>
      <c r="C116" s="10"/>
      <c r="D116" s="10"/>
      <c r="E116" s="10"/>
      <c r="F116" s="10"/>
    </row>
    <row r="117" spans="1:6" x14ac:dyDescent="0.2">
      <c r="A117" s="10"/>
      <c r="B117" s="10"/>
      <c r="C117" s="10"/>
      <c r="D117" s="10"/>
      <c r="E117" s="10"/>
      <c r="F117" s="10"/>
    </row>
    <row r="118" spans="1:6" x14ac:dyDescent="0.2">
      <c r="A118" s="10"/>
      <c r="B118" s="10"/>
      <c r="C118" s="10"/>
      <c r="D118" s="10"/>
      <c r="E118" s="10"/>
      <c r="F118" s="10"/>
    </row>
    <row r="119" spans="1:6" x14ac:dyDescent="0.2">
      <c r="A119" s="10"/>
      <c r="B119" s="10"/>
      <c r="C119" s="10"/>
      <c r="D119" s="10"/>
      <c r="E119" s="10"/>
      <c r="F119" s="10"/>
    </row>
    <row r="120" spans="1:6" x14ac:dyDescent="0.2">
      <c r="A120" s="10"/>
      <c r="B120" s="10"/>
      <c r="C120" s="10"/>
      <c r="D120" s="10"/>
      <c r="E120" s="10"/>
      <c r="F120" s="10"/>
    </row>
    <row r="121" spans="1:6" x14ac:dyDescent="0.2">
      <c r="A121" s="10"/>
      <c r="B121" s="10"/>
      <c r="C121" s="10"/>
      <c r="D121" s="10"/>
      <c r="E121" s="10"/>
      <c r="F121" s="10"/>
    </row>
    <row r="122" spans="1:6" x14ac:dyDescent="0.2">
      <c r="A122" s="10"/>
      <c r="B122" s="10"/>
      <c r="C122" s="10"/>
      <c r="D122" s="10"/>
      <c r="E122" s="10"/>
      <c r="F122" s="10"/>
    </row>
    <row r="123" spans="1:6" x14ac:dyDescent="0.2">
      <c r="A123" s="10"/>
      <c r="B123" s="10"/>
      <c r="C123" s="10"/>
      <c r="D123" s="10"/>
      <c r="E123" s="10"/>
      <c r="F123" s="10"/>
    </row>
    <row r="124" spans="1:6" x14ac:dyDescent="0.2">
      <c r="A124" s="10"/>
      <c r="B124" s="10"/>
      <c r="C124" s="10"/>
      <c r="D124" s="10"/>
      <c r="E124" s="10"/>
      <c r="F124" s="10"/>
    </row>
    <row r="125" spans="1:6" x14ac:dyDescent="0.2">
      <c r="A125" s="10"/>
      <c r="B125" s="10"/>
      <c r="C125" s="10"/>
      <c r="D125" s="10"/>
      <c r="E125" s="10"/>
      <c r="F125" s="10"/>
    </row>
    <row r="126" spans="1:6" x14ac:dyDescent="0.2">
      <c r="A126" s="10"/>
      <c r="B126" s="10"/>
      <c r="C126" s="10"/>
      <c r="D126" s="10"/>
      <c r="E126" s="10"/>
      <c r="F126" s="10"/>
    </row>
    <row r="127" spans="1:6" x14ac:dyDescent="0.2">
      <c r="A127" s="10"/>
      <c r="B127" s="10"/>
      <c r="C127" s="10"/>
      <c r="D127" s="10"/>
      <c r="E127" s="10"/>
      <c r="F127" s="10"/>
    </row>
    <row r="128" spans="1:6" x14ac:dyDescent="0.2">
      <c r="A128" s="10"/>
      <c r="B128" s="10"/>
      <c r="C128" s="10"/>
      <c r="D128" s="10"/>
      <c r="E128" s="10"/>
      <c r="F128" s="10"/>
    </row>
    <row r="129" spans="1:6" x14ac:dyDescent="0.2">
      <c r="A129" s="10"/>
      <c r="B129" s="10"/>
      <c r="C129" s="10"/>
      <c r="D129" s="10"/>
      <c r="E129" s="10"/>
      <c r="F129" s="10"/>
    </row>
    <row r="130" spans="1:6" x14ac:dyDescent="0.2">
      <c r="A130" s="10"/>
      <c r="B130" s="10"/>
      <c r="C130" s="10"/>
      <c r="D130" s="10"/>
      <c r="E130" s="10"/>
      <c r="F130" s="10"/>
    </row>
    <row r="131" spans="1:6" x14ac:dyDescent="0.2">
      <c r="A131" s="10"/>
      <c r="B131" s="10"/>
      <c r="C131" s="10"/>
      <c r="D131" s="10"/>
      <c r="E131" s="10"/>
      <c r="F131" s="10"/>
    </row>
    <row r="132" spans="1:6" x14ac:dyDescent="0.2">
      <c r="A132" s="10"/>
      <c r="B132" s="10"/>
      <c r="C132" s="10"/>
      <c r="D132" s="10"/>
      <c r="E132" s="10"/>
      <c r="F132" s="10"/>
    </row>
    <row r="133" spans="1:6" x14ac:dyDescent="0.2">
      <c r="A133" s="10"/>
      <c r="B133" s="10"/>
      <c r="C133" s="10"/>
      <c r="D133" s="10"/>
      <c r="E133" s="10"/>
      <c r="F133" s="10"/>
    </row>
    <row r="134" spans="1:6" x14ac:dyDescent="0.2">
      <c r="A134" s="10"/>
      <c r="B134" s="10"/>
      <c r="C134" s="10"/>
      <c r="D134" s="10"/>
      <c r="E134" s="10"/>
      <c r="F134" s="10"/>
    </row>
    <row r="135" spans="1:6" x14ac:dyDescent="0.2">
      <c r="A135" s="10"/>
      <c r="B135" s="10"/>
      <c r="C135" s="10"/>
      <c r="D135" s="10"/>
      <c r="E135" s="10"/>
      <c r="F135" s="10"/>
    </row>
    <row r="136" spans="1:6" x14ac:dyDescent="0.2">
      <c r="A136" s="10"/>
      <c r="B136" s="10"/>
      <c r="C136" s="10"/>
      <c r="D136" s="10"/>
      <c r="E136" s="10"/>
      <c r="F136" s="10"/>
    </row>
    <row r="137" spans="1:6" x14ac:dyDescent="0.2">
      <c r="A137" s="10"/>
      <c r="B137" s="10"/>
      <c r="C137" s="10"/>
      <c r="D137" s="10"/>
      <c r="E137" s="10"/>
      <c r="F137" s="10"/>
    </row>
    <row r="138" spans="1:6" x14ac:dyDescent="0.2">
      <c r="A138" s="10"/>
      <c r="B138" s="10"/>
      <c r="C138" s="10"/>
      <c r="D138" s="10"/>
      <c r="E138" s="10"/>
      <c r="F138" s="10"/>
    </row>
    <row r="139" spans="1:6" x14ac:dyDescent="0.2">
      <c r="A139" s="10"/>
      <c r="B139" s="10"/>
      <c r="C139" s="10"/>
      <c r="D139" s="10"/>
      <c r="E139" s="10"/>
      <c r="F139" s="10"/>
    </row>
    <row r="140" spans="1:6" x14ac:dyDescent="0.2">
      <c r="A140" s="10"/>
      <c r="B140" s="10"/>
      <c r="C140" s="10"/>
      <c r="D140" s="10"/>
      <c r="E140" s="10"/>
      <c r="F140" s="10"/>
    </row>
    <row r="141" spans="1:6" x14ac:dyDescent="0.2">
      <c r="A141" s="10"/>
      <c r="B141" s="10"/>
      <c r="C141" s="10"/>
      <c r="D141" s="10"/>
      <c r="E141" s="10"/>
      <c r="F141" s="10"/>
    </row>
    <row r="142" spans="1:6" x14ac:dyDescent="0.2">
      <c r="A142" s="10"/>
      <c r="B142" s="10"/>
      <c r="C142" s="10"/>
      <c r="D142" s="10"/>
      <c r="E142" s="10"/>
      <c r="F142" s="10"/>
    </row>
    <row r="143" spans="1:6" x14ac:dyDescent="0.2">
      <c r="A143" s="10"/>
      <c r="B143" s="10"/>
      <c r="C143" s="10"/>
      <c r="D143" s="10"/>
      <c r="E143" s="10"/>
      <c r="F143" s="10"/>
    </row>
    <row r="144" spans="1:6" x14ac:dyDescent="0.2">
      <c r="A144" s="10"/>
      <c r="B144" s="10"/>
      <c r="C144" s="10"/>
      <c r="D144" s="10"/>
      <c r="E144" s="10"/>
      <c r="F144" s="10"/>
    </row>
    <row r="145" spans="1:7" x14ac:dyDescent="0.2">
      <c r="A145" s="10"/>
      <c r="B145" s="10"/>
      <c r="C145" s="10"/>
      <c r="D145" s="10"/>
      <c r="E145" s="10"/>
      <c r="F145" s="10"/>
    </row>
    <row r="146" spans="1:7" x14ac:dyDescent="0.2">
      <c r="A146" s="10"/>
      <c r="B146" s="10"/>
      <c r="C146" s="10"/>
      <c r="D146" s="10"/>
      <c r="E146" s="10"/>
      <c r="F146" s="10"/>
    </row>
    <row r="147" spans="1:7" x14ac:dyDescent="0.2">
      <c r="A147" s="10"/>
      <c r="B147" s="10"/>
      <c r="C147" s="10"/>
      <c r="D147" s="10"/>
      <c r="E147" s="10"/>
      <c r="F147" s="10"/>
    </row>
    <row r="148" spans="1:7" x14ac:dyDescent="0.2">
      <c r="A148" s="10"/>
      <c r="B148" s="10"/>
      <c r="C148" s="10"/>
      <c r="D148" s="10"/>
      <c r="E148" s="10"/>
      <c r="F148" s="10"/>
    </row>
    <row r="149" spans="1:7" x14ac:dyDescent="0.2">
      <c r="A149" s="10"/>
      <c r="B149" s="10"/>
      <c r="C149" s="10"/>
      <c r="D149" s="10"/>
      <c r="E149" s="10"/>
      <c r="F149" s="10"/>
    </row>
    <row r="150" spans="1:7" x14ac:dyDescent="0.2">
      <c r="A150" s="10"/>
      <c r="B150" s="10"/>
      <c r="C150" s="10"/>
      <c r="D150" s="10"/>
      <c r="E150" s="10"/>
      <c r="F150" s="10"/>
    </row>
    <row r="151" spans="1:7" x14ac:dyDescent="0.2">
      <c r="A151" s="10"/>
      <c r="B151" s="10"/>
      <c r="C151" s="10"/>
      <c r="D151" s="10"/>
      <c r="E151" s="10"/>
      <c r="F151" s="10"/>
    </row>
    <row r="152" spans="1:7" x14ac:dyDescent="0.2">
      <c r="A152" s="10"/>
      <c r="B152" s="10"/>
      <c r="C152" s="10"/>
      <c r="D152" s="10"/>
      <c r="E152" s="10"/>
      <c r="F152" s="10"/>
    </row>
    <row r="153" spans="1:7" x14ac:dyDescent="0.2">
      <c r="A153" s="10"/>
      <c r="B153" s="10"/>
      <c r="C153" s="10"/>
      <c r="D153" s="10"/>
      <c r="E153" s="10"/>
      <c r="F153" s="10"/>
    </row>
    <row r="154" spans="1:7" x14ac:dyDescent="0.2">
      <c r="A154" s="10"/>
      <c r="B154" s="10"/>
      <c r="C154" s="10"/>
      <c r="D154" s="10"/>
      <c r="E154" s="10"/>
      <c r="F154" s="10"/>
    </row>
    <row r="155" spans="1:7" x14ac:dyDescent="0.2">
      <c r="A155" s="10"/>
      <c r="B155" s="10"/>
      <c r="C155" s="10"/>
      <c r="D155" s="10"/>
      <c r="E155" s="10"/>
      <c r="F155" s="10"/>
    </row>
    <row r="156" spans="1:7" x14ac:dyDescent="0.2">
      <c r="A156" s="10"/>
      <c r="B156" s="10"/>
      <c r="C156" s="10"/>
      <c r="D156" s="10"/>
      <c r="E156" s="10"/>
      <c r="F156" s="10"/>
    </row>
    <row r="157" spans="1:7" x14ac:dyDescent="0.2">
      <c r="A157" s="10"/>
      <c r="B157" s="10"/>
      <c r="C157" s="10"/>
      <c r="D157" s="10"/>
      <c r="E157" s="10"/>
      <c r="F157" s="10"/>
    </row>
    <row r="158" spans="1:7" x14ac:dyDescent="0.2">
      <c r="A158" s="10"/>
      <c r="B158" s="10"/>
      <c r="C158" s="10"/>
      <c r="D158" s="10"/>
      <c r="E158" s="10"/>
      <c r="G158" s="10"/>
    </row>
    <row r="159" spans="1:7" x14ac:dyDescent="0.2">
      <c r="A159" s="10"/>
      <c r="B159" s="10"/>
      <c r="C159" s="10"/>
      <c r="D159" s="10"/>
      <c r="E159" s="10"/>
      <c r="F159" s="10"/>
    </row>
    <row r="160" spans="1:7" x14ac:dyDescent="0.2">
      <c r="A160" s="10"/>
      <c r="B160" s="10"/>
      <c r="C160" s="10"/>
      <c r="D160" s="10"/>
      <c r="E160" s="10"/>
      <c r="F160" s="10"/>
    </row>
    <row r="161" spans="1:7" x14ac:dyDescent="0.2">
      <c r="A161" s="10"/>
      <c r="B161" s="10"/>
      <c r="C161" s="10"/>
      <c r="D161" s="10"/>
      <c r="E161" s="10"/>
      <c r="F161" s="10"/>
    </row>
    <row r="162" spans="1:7" x14ac:dyDescent="0.2">
      <c r="A162" s="10"/>
      <c r="B162" s="10"/>
      <c r="C162" s="10"/>
      <c r="D162" s="10"/>
      <c r="E162" s="10"/>
      <c r="F162" s="10"/>
    </row>
    <row r="163" spans="1:7" x14ac:dyDescent="0.2">
      <c r="A163" s="10"/>
      <c r="B163" s="10"/>
      <c r="C163" s="10"/>
      <c r="D163" s="10"/>
      <c r="E163" s="10"/>
      <c r="F163" s="10"/>
    </row>
    <row r="164" spans="1:7" x14ac:dyDescent="0.2">
      <c r="A164" s="10"/>
      <c r="B164" s="10"/>
      <c r="C164" s="10"/>
      <c r="D164" s="10"/>
      <c r="E164" s="10"/>
      <c r="F164" s="10"/>
    </row>
    <row r="165" spans="1:7" x14ac:dyDescent="0.2">
      <c r="A165" s="10"/>
      <c r="B165" s="10"/>
      <c r="C165" s="10"/>
      <c r="D165" s="10"/>
      <c r="E165" s="10"/>
      <c r="F165" s="10"/>
    </row>
    <row r="166" spans="1:7" x14ac:dyDescent="0.2">
      <c r="A166" s="10"/>
      <c r="B166" s="10"/>
      <c r="C166" s="10"/>
      <c r="D166" s="10"/>
      <c r="E166" s="10"/>
      <c r="F166" s="10"/>
    </row>
    <row r="167" spans="1:7" x14ac:dyDescent="0.2">
      <c r="A167" s="10"/>
      <c r="B167" s="10"/>
      <c r="C167" s="10"/>
      <c r="D167" s="10"/>
      <c r="E167" s="10"/>
      <c r="F167" s="10"/>
    </row>
    <row r="168" spans="1:7" x14ac:dyDescent="0.2">
      <c r="A168" s="10"/>
      <c r="B168" s="10"/>
      <c r="C168" s="10"/>
      <c r="D168" s="10"/>
      <c r="E168" s="10"/>
      <c r="F168" s="10"/>
    </row>
    <row r="169" spans="1:7" x14ac:dyDescent="0.2">
      <c r="A169" s="10"/>
      <c r="B169" s="10"/>
      <c r="C169" s="10"/>
      <c r="D169" s="10"/>
      <c r="E169" s="10"/>
      <c r="F169" s="10"/>
    </row>
    <row r="170" spans="1:7" x14ac:dyDescent="0.2">
      <c r="A170" s="10"/>
      <c r="B170" s="10"/>
      <c r="C170" s="10"/>
      <c r="D170" s="10"/>
      <c r="E170" s="10"/>
      <c r="F170" s="10"/>
    </row>
    <row r="171" spans="1:7" x14ac:dyDescent="0.2">
      <c r="A171" s="10"/>
      <c r="B171" s="10"/>
      <c r="C171" s="10"/>
      <c r="D171" s="10"/>
      <c r="E171" s="10"/>
      <c r="G171" s="10"/>
    </row>
    <row r="172" spans="1:7" x14ac:dyDescent="0.2">
      <c r="A172" s="10"/>
      <c r="B172" s="10"/>
      <c r="C172" s="10"/>
      <c r="D172" s="10"/>
      <c r="E172" s="10"/>
      <c r="F172" s="10"/>
    </row>
    <row r="173" spans="1:7" x14ac:dyDescent="0.2">
      <c r="A173" s="10"/>
      <c r="B173" s="10"/>
      <c r="C173" s="10"/>
      <c r="D173" s="10"/>
      <c r="E173" s="10"/>
      <c r="G173" s="10"/>
    </row>
    <row r="174" spans="1:7" x14ac:dyDescent="0.2">
      <c r="A174" s="10"/>
      <c r="B174" s="10"/>
      <c r="C174" s="10"/>
      <c r="D174" s="10"/>
      <c r="E174" s="10"/>
      <c r="G174" s="10"/>
    </row>
    <row r="175" spans="1:7" x14ac:dyDescent="0.2">
      <c r="A175" s="10"/>
      <c r="B175" s="10"/>
      <c r="C175" s="10"/>
      <c r="D175" s="10"/>
      <c r="E175" s="10"/>
      <c r="F175" s="10"/>
    </row>
    <row r="176" spans="1:7" x14ac:dyDescent="0.2">
      <c r="A176" s="10"/>
      <c r="B176" s="10"/>
      <c r="C176" s="10"/>
      <c r="D176" s="10"/>
      <c r="E176" s="10"/>
      <c r="G176" s="10"/>
    </row>
    <row r="177" spans="1:6" x14ac:dyDescent="0.2">
      <c r="A177" s="10"/>
      <c r="B177" s="10"/>
      <c r="C177" s="10"/>
      <c r="D177" s="10"/>
      <c r="E177" s="10"/>
      <c r="F177" s="10"/>
    </row>
    <row r="178" spans="1:6" x14ac:dyDescent="0.2">
      <c r="A178" s="10"/>
      <c r="B178" s="10"/>
      <c r="C178" s="10"/>
      <c r="D178" s="10"/>
      <c r="E178" s="10"/>
      <c r="F178" s="10"/>
    </row>
    <row r="179" spans="1:6" x14ac:dyDescent="0.2">
      <c r="A179" s="10"/>
      <c r="B179" s="10"/>
      <c r="C179" s="10"/>
      <c r="D179" s="10"/>
      <c r="E179" s="10"/>
      <c r="F179" s="10"/>
    </row>
    <row r="180" spans="1:6" x14ac:dyDescent="0.2">
      <c r="A180" s="10"/>
      <c r="B180" s="10"/>
      <c r="C180" s="10"/>
      <c r="D180" s="10"/>
      <c r="E180" s="10"/>
      <c r="F180" s="10"/>
    </row>
    <row r="181" spans="1:6" x14ac:dyDescent="0.2">
      <c r="A181" s="10"/>
      <c r="B181" s="10"/>
      <c r="C181" s="10"/>
      <c r="D181" s="10"/>
      <c r="E181" s="10"/>
      <c r="F181" s="10"/>
    </row>
    <row r="182" spans="1:6" x14ac:dyDescent="0.2">
      <c r="A182" s="10"/>
      <c r="B182" s="10"/>
      <c r="C182" s="10"/>
      <c r="D182" s="10"/>
      <c r="E182" s="10"/>
      <c r="F182" s="10"/>
    </row>
    <row r="183" spans="1:6" x14ac:dyDescent="0.2">
      <c r="A183" s="10"/>
      <c r="B183" s="10"/>
      <c r="C183" s="10"/>
      <c r="D183" s="10"/>
      <c r="E183" s="10"/>
      <c r="F183" s="10"/>
    </row>
    <row r="184" spans="1:6" x14ac:dyDescent="0.2">
      <c r="A184" s="10"/>
      <c r="B184" s="10"/>
      <c r="C184" s="10"/>
      <c r="D184" s="10"/>
      <c r="E184" s="10"/>
      <c r="F184" s="10"/>
    </row>
    <row r="185" spans="1:6" x14ac:dyDescent="0.2">
      <c r="A185" s="10"/>
      <c r="B185" s="10"/>
      <c r="C185" s="10"/>
      <c r="D185" s="10"/>
      <c r="E185" s="10"/>
      <c r="F185" s="10"/>
    </row>
    <row r="186" spans="1:6" x14ac:dyDescent="0.2">
      <c r="A186" s="10"/>
      <c r="B186" s="10"/>
      <c r="C186" s="10"/>
      <c r="D186" s="10"/>
      <c r="E186" s="10"/>
      <c r="F186" s="10"/>
    </row>
    <row r="187" spans="1:6" x14ac:dyDescent="0.2">
      <c r="A187" s="10"/>
      <c r="B187" s="10"/>
      <c r="C187" s="10"/>
      <c r="D187" s="10"/>
      <c r="E187" s="10"/>
      <c r="F187" s="10"/>
    </row>
    <row r="188" spans="1:6" x14ac:dyDescent="0.2">
      <c r="A188" s="10"/>
      <c r="B188" s="10"/>
      <c r="C188" s="10"/>
      <c r="D188" s="10"/>
      <c r="E188" s="10"/>
      <c r="F188" s="10"/>
    </row>
    <row r="189" spans="1:6" x14ac:dyDescent="0.2">
      <c r="A189" s="10"/>
      <c r="B189" s="10"/>
      <c r="C189" s="10"/>
      <c r="D189" s="10"/>
      <c r="E189" s="10"/>
      <c r="F189" s="10"/>
    </row>
    <row r="190" spans="1:6" x14ac:dyDescent="0.2">
      <c r="A190" s="10"/>
      <c r="B190" s="10"/>
      <c r="C190" s="10"/>
      <c r="D190" s="10"/>
      <c r="E190" s="10"/>
      <c r="F190" s="10"/>
    </row>
    <row r="191" spans="1:6" x14ac:dyDescent="0.2">
      <c r="A191" s="10"/>
      <c r="B191" s="10"/>
      <c r="C191" s="10"/>
      <c r="D191" s="10"/>
      <c r="E191" s="10"/>
      <c r="F191" s="10"/>
    </row>
    <row r="192" spans="1:6" x14ac:dyDescent="0.2">
      <c r="A192" s="10"/>
      <c r="B192" s="10"/>
      <c r="C192" s="10"/>
      <c r="D192" s="10"/>
      <c r="E192" s="10"/>
      <c r="F192" s="10"/>
    </row>
    <row r="193" spans="1:7" x14ac:dyDescent="0.2">
      <c r="A193" s="10"/>
      <c r="B193" s="10"/>
      <c r="C193" s="10"/>
      <c r="D193" s="10"/>
      <c r="E193" s="10"/>
      <c r="F193" s="10"/>
    </row>
    <row r="194" spans="1:7" x14ac:dyDescent="0.2">
      <c r="A194" s="10"/>
      <c r="B194" s="10"/>
      <c r="C194" s="10"/>
      <c r="D194" s="10"/>
      <c r="E194" s="10"/>
      <c r="G194" s="10"/>
    </row>
    <row r="195" spans="1:7" x14ac:dyDescent="0.2">
      <c r="A195" s="10"/>
      <c r="B195" s="10"/>
    </row>
    <row r="196" spans="1:7" x14ac:dyDescent="0.2">
      <c r="A196" s="10"/>
    </row>
    <row r="197" spans="1:7" x14ac:dyDescent="0.2">
      <c r="A197" s="10"/>
    </row>
    <row r="198" spans="1:7" x14ac:dyDescent="0.2">
      <c r="A198" s="10"/>
      <c r="B198" s="10"/>
      <c r="C198" s="10"/>
      <c r="D198" s="10"/>
      <c r="E198" s="10"/>
      <c r="F198" s="10"/>
    </row>
    <row r="199" spans="1:7" x14ac:dyDescent="0.2">
      <c r="A199" s="10"/>
      <c r="B199" s="10"/>
      <c r="C199" s="10"/>
      <c r="D199" s="10"/>
      <c r="E199" s="10"/>
      <c r="F199" s="10"/>
    </row>
    <row r="200" spans="1:7" x14ac:dyDescent="0.2">
      <c r="A200" s="10"/>
      <c r="B200" s="10"/>
      <c r="C200" s="10"/>
      <c r="D200" s="10"/>
      <c r="E200" s="10"/>
      <c r="F200" s="10"/>
    </row>
    <row r="201" spans="1:7" x14ac:dyDescent="0.2">
      <c r="A201" s="10"/>
      <c r="B201" s="10"/>
      <c r="C201" s="10"/>
      <c r="D201" s="10"/>
      <c r="E201" s="10"/>
      <c r="F201" s="10"/>
    </row>
    <row r="202" spans="1:7" x14ac:dyDescent="0.2">
      <c r="A202" s="10"/>
      <c r="B202" s="10"/>
      <c r="C202" s="10"/>
      <c r="D202" s="10"/>
      <c r="E202" s="10"/>
      <c r="F202" s="10"/>
    </row>
    <row r="203" spans="1:7" x14ac:dyDescent="0.2">
      <c r="A203" s="10"/>
      <c r="B203" s="10"/>
      <c r="C203" s="10"/>
      <c r="D203" s="10"/>
      <c r="E203" s="10"/>
      <c r="F203" s="10"/>
    </row>
    <row r="204" spans="1:7" x14ac:dyDescent="0.2">
      <c r="A204" s="10"/>
      <c r="B204" s="10"/>
      <c r="C204" s="10"/>
      <c r="D204" s="10"/>
      <c r="E204" s="10"/>
      <c r="F204" s="10"/>
    </row>
    <row r="205" spans="1:7" x14ac:dyDescent="0.2">
      <c r="A205" s="10"/>
      <c r="B205" s="10"/>
      <c r="C205" s="10"/>
      <c r="D205" s="10"/>
      <c r="E205" s="10"/>
      <c r="F205" s="10"/>
    </row>
    <row r="206" spans="1:7" x14ac:dyDescent="0.2">
      <c r="A206" s="10"/>
      <c r="B206" s="10"/>
      <c r="C206" s="10"/>
      <c r="D206" s="10"/>
      <c r="E206" s="10"/>
      <c r="F206" s="10"/>
    </row>
    <row r="207" spans="1:7" x14ac:dyDescent="0.2">
      <c r="A207" s="10"/>
      <c r="B207" s="10"/>
      <c r="C207" s="10"/>
      <c r="D207" s="10"/>
      <c r="E207" s="10"/>
      <c r="F207" s="10"/>
    </row>
    <row r="208" spans="1:7" x14ac:dyDescent="0.2">
      <c r="A208" s="10"/>
      <c r="B208" s="10"/>
      <c r="C208" s="10"/>
      <c r="D208" s="10"/>
      <c r="E208" s="10"/>
      <c r="F208" s="10"/>
    </row>
    <row r="209" spans="1:6" x14ac:dyDescent="0.2">
      <c r="A209" s="10"/>
      <c r="B209" s="10"/>
      <c r="C209" s="10"/>
      <c r="D209" s="10"/>
      <c r="E209" s="10"/>
      <c r="F209" s="10"/>
    </row>
    <row r="210" spans="1:6" x14ac:dyDescent="0.2">
      <c r="A210" s="10"/>
      <c r="B210" s="10"/>
      <c r="C210" s="10"/>
      <c r="D210" s="10"/>
      <c r="E210" s="10"/>
      <c r="F210" s="10"/>
    </row>
    <row r="211" spans="1:6" x14ac:dyDescent="0.2">
      <c r="A211" s="10"/>
      <c r="B211" s="10"/>
      <c r="C211" s="10"/>
      <c r="D211" s="10"/>
      <c r="E211" s="10"/>
      <c r="F211" s="10"/>
    </row>
    <row r="212" spans="1:6" x14ac:dyDescent="0.2">
      <c r="A212" s="10"/>
      <c r="B212" s="10"/>
      <c r="C212" s="10"/>
      <c r="D212" s="10"/>
      <c r="E212" s="10"/>
      <c r="F212" s="10"/>
    </row>
    <row r="213" spans="1:6" x14ac:dyDescent="0.2">
      <c r="A213" s="10"/>
      <c r="B213" s="10"/>
      <c r="C213" s="10"/>
      <c r="D213" s="10"/>
      <c r="E213" s="10"/>
      <c r="F213" s="10"/>
    </row>
    <row r="214" spans="1:6" x14ac:dyDescent="0.2">
      <c r="A214" s="10"/>
      <c r="B214" s="10"/>
      <c r="C214" s="10"/>
      <c r="D214" s="10"/>
      <c r="E214" s="10"/>
      <c r="F214" s="10"/>
    </row>
    <row r="215" spans="1:6" x14ac:dyDescent="0.2">
      <c r="A215" s="10"/>
      <c r="B215" s="10"/>
      <c r="C215" s="10"/>
      <c r="D215" s="10"/>
      <c r="E215" s="10"/>
      <c r="F215" s="10"/>
    </row>
    <row r="216" spans="1:6" x14ac:dyDescent="0.2">
      <c r="A216" s="10"/>
      <c r="B216" s="10"/>
      <c r="C216" s="10"/>
      <c r="D216" s="10"/>
      <c r="E216" s="10"/>
      <c r="F216" s="10"/>
    </row>
    <row r="217" spans="1:6" x14ac:dyDescent="0.2">
      <c r="A217" s="10"/>
      <c r="B217" s="10"/>
      <c r="C217" s="10"/>
      <c r="D217" s="10"/>
      <c r="E217" s="10"/>
      <c r="F217" s="10"/>
    </row>
    <row r="218" spans="1:6" x14ac:dyDescent="0.2">
      <c r="A218" s="10"/>
      <c r="B218" s="10"/>
      <c r="C218" s="10"/>
      <c r="D218" s="10"/>
      <c r="E218" s="10"/>
      <c r="F218" s="10"/>
    </row>
    <row r="219" spans="1:6" x14ac:dyDescent="0.2">
      <c r="A219" s="10"/>
      <c r="B219" s="10"/>
      <c r="C219" s="10"/>
      <c r="D219" s="10"/>
      <c r="E219" s="10"/>
      <c r="F219" s="10"/>
    </row>
    <row r="220" spans="1:6" x14ac:dyDescent="0.2">
      <c r="A220" s="10"/>
      <c r="B220" s="10"/>
      <c r="C220" s="10"/>
      <c r="D220" s="10"/>
      <c r="E220" s="10"/>
      <c r="F220" s="10"/>
    </row>
    <row r="221" spans="1:6" x14ac:dyDescent="0.2">
      <c r="A221" s="10"/>
      <c r="B221" s="10"/>
      <c r="C221" s="10"/>
      <c r="D221" s="10"/>
      <c r="E221" s="10"/>
      <c r="F221" s="10"/>
    </row>
    <row r="222" spans="1:6" x14ac:dyDescent="0.2">
      <c r="A222" s="10"/>
      <c r="B222" s="10"/>
      <c r="C222" s="10"/>
      <c r="D222" s="10"/>
      <c r="E222" s="10"/>
      <c r="F222" s="10"/>
    </row>
    <row r="223" spans="1:6" x14ac:dyDescent="0.2">
      <c r="A223" s="10"/>
      <c r="B223" s="10"/>
      <c r="C223" s="10"/>
      <c r="D223" s="10"/>
      <c r="E223" s="10"/>
      <c r="F223" s="10"/>
    </row>
    <row r="224" spans="1:6" x14ac:dyDescent="0.2">
      <c r="A224" s="10"/>
      <c r="B224" s="10"/>
      <c r="C224" s="10"/>
      <c r="D224" s="10"/>
      <c r="E224" s="10"/>
      <c r="F224" s="10"/>
    </row>
    <row r="225" spans="1:6" x14ac:dyDescent="0.2">
      <c r="A225" s="10"/>
      <c r="B225" s="10"/>
      <c r="C225" s="10"/>
      <c r="D225" s="10"/>
      <c r="E225" s="10"/>
      <c r="F225" s="10"/>
    </row>
    <row r="226" spans="1:6" x14ac:dyDescent="0.2">
      <c r="A226" s="10"/>
      <c r="B226" s="10"/>
      <c r="C226" s="10"/>
      <c r="D226" s="10"/>
      <c r="E226" s="10"/>
      <c r="F226" s="10"/>
    </row>
    <row r="227" spans="1:6" x14ac:dyDescent="0.2">
      <c r="A227" s="10"/>
      <c r="B227" s="10"/>
      <c r="C227" s="10"/>
      <c r="D227" s="10"/>
      <c r="E227" s="10"/>
      <c r="F227" s="10"/>
    </row>
    <row r="228" spans="1:6" x14ac:dyDescent="0.2">
      <c r="A228" s="10"/>
      <c r="B228" s="10"/>
      <c r="C228" s="10"/>
      <c r="D228" s="10"/>
      <c r="E228" s="10"/>
      <c r="F228" s="10"/>
    </row>
    <row r="229" spans="1:6" x14ac:dyDescent="0.2">
      <c r="A229" s="10"/>
      <c r="B229" s="10"/>
      <c r="C229" s="10"/>
      <c r="D229" s="10"/>
      <c r="E229" s="10"/>
      <c r="F229" s="10"/>
    </row>
    <row r="230" spans="1:6" x14ac:dyDescent="0.2">
      <c r="A230" s="10"/>
      <c r="B230" s="10"/>
      <c r="C230" s="10"/>
      <c r="D230" s="10"/>
      <c r="E230" s="10"/>
      <c r="F230" s="10"/>
    </row>
    <row r="231" spans="1:6" x14ac:dyDescent="0.2">
      <c r="A231" s="10"/>
      <c r="B231" s="10"/>
      <c r="C231" s="10"/>
      <c r="D231" s="10"/>
      <c r="E231" s="10"/>
      <c r="F231" s="10"/>
    </row>
    <row r="232" spans="1:6" x14ac:dyDescent="0.2">
      <c r="A232" s="10"/>
      <c r="B232" s="10"/>
      <c r="C232" s="10"/>
      <c r="D232" s="10"/>
      <c r="E232" s="10"/>
      <c r="F232" s="10"/>
    </row>
    <row r="233" spans="1:6" x14ac:dyDescent="0.2">
      <c r="A233" s="10"/>
      <c r="B233" s="10"/>
      <c r="C233" s="10"/>
      <c r="D233" s="10"/>
      <c r="E233" s="10"/>
      <c r="F233" s="10"/>
    </row>
    <row r="234" spans="1:6" x14ac:dyDescent="0.2">
      <c r="A234" s="10"/>
      <c r="B234" s="10"/>
      <c r="C234" s="10"/>
      <c r="D234" s="10"/>
      <c r="E234" s="10"/>
      <c r="F234" s="10"/>
    </row>
    <row r="235" spans="1:6" x14ac:dyDescent="0.2">
      <c r="A235" s="10"/>
      <c r="B235" s="10"/>
      <c r="C235" s="10"/>
      <c r="D235" s="10"/>
      <c r="E235" s="10"/>
      <c r="F235" s="10"/>
    </row>
    <row r="236" spans="1:6" x14ac:dyDescent="0.2">
      <c r="A236" s="10"/>
      <c r="B236" s="10"/>
      <c r="C236" s="10"/>
      <c r="D236" s="10"/>
      <c r="E236" s="10"/>
      <c r="F236" s="10"/>
    </row>
    <row r="237" spans="1:6" x14ac:dyDescent="0.2">
      <c r="A237" s="10"/>
      <c r="B237" s="10"/>
      <c r="C237" s="10"/>
      <c r="D237" s="10"/>
      <c r="E237" s="10"/>
      <c r="F237" s="10"/>
    </row>
    <row r="238" spans="1:6" x14ac:dyDescent="0.2">
      <c r="A238" s="10"/>
      <c r="B238" s="10"/>
      <c r="C238" s="10"/>
      <c r="D238" s="10"/>
      <c r="E238" s="10"/>
      <c r="F238" s="10"/>
    </row>
    <row r="239" spans="1:6" x14ac:dyDescent="0.2">
      <c r="A239" s="10"/>
      <c r="B239" s="10"/>
      <c r="C239" s="10"/>
      <c r="D239" s="10"/>
      <c r="E239" s="10"/>
      <c r="F239" s="10"/>
    </row>
    <row r="240" spans="1:6" x14ac:dyDescent="0.2">
      <c r="A240" s="10"/>
      <c r="B240" s="10"/>
      <c r="C240" s="10"/>
      <c r="D240" s="10"/>
      <c r="E240" s="10"/>
      <c r="F240" s="10"/>
    </row>
    <row r="241" spans="1:7" x14ac:dyDescent="0.2">
      <c r="A241" s="10"/>
      <c r="B241" s="10"/>
      <c r="C241" s="10"/>
      <c r="D241" s="10"/>
      <c r="E241" s="10"/>
      <c r="F241" s="10"/>
    </row>
    <row r="242" spans="1:7" x14ac:dyDescent="0.2">
      <c r="A242" s="10"/>
      <c r="B242" s="10"/>
      <c r="C242" s="10"/>
      <c r="D242" s="10"/>
      <c r="E242" s="10"/>
      <c r="F242" s="10"/>
    </row>
    <row r="243" spans="1:7" x14ac:dyDescent="0.2">
      <c r="A243" s="10"/>
      <c r="B243" s="10"/>
      <c r="C243" s="10"/>
      <c r="D243" s="10"/>
      <c r="E243" s="10"/>
      <c r="F243" s="10"/>
    </row>
    <row r="244" spans="1:7" x14ac:dyDescent="0.2">
      <c r="A244" s="10"/>
      <c r="B244" s="10"/>
      <c r="C244" s="10"/>
      <c r="D244" s="10"/>
      <c r="E244" s="10"/>
      <c r="F244" s="10"/>
    </row>
    <row r="245" spans="1:7" x14ac:dyDescent="0.2">
      <c r="A245" s="10"/>
      <c r="B245" s="10"/>
      <c r="C245" s="10"/>
      <c r="D245" s="10"/>
      <c r="E245" s="10"/>
      <c r="G245" s="10"/>
    </row>
    <row r="246" spans="1:7" x14ac:dyDescent="0.2">
      <c r="A246" s="10"/>
      <c r="B246" s="10"/>
      <c r="C246" s="10"/>
      <c r="D246" s="10"/>
      <c r="E246" s="10"/>
      <c r="F246" s="10"/>
    </row>
    <row r="247" spans="1:7" x14ac:dyDescent="0.2">
      <c r="A247" s="10"/>
      <c r="B247" s="10"/>
      <c r="C247" s="10"/>
      <c r="D247" s="10"/>
      <c r="E247" s="10"/>
      <c r="F247" s="10"/>
    </row>
    <row r="248" spans="1:7" x14ac:dyDescent="0.2">
      <c r="A248" s="10"/>
      <c r="B248" s="10"/>
      <c r="C248" s="10"/>
      <c r="D248" s="10"/>
      <c r="E248" s="10"/>
      <c r="F248" s="10"/>
    </row>
    <row r="249" spans="1:7" x14ac:dyDescent="0.2">
      <c r="A249" s="10"/>
      <c r="B249" s="10"/>
      <c r="C249" s="10"/>
      <c r="D249" s="10"/>
      <c r="E249" s="10"/>
      <c r="F249" s="10"/>
    </row>
    <row r="250" spans="1:7" x14ac:dyDescent="0.2">
      <c r="A250" s="10"/>
      <c r="B250" s="10"/>
      <c r="C250" s="10"/>
      <c r="D250" s="10"/>
      <c r="E250" s="10"/>
      <c r="F250" s="10"/>
    </row>
    <row r="251" spans="1:7" x14ac:dyDescent="0.2">
      <c r="A251" s="10"/>
      <c r="B251" s="10"/>
      <c r="C251" s="10"/>
      <c r="D251" s="10"/>
      <c r="E251" s="10"/>
      <c r="F251" s="10"/>
    </row>
    <row r="252" spans="1:7" x14ac:dyDescent="0.2">
      <c r="A252" s="10"/>
      <c r="B252" s="10"/>
      <c r="C252" s="10"/>
      <c r="D252" s="10"/>
      <c r="E252" s="10"/>
      <c r="F252" s="10"/>
    </row>
    <row r="253" spans="1:7" x14ac:dyDescent="0.2">
      <c r="A253" s="10"/>
      <c r="B253" s="10"/>
      <c r="C253" s="10"/>
      <c r="D253" s="10"/>
      <c r="E253" s="10"/>
      <c r="F253" s="10"/>
    </row>
    <row r="254" spans="1:7" x14ac:dyDescent="0.2">
      <c r="A254" s="10"/>
      <c r="B254" s="10"/>
      <c r="C254" s="10"/>
      <c r="D254" s="10"/>
      <c r="E254" s="10"/>
      <c r="F254" s="10"/>
    </row>
    <row r="255" spans="1:7" x14ac:dyDescent="0.2">
      <c r="A255" s="10"/>
      <c r="B255" s="10"/>
      <c r="C255" s="10"/>
      <c r="D255" s="10"/>
      <c r="E255" s="10"/>
      <c r="F255" s="10"/>
    </row>
    <row r="256" spans="1:7" x14ac:dyDescent="0.2">
      <c r="A256" s="10"/>
      <c r="B256" s="10"/>
      <c r="C256" s="10"/>
      <c r="D256" s="10"/>
      <c r="E256" s="10"/>
      <c r="F256" s="10"/>
    </row>
    <row r="257" spans="1:6" x14ac:dyDescent="0.2">
      <c r="A257" s="10"/>
      <c r="B257" s="10"/>
      <c r="C257" s="10"/>
      <c r="D257" s="10"/>
      <c r="E257" s="10"/>
      <c r="F257" s="10"/>
    </row>
    <row r="258" spans="1:6" x14ac:dyDescent="0.2">
      <c r="A258" s="10"/>
      <c r="B258" s="10"/>
      <c r="C258" s="10"/>
      <c r="D258" s="10"/>
      <c r="E258" s="10"/>
      <c r="F258" s="10"/>
    </row>
    <row r="259" spans="1:6" x14ac:dyDescent="0.2">
      <c r="A259" s="10"/>
      <c r="B259" s="10"/>
      <c r="C259" s="10"/>
      <c r="D259" s="10"/>
      <c r="E259" s="10"/>
      <c r="F259" s="10"/>
    </row>
    <row r="260" spans="1:6" x14ac:dyDescent="0.2">
      <c r="A260" s="10"/>
      <c r="B260" s="10"/>
      <c r="C260" s="10"/>
      <c r="D260" s="10"/>
      <c r="E260" s="10"/>
      <c r="F260" s="10"/>
    </row>
    <row r="261" spans="1:6" x14ac:dyDescent="0.2">
      <c r="A261" s="10"/>
      <c r="B261" s="10"/>
      <c r="C261" s="10"/>
      <c r="D261" s="10"/>
      <c r="E261" s="10"/>
      <c r="F261" s="10"/>
    </row>
    <row r="262" spans="1:6" x14ac:dyDescent="0.2">
      <c r="A262" s="10"/>
      <c r="B262" s="10"/>
      <c r="C262" s="10"/>
      <c r="D262" s="10"/>
      <c r="E262" s="10"/>
      <c r="F262" s="10"/>
    </row>
    <row r="263" spans="1:6" x14ac:dyDescent="0.2">
      <c r="A263" s="10"/>
      <c r="B263" s="10"/>
    </row>
    <row r="264" spans="1:6" x14ac:dyDescent="0.2">
      <c r="A264" s="10"/>
    </row>
    <row r="265" spans="1:6" x14ac:dyDescent="0.2">
      <c r="A265" s="10"/>
    </row>
    <row r="266" spans="1:6" x14ac:dyDescent="0.2">
      <c r="A266" s="10"/>
      <c r="B266" s="10"/>
      <c r="D266" s="10"/>
      <c r="E266" s="10"/>
      <c r="F266" s="10"/>
    </row>
    <row r="267" spans="1:6" x14ac:dyDescent="0.2">
      <c r="A267" s="10"/>
      <c r="B267" s="10"/>
    </row>
    <row r="268" spans="1:6" x14ac:dyDescent="0.2">
      <c r="A268" s="10"/>
    </row>
    <row r="269" spans="1:6" x14ac:dyDescent="0.2">
      <c r="A269" s="10"/>
    </row>
    <row r="270" spans="1:6" x14ac:dyDescent="0.2">
      <c r="A270" s="10"/>
      <c r="B270" s="10"/>
      <c r="D270" s="10"/>
      <c r="E270" s="10"/>
      <c r="F270" s="10"/>
    </row>
    <row r="271" spans="1:6" x14ac:dyDescent="0.2">
      <c r="A271" s="10"/>
      <c r="B271" s="10"/>
    </row>
    <row r="272" spans="1:6" x14ac:dyDescent="0.2">
      <c r="A272" s="10"/>
    </row>
    <row r="273" spans="1:7" x14ac:dyDescent="0.2">
      <c r="A273" s="10"/>
    </row>
    <row r="274" spans="1:7" x14ac:dyDescent="0.2">
      <c r="A274" s="10"/>
      <c r="B274" s="10"/>
      <c r="D274" s="10"/>
      <c r="E274" s="10"/>
      <c r="G274" s="10"/>
    </row>
    <row r="275" spans="1:7" x14ac:dyDescent="0.2">
      <c r="A275" s="10"/>
    </row>
    <row r="276" spans="1:7" x14ac:dyDescent="0.2">
      <c r="A276" s="10"/>
    </row>
    <row r="277" spans="1:7" x14ac:dyDescent="0.2">
      <c r="A277" s="10"/>
    </row>
    <row r="278" spans="1:7" x14ac:dyDescent="0.2">
      <c r="A278" s="10"/>
      <c r="B278" s="10"/>
      <c r="D278" s="10"/>
      <c r="E278" s="10"/>
      <c r="G278" s="10"/>
    </row>
    <row r="279" spans="1:7" x14ac:dyDescent="0.2">
      <c r="A279" s="10"/>
      <c r="B279" s="10"/>
      <c r="D279" s="10"/>
      <c r="E279" s="10"/>
      <c r="G279" s="10"/>
    </row>
    <row r="280" spans="1:7" x14ac:dyDescent="0.2">
      <c r="A280" s="10"/>
      <c r="B280" s="10"/>
      <c r="D280" s="10"/>
      <c r="E280" s="10"/>
      <c r="G280" s="10"/>
    </row>
    <row r="281" spans="1:7" x14ac:dyDescent="0.2">
      <c r="A281" s="10"/>
      <c r="B281" s="10"/>
      <c r="D281" s="10"/>
      <c r="E281" s="10"/>
      <c r="G281" s="10"/>
    </row>
    <row r="282" spans="1:7" x14ac:dyDescent="0.2">
      <c r="A282" s="10"/>
      <c r="B282" s="10"/>
      <c r="D282" s="10"/>
      <c r="E282" s="10"/>
      <c r="G282" s="10"/>
    </row>
    <row r="283" spans="1:7" x14ac:dyDescent="0.2">
      <c r="A283" s="10"/>
      <c r="B283" s="10"/>
      <c r="D283" s="10"/>
      <c r="E283" s="10"/>
      <c r="G283" s="10"/>
    </row>
    <row r="284" spans="1:7" x14ac:dyDescent="0.2">
      <c r="A284" s="10"/>
      <c r="B284" s="10"/>
      <c r="D284" s="10"/>
      <c r="E284" s="10"/>
      <c r="G284" s="10"/>
    </row>
    <row r="285" spans="1:7" x14ac:dyDescent="0.2">
      <c r="A285" s="10"/>
      <c r="B285" s="10"/>
      <c r="D285" s="10"/>
      <c r="E285" s="10"/>
      <c r="G285" s="10"/>
    </row>
    <row r="286" spans="1:7" x14ac:dyDescent="0.2">
      <c r="A286" s="10"/>
      <c r="B286" s="10"/>
      <c r="D286" s="10"/>
      <c r="E286" s="10"/>
      <c r="G286" s="10"/>
    </row>
    <row r="287" spans="1:7" x14ac:dyDescent="0.2">
      <c r="A287" s="10"/>
      <c r="B287" s="10"/>
      <c r="D287" s="10"/>
      <c r="E287" s="10"/>
      <c r="G287" s="10"/>
    </row>
    <row r="288" spans="1:7" x14ac:dyDescent="0.2">
      <c r="A288" s="10"/>
      <c r="B288" s="10"/>
      <c r="D288" s="10"/>
      <c r="E288" s="10"/>
      <c r="G288" s="10"/>
    </row>
    <row r="289" spans="1:7" x14ac:dyDescent="0.2">
      <c r="A289" s="10"/>
      <c r="B289" s="10"/>
      <c r="D289" s="10"/>
      <c r="E289" s="10"/>
      <c r="G289" s="10"/>
    </row>
    <row r="290" spans="1:7" x14ac:dyDescent="0.2">
      <c r="A290" s="10"/>
      <c r="B290" s="10"/>
      <c r="D290" s="10"/>
      <c r="E290" s="10"/>
      <c r="G290" s="10"/>
    </row>
    <row r="291" spans="1:7" x14ac:dyDescent="0.2">
      <c r="A291" s="10"/>
      <c r="B291" s="10"/>
      <c r="D291" s="10"/>
      <c r="E291" s="10"/>
      <c r="G291" s="10"/>
    </row>
    <row r="292" spans="1:7" x14ac:dyDescent="0.2">
      <c r="A292" s="10"/>
      <c r="B292" s="10"/>
      <c r="D292" s="10"/>
      <c r="E292" s="10"/>
      <c r="G292" s="10"/>
    </row>
    <row r="293" spans="1:7" x14ac:dyDescent="0.2">
      <c r="A293" s="10"/>
      <c r="B293" s="10"/>
      <c r="D293" s="10"/>
      <c r="E293" s="10"/>
      <c r="G293" s="10"/>
    </row>
    <row r="294" spans="1:7" x14ac:dyDescent="0.2">
      <c r="A294" s="10"/>
      <c r="B294" s="10"/>
      <c r="D294" s="10"/>
      <c r="E294" s="10"/>
      <c r="G294" s="10"/>
    </row>
    <row r="295" spans="1:7" x14ac:dyDescent="0.2">
      <c r="A295" s="10"/>
      <c r="B295" s="10"/>
      <c r="D295" s="10"/>
      <c r="E295" s="10"/>
      <c r="G295" s="10"/>
    </row>
    <row r="296" spans="1:7" x14ac:dyDescent="0.2">
      <c r="A296" s="10"/>
      <c r="B296" s="10"/>
      <c r="D296" s="10"/>
      <c r="E296" s="10"/>
      <c r="G296" s="10"/>
    </row>
    <row r="297" spans="1:7" x14ac:dyDescent="0.2">
      <c r="A297" s="10"/>
      <c r="B297" s="10"/>
      <c r="D297" s="10"/>
      <c r="E297" s="10"/>
      <c r="G297" s="10"/>
    </row>
    <row r="298" spans="1:7" x14ac:dyDescent="0.2">
      <c r="A298" s="10"/>
      <c r="B298" s="10"/>
      <c r="D298" s="10"/>
      <c r="E298" s="10"/>
      <c r="G298" s="10"/>
    </row>
    <row r="299" spans="1:7" x14ac:dyDescent="0.2">
      <c r="A299" s="10"/>
      <c r="B299" s="10"/>
      <c r="D299" s="10"/>
      <c r="E299" s="10"/>
      <c r="G299" s="10"/>
    </row>
    <row r="300" spans="1:7" x14ac:dyDescent="0.2">
      <c r="A300" s="10"/>
      <c r="B300" s="10"/>
      <c r="D300" s="10"/>
      <c r="E300" s="10"/>
      <c r="G300" s="10"/>
    </row>
    <row r="301" spans="1:7" x14ac:dyDescent="0.2">
      <c r="A301" s="10"/>
      <c r="B301" s="10"/>
      <c r="D301" s="10"/>
      <c r="E301" s="10"/>
      <c r="G301" s="10"/>
    </row>
    <row r="302" spans="1:7" x14ac:dyDescent="0.2">
      <c r="A302" s="10"/>
      <c r="B302" s="10"/>
      <c r="D302" s="10"/>
      <c r="E302" s="10"/>
      <c r="G302" s="10"/>
    </row>
    <row r="303" spans="1:7" x14ac:dyDescent="0.2">
      <c r="A303" s="10"/>
      <c r="B303" s="10"/>
      <c r="D303" s="10"/>
      <c r="E303" s="10"/>
      <c r="G303" s="10"/>
    </row>
    <row r="304" spans="1:7" x14ac:dyDescent="0.2">
      <c r="A304" s="10"/>
      <c r="B304" s="10"/>
      <c r="D304" s="10"/>
      <c r="E304" s="10"/>
      <c r="G304" s="10"/>
    </row>
    <row r="305" spans="1:7" x14ac:dyDescent="0.2">
      <c r="A305" s="10"/>
      <c r="B305" s="10"/>
      <c r="D305" s="10"/>
      <c r="E305" s="10"/>
      <c r="G305" s="10"/>
    </row>
    <row r="306" spans="1:7" x14ac:dyDescent="0.2">
      <c r="A306" s="10"/>
      <c r="B306" s="10"/>
      <c r="D306" s="10"/>
      <c r="E306" s="10"/>
      <c r="G306" s="10"/>
    </row>
    <row r="307" spans="1:7" x14ac:dyDescent="0.2">
      <c r="A307" s="10"/>
      <c r="B307" s="10"/>
      <c r="D307" s="10"/>
      <c r="E307" s="10"/>
      <c r="G307" s="10"/>
    </row>
    <row r="308" spans="1:7" x14ac:dyDescent="0.2">
      <c r="A308" s="10"/>
      <c r="B308" s="10"/>
      <c r="D308" s="10"/>
      <c r="E308" s="10"/>
      <c r="G308" s="10"/>
    </row>
    <row r="309" spans="1:7" x14ac:dyDescent="0.2">
      <c r="A309" s="10"/>
      <c r="B309" s="10"/>
      <c r="D309" s="10"/>
      <c r="E309" s="10"/>
      <c r="G309" s="10"/>
    </row>
    <row r="310" spans="1:7" x14ac:dyDescent="0.2">
      <c r="A310" s="10"/>
      <c r="B310" s="10"/>
      <c r="D310" s="10"/>
      <c r="E310" s="10"/>
      <c r="G310" s="10"/>
    </row>
    <row r="311" spans="1:7" x14ac:dyDescent="0.2">
      <c r="A311" s="10"/>
      <c r="B311" s="10"/>
      <c r="D311" s="10"/>
      <c r="E311" s="10"/>
      <c r="G311" s="10"/>
    </row>
    <row r="312" spans="1:7" x14ac:dyDescent="0.2">
      <c r="A312" s="10"/>
      <c r="B312" s="10"/>
      <c r="D312" s="10"/>
      <c r="E312" s="10"/>
      <c r="G312" s="10"/>
    </row>
    <row r="313" spans="1:7" x14ac:dyDescent="0.2">
      <c r="A313" s="10"/>
      <c r="B313" s="10"/>
      <c r="D313" s="10"/>
      <c r="E313" s="10"/>
      <c r="G313" s="10"/>
    </row>
    <row r="314" spans="1:7" x14ac:dyDescent="0.2">
      <c r="A314" s="10"/>
      <c r="B314" s="10"/>
      <c r="D314" s="10"/>
      <c r="E314" s="10"/>
      <c r="G314" s="10"/>
    </row>
    <row r="315" spans="1:7" x14ac:dyDescent="0.2">
      <c r="A315" s="10"/>
      <c r="B315" s="10"/>
      <c r="D315" s="10"/>
      <c r="E315" s="10"/>
      <c r="G315" s="10"/>
    </row>
    <row r="316" spans="1:7" x14ac:dyDescent="0.2">
      <c r="A316" s="10"/>
    </row>
    <row r="317" spans="1:7" x14ac:dyDescent="0.2">
      <c r="A317" s="10"/>
    </row>
    <row r="318" spans="1:7" x14ac:dyDescent="0.2">
      <c r="A318" s="10"/>
    </row>
    <row r="319" spans="1:7" x14ac:dyDescent="0.2">
      <c r="A319" s="10"/>
      <c r="B319" s="10"/>
      <c r="D319" s="10"/>
      <c r="E319" s="10"/>
      <c r="G319" s="10"/>
    </row>
    <row r="320" spans="1:7" x14ac:dyDescent="0.2">
      <c r="A320" s="10"/>
    </row>
    <row r="321" spans="1:7" x14ac:dyDescent="0.2">
      <c r="A321" s="10"/>
    </row>
    <row r="322" spans="1:7" x14ac:dyDescent="0.2">
      <c r="A322" s="10"/>
    </row>
    <row r="323" spans="1:7" x14ac:dyDescent="0.2">
      <c r="A323" s="10"/>
      <c r="B323" s="10"/>
      <c r="D323" s="10"/>
      <c r="E323" s="10"/>
      <c r="G323" s="10"/>
    </row>
    <row r="324" spans="1:7" x14ac:dyDescent="0.2">
      <c r="A324" s="10"/>
      <c r="B324" s="10"/>
      <c r="D324" s="10"/>
      <c r="E324" s="10"/>
      <c r="G324" s="10"/>
    </row>
    <row r="325" spans="1:7" x14ac:dyDescent="0.2">
      <c r="A325" s="10"/>
    </row>
    <row r="326" spans="1:7" x14ac:dyDescent="0.2">
      <c r="A326" s="10"/>
    </row>
    <row r="327" spans="1:7" x14ac:dyDescent="0.2">
      <c r="A327" s="10"/>
    </row>
    <row r="328" spans="1:7" x14ac:dyDescent="0.2">
      <c r="A328" s="10"/>
      <c r="B328" s="10"/>
      <c r="D328" s="10"/>
      <c r="E328" s="10"/>
      <c r="F328" s="10"/>
    </row>
    <row r="329" spans="1:7" x14ac:dyDescent="0.2">
      <c r="A329" s="10"/>
      <c r="B329" s="10"/>
      <c r="D329" s="10"/>
      <c r="E329" s="10"/>
      <c r="G329" s="10"/>
    </row>
    <row r="330" spans="1:7" x14ac:dyDescent="0.2">
      <c r="A330" s="10"/>
    </row>
    <row r="331" spans="1:7" x14ac:dyDescent="0.2">
      <c r="A331" s="10"/>
    </row>
    <row r="332" spans="1:7" x14ac:dyDescent="0.2">
      <c r="A332" s="10"/>
    </row>
    <row r="333" spans="1:7" x14ac:dyDescent="0.2">
      <c r="A333" s="10"/>
      <c r="B333" s="10"/>
      <c r="C333" s="10"/>
      <c r="D333" s="10"/>
      <c r="E333" s="10"/>
      <c r="F333" s="10"/>
    </row>
    <row r="334" spans="1:7" x14ac:dyDescent="0.2">
      <c r="A334" s="10"/>
      <c r="B334" s="10"/>
      <c r="C334" s="10"/>
      <c r="D334" s="10"/>
      <c r="E334" s="10"/>
      <c r="F334" s="10"/>
    </row>
    <row r="335" spans="1:7" x14ac:dyDescent="0.2">
      <c r="A335" s="10"/>
      <c r="B335" s="10"/>
      <c r="D335" s="10"/>
      <c r="E335" s="10"/>
      <c r="G335" s="10"/>
    </row>
    <row r="336" spans="1:7" x14ac:dyDescent="0.2">
      <c r="A336" s="10"/>
      <c r="B336" s="10"/>
      <c r="D336" s="10"/>
      <c r="E336" s="10"/>
      <c r="F336" s="10"/>
    </row>
    <row r="337" spans="1:7" x14ac:dyDescent="0.2">
      <c r="A337" s="10"/>
      <c r="B337" s="10"/>
      <c r="D337" s="10"/>
      <c r="E337" s="10"/>
      <c r="F337" s="10"/>
    </row>
    <row r="338" spans="1:7" x14ac:dyDescent="0.2">
      <c r="A338" s="10"/>
      <c r="B338" s="10"/>
      <c r="D338" s="10"/>
      <c r="E338" s="10"/>
      <c r="G338" s="10"/>
    </row>
    <row r="339" spans="1:7" x14ac:dyDescent="0.2">
      <c r="A339" s="10"/>
      <c r="B339" s="10"/>
      <c r="D339" s="10"/>
      <c r="E339" s="10"/>
      <c r="G339" s="10"/>
    </row>
    <row r="340" spans="1:7" x14ac:dyDescent="0.2">
      <c r="A340" s="10"/>
      <c r="B340" s="10"/>
      <c r="D340" s="10"/>
      <c r="E340" s="10"/>
      <c r="G340" s="10"/>
    </row>
    <row r="341" spans="1:7" x14ac:dyDescent="0.2">
      <c r="A341" s="10"/>
      <c r="B341" s="10"/>
      <c r="D341" s="10"/>
      <c r="E341" s="10"/>
      <c r="F341" s="10"/>
    </row>
    <row r="342" spans="1:7" x14ac:dyDescent="0.2">
      <c r="A342" s="10"/>
      <c r="B342" s="10"/>
      <c r="D342" s="10"/>
      <c r="E342" s="10"/>
      <c r="G342" s="10"/>
    </row>
    <row r="343" spans="1:7" x14ac:dyDescent="0.2">
      <c r="A343" s="10"/>
      <c r="B343" s="10"/>
      <c r="D343" s="10"/>
      <c r="E343" s="10"/>
      <c r="G343" s="10"/>
    </row>
    <row r="344" spans="1:7" x14ac:dyDescent="0.2">
      <c r="A344" s="10"/>
      <c r="B344" s="10"/>
      <c r="D344" s="10"/>
      <c r="E344" s="10"/>
      <c r="F344" s="10"/>
    </row>
    <row r="345" spans="1:7" x14ac:dyDescent="0.2">
      <c r="A345" s="10"/>
      <c r="B345" s="10"/>
      <c r="D345" s="10"/>
      <c r="E345" s="10"/>
      <c r="G345" s="10"/>
    </row>
    <row r="346" spans="1:7" x14ac:dyDescent="0.2">
      <c r="A346" s="10"/>
      <c r="B346" s="10"/>
      <c r="D346" s="10"/>
      <c r="E346" s="10"/>
      <c r="G346" s="10"/>
    </row>
    <row r="347" spans="1:7" x14ac:dyDescent="0.2">
      <c r="A347" s="10"/>
      <c r="B347" s="10"/>
      <c r="D347" s="10"/>
      <c r="E347" s="10"/>
      <c r="F347" s="10"/>
    </row>
    <row r="348" spans="1:7" x14ac:dyDescent="0.2">
      <c r="A348" s="10"/>
      <c r="B348" s="10"/>
      <c r="D348" s="10"/>
      <c r="E348" s="10"/>
      <c r="F348" s="10"/>
    </row>
    <row r="349" spans="1:7" x14ac:dyDescent="0.2">
      <c r="A349" s="10"/>
      <c r="B349" s="10"/>
      <c r="D349" s="10"/>
      <c r="E349" s="10"/>
      <c r="G349" s="10"/>
    </row>
    <row r="350" spans="1:7" x14ac:dyDescent="0.2">
      <c r="A350" s="10"/>
      <c r="B350" s="10"/>
      <c r="D350" s="10"/>
      <c r="E350" s="10"/>
      <c r="F350" s="10"/>
    </row>
    <row r="351" spans="1:7" x14ac:dyDescent="0.2">
      <c r="A351" s="10"/>
      <c r="B351" s="10"/>
      <c r="D351" s="10"/>
      <c r="E351" s="10"/>
      <c r="F351" s="10"/>
    </row>
    <row r="352" spans="1:7" x14ac:dyDescent="0.2">
      <c r="A352" s="10"/>
      <c r="B352" s="10"/>
      <c r="C352" s="10"/>
      <c r="D352" s="10"/>
      <c r="E352" s="10"/>
      <c r="F352" s="10"/>
    </row>
    <row r="353" spans="1:7" x14ac:dyDescent="0.2">
      <c r="A353" s="10"/>
      <c r="B353" s="10"/>
      <c r="D353" s="10"/>
      <c r="E353" s="10"/>
      <c r="F353" s="10"/>
    </row>
    <row r="354" spans="1:7" x14ac:dyDescent="0.2">
      <c r="A354" s="10"/>
      <c r="B354" s="10"/>
      <c r="D354" s="10"/>
      <c r="E354" s="10"/>
      <c r="G354" s="10"/>
    </row>
    <row r="355" spans="1:7" x14ac:dyDescent="0.2">
      <c r="A355" s="10"/>
    </row>
    <row r="356" spans="1:7" x14ac:dyDescent="0.2">
      <c r="A356" s="10"/>
    </row>
    <row r="357" spans="1:7" x14ac:dyDescent="0.2">
      <c r="A357" s="10"/>
    </row>
    <row r="358" spans="1:7" x14ac:dyDescent="0.2">
      <c r="A358" s="10"/>
      <c r="B358" s="10"/>
      <c r="D358" s="10"/>
      <c r="E358" s="10"/>
      <c r="G358" s="10"/>
    </row>
    <row r="359" spans="1:7" x14ac:dyDescent="0.2">
      <c r="A359" s="10"/>
      <c r="B359" s="10"/>
      <c r="D359" s="10"/>
      <c r="E359" s="10"/>
      <c r="G359" s="10"/>
    </row>
    <row r="360" spans="1:7" x14ac:dyDescent="0.2">
      <c r="A360" s="10"/>
      <c r="B360" s="10"/>
      <c r="D360" s="10"/>
      <c r="E360" s="10"/>
      <c r="G360" s="10"/>
    </row>
    <row r="361" spans="1:7" x14ac:dyDescent="0.2">
      <c r="A361" s="10"/>
      <c r="B361" s="10"/>
      <c r="D361" s="10"/>
      <c r="E361" s="10"/>
      <c r="G361" s="10"/>
    </row>
    <row r="362" spans="1:7" x14ac:dyDescent="0.2">
      <c r="A362" s="10"/>
      <c r="B362" s="10"/>
      <c r="D362" s="10"/>
      <c r="E362" s="10"/>
      <c r="G362" s="10"/>
    </row>
    <row r="363" spans="1:7" x14ac:dyDescent="0.2">
      <c r="A363" s="10"/>
      <c r="B363" s="10"/>
      <c r="D363" s="10"/>
      <c r="E363" s="10"/>
      <c r="G363" s="10"/>
    </row>
    <row r="364" spans="1:7" x14ac:dyDescent="0.2">
      <c r="A364" s="10"/>
      <c r="B364" s="10"/>
      <c r="D364" s="10"/>
      <c r="E364" s="10"/>
      <c r="G364" s="10"/>
    </row>
    <row r="365" spans="1:7" x14ac:dyDescent="0.2">
      <c r="A365" s="10"/>
      <c r="B365" s="10"/>
      <c r="D365" s="10"/>
      <c r="E365" s="10"/>
      <c r="G365" s="10"/>
    </row>
    <row r="366" spans="1:7" x14ac:dyDescent="0.2">
      <c r="A366" s="10"/>
      <c r="B366" s="10"/>
      <c r="D366" s="10"/>
      <c r="E366" s="10"/>
      <c r="G366" s="10"/>
    </row>
    <row r="367" spans="1:7" x14ac:dyDescent="0.2">
      <c r="A367" s="10"/>
      <c r="B367" s="10"/>
      <c r="D367" s="10"/>
      <c r="E367" s="10"/>
      <c r="G367" s="10"/>
    </row>
    <row r="368" spans="1:7" x14ac:dyDescent="0.2">
      <c r="A368" s="10"/>
      <c r="B368" s="10"/>
      <c r="D368" s="10"/>
      <c r="E368" s="10"/>
      <c r="G368" s="10"/>
    </row>
    <row r="369" spans="1:7" x14ac:dyDescent="0.2">
      <c r="A369" s="10"/>
      <c r="B369" s="10"/>
      <c r="D369" s="10"/>
      <c r="E369" s="10"/>
      <c r="G369" s="10"/>
    </row>
    <row r="370" spans="1:7" x14ac:dyDescent="0.2">
      <c r="A370" s="10"/>
      <c r="B370" s="10"/>
      <c r="D370" s="10"/>
      <c r="E370" s="10"/>
      <c r="G370" s="10"/>
    </row>
    <row r="371" spans="1:7" x14ac:dyDescent="0.2">
      <c r="A371" s="10"/>
      <c r="B371" s="10"/>
      <c r="D371" s="10"/>
      <c r="E371" s="10"/>
      <c r="G371" s="10"/>
    </row>
    <row r="372" spans="1:7" x14ac:dyDescent="0.2">
      <c r="A372" s="10"/>
      <c r="B372" s="10"/>
      <c r="D372" s="10"/>
      <c r="E372" s="10"/>
      <c r="G372" s="10"/>
    </row>
    <row r="373" spans="1:7" x14ac:dyDescent="0.2">
      <c r="A373" s="10"/>
      <c r="B373" s="10"/>
      <c r="D373" s="10"/>
      <c r="E373" s="10"/>
      <c r="G373" s="10"/>
    </row>
    <row r="374" spans="1:7" x14ac:dyDescent="0.2">
      <c r="A374" s="10"/>
      <c r="B374" s="10"/>
      <c r="D374" s="10"/>
      <c r="E374" s="10"/>
      <c r="G374" s="10"/>
    </row>
    <row r="375" spans="1:7" x14ac:dyDescent="0.2">
      <c r="A375" s="10"/>
      <c r="B375" s="10"/>
      <c r="D375" s="10"/>
      <c r="E375" s="10"/>
      <c r="G375" s="10"/>
    </row>
    <row r="376" spans="1:7" x14ac:dyDescent="0.2">
      <c r="A376" s="10"/>
      <c r="B376" s="10"/>
      <c r="D376" s="10"/>
      <c r="E376" s="10"/>
      <c r="G376" s="10"/>
    </row>
    <row r="377" spans="1:7" x14ac:dyDescent="0.2">
      <c r="A377" s="10"/>
      <c r="B377" s="10"/>
      <c r="D377" s="10"/>
      <c r="E377" s="10"/>
      <c r="G377" s="10"/>
    </row>
    <row r="378" spans="1:7" x14ac:dyDescent="0.2">
      <c r="A378" s="10"/>
      <c r="B378" s="10"/>
      <c r="D378" s="10"/>
      <c r="E378" s="10"/>
      <c r="G378" s="10"/>
    </row>
    <row r="379" spans="1:7" x14ac:dyDescent="0.2">
      <c r="A379" s="10"/>
      <c r="B379" s="10"/>
      <c r="D379" s="10"/>
      <c r="E379" s="10"/>
      <c r="G379" s="10"/>
    </row>
    <row r="380" spans="1:7" x14ac:dyDescent="0.2">
      <c r="A380" s="10"/>
      <c r="B380" s="10"/>
      <c r="D380" s="10"/>
      <c r="E380" s="10"/>
      <c r="G380" s="10"/>
    </row>
    <row r="381" spans="1:7" x14ac:dyDescent="0.2">
      <c r="A381" s="10"/>
      <c r="B381" s="10"/>
      <c r="D381" s="10"/>
      <c r="E381" s="10"/>
      <c r="G381" s="10"/>
    </row>
    <row r="382" spans="1:7" x14ac:dyDescent="0.2">
      <c r="A382" s="10"/>
      <c r="B382" s="10"/>
      <c r="D382" s="10"/>
      <c r="E382" s="10"/>
      <c r="G382" s="10"/>
    </row>
    <row r="383" spans="1:7" x14ac:dyDescent="0.2">
      <c r="A383" s="10"/>
      <c r="B383" s="10"/>
      <c r="D383" s="10"/>
      <c r="E383" s="10"/>
      <c r="G383" s="10"/>
    </row>
    <row r="384" spans="1:7" x14ac:dyDescent="0.2">
      <c r="A384" s="10"/>
      <c r="B384" s="10"/>
      <c r="D384" s="10"/>
      <c r="E384" s="10"/>
      <c r="G384" s="10"/>
    </row>
    <row r="385" spans="1:7" x14ac:dyDescent="0.2">
      <c r="A385" s="10"/>
      <c r="B385" s="10"/>
      <c r="D385" s="10"/>
      <c r="E385" s="10"/>
      <c r="G385" s="10"/>
    </row>
    <row r="386" spans="1:7" x14ac:dyDescent="0.2">
      <c r="A386" s="10"/>
      <c r="B386" s="10"/>
      <c r="D386" s="10"/>
      <c r="E386" s="10"/>
      <c r="G386" s="10"/>
    </row>
    <row r="387" spans="1:7" x14ac:dyDescent="0.2">
      <c r="A387" s="10"/>
      <c r="B387" s="10"/>
      <c r="D387" s="10"/>
      <c r="E387" s="10"/>
      <c r="G387" s="10"/>
    </row>
    <row r="388" spans="1:7" x14ac:dyDescent="0.2">
      <c r="A388" s="10"/>
      <c r="B388" s="10"/>
      <c r="D388" s="10"/>
      <c r="E388" s="10"/>
      <c r="G388" s="10"/>
    </row>
    <row r="389" spans="1:7" x14ac:dyDescent="0.2">
      <c r="A389" s="10"/>
      <c r="B389" s="10"/>
      <c r="D389" s="10"/>
      <c r="E389" s="10"/>
      <c r="G389" s="10"/>
    </row>
    <row r="390" spans="1:7" x14ac:dyDescent="0.2">
      <c r="A390" s="10"/>
      <c r="B390" s="10"/>
      <c r="D390" s="10"/>
      <c r="E390" s="10"/>
      <c r="G390" s="10"/>
    </row>
    <row r="391" spans="1:7" x14ac:dyDescent="0.2">
      <c r="A391" s="10"/>
    </row>
    <row r="392" spans="1:7" x14ac:dyDescent="0.2">
      <c r="A392" s="10"/>
    </row>
    <row r="393" spans="1:7" x14ac:dyDescent="0.2">
      <c r="A393" s="10"/>
    </row>
    <row r="394" spans="1:7" x14ac:dyDescent="0.2">
      <c r="A394" s="10"/>
      <c r="B394" s="10"/>
      <c r="D394" s="10"/>
      <c r="E394" s="10"/>
      <c r="G394" s="10"/>
    </row>
    <row r="395" spans="1:7" x14ac:dyDescent="0.2">
      <c r="A395" s="10"/>
      <c r="B395" s="10"/>
      <c r="D395" s="10"/>
      <c r="E395" s="10"/>
      <c r="F395" s="10"/>
    </row>
    <row r="396" spans="1:7" x14ac:dyDescent="0.2">
      <c r="A396" s="10"/>
      <c r="B396" s="10"/>
    </row>
    <row r="397" spans="1:7" x14ac:dyDescent="0.2">
      <c r="A397" s="10"/>
    </row>
    <row r="398" spans="1:7" x14ac:dyDescent="0.2">
      <c r="A398" s="10"/>
    </row>
    <row r="399" spans="1:7" x14ac:dyDescent="0.2">
      <c r="A399" s="10"/>
      <c r="B399" s="10"/>
      <c r="D399" s="10"/>
      <c r="E399" s="10"/>
      <c r="G399" s="10"/>
    </row>
    <row r="400" spans="1:7" x14ac:dyDescent="0.2">
      <c r="A400" s="10"/>
      <c r="B400" s="10"/>
      <c r="D400" s="10"/>
      <c r="E400" s="10"/>
      <c r="G400" s="10"/>
    </row>
    <row r="401" spans="1:7" x14ac:dyDescent="0.2">
      <c r="A401" s="10"/>
      <c r="B401" s="10"/>
      <c r="D401" s="10"/>
      <c r="E401" s="10"/>
      <c r="G401" s="10"/>
    </row>
    <row r="402" spans="1:7" x14ac:dyDescent="0.2">
      <c r="A402" s="10"/>
      <c r="B402" s="10"/>
      <c r="D402" s="10"/>
      <c r="E402" s="10"/>
      <c r="G402" s="10"/>
    </row>
    <row r="403" spans="1:7" x14ac:dyDescent="0.2">
      <c r="A403" s="10"/>
      <c r="B403" s="10"/>
      <c r="D403" s="10"/>
      <c r="E403" s="10"/>
      <c r="G403" s="10"/>
    </row>
    <row r="404" spans="1:7" x14ac:dyDescent="0.2">
      <c r="A404" s="10"/>
      <c r="B404" s="10"/>
      <c r="D404" s="10"/>
      <c r="E404" s="10"/>
      <c r="G404" s="10"/>
    </row>
    <row r="405" spans="1:7" x14ac:dyDescent="0.2">
      <c r="A405" s="10"/>
      <c r="B405" s="10"/>
      <c r="D405" s="10"/>
      <c r="E405" s="10"/>
      <c r="G405" s="10"/>
    </row>
    <row r="406" spans="1:7" x14ac:dyDescent="0.2">
      <c r="A406" s="10"/>
      <c r="B406" s="10"/>
      <c r="D406" s="10"/>
      <c r="E406" s="10"/>
      <c r="G406" s="10"/>
    </row>
    <row r="407" spans="1:7" x14ac:dyDescent="0.2">
      <c r="A407" s="10"/>
      <c r="B407" s="10"/>
      <c r="D407" s="10"/>
      <c r="E407" s="10"/>
      <c r="G407" s="10"/>
    </row>
    <row r="408" spans="1:7" x14ac:dyDescent="0.2">
      <c r="A408" s="10"/>
      <c r="B408" s="10"/>
      <c r="D408" s="10"/>
      <c r="E408" s="10"/>
      <c r="G408" s="10"/>
    </row>
    <row r="409" spans="1:7" x14ac:dyDescent="0.2">
      <c r="A409" s="10"/>
    </row>
    <row r="410" spans="1:7" x14ac:dyDescent="0.2">
      <c r="A410" s="10"/>
    </row>
    <row r="411" spans="1:7" x14ac:dyDescent="0.2">
      <c r="A411" s="10"/>
    </row>
    <row r="412" spans="1:7" x14ac:dyDescent="0.2">
      <c r="A412" s="10"/>
      <c r="B412" s="10"/>
      <c r="D412" s="10"/>
      <c r="E412" s="10"/>
      <c r="G412" s="10"/>
    </row>
    <row r="413" spans="1:7" x14ac:dyDescent="0.2">
      <c r="A413" s="10"/>
      <c r="B413" s="10"/>
      <c r="D413" s="10"/>
      <c r="E413" s="10"/>
      <c r="G413" s="10"/>
    </row>
    <row r="414" spans="1:7" x14ac:dyDescent="0.2">
      <c r="A414" s="10"/>
      <c r="B414" s="10"/>
      <c r="D414" s="10"/>
      <c r="E414" s="10"/>
      <c r="G414" s="10"/>
    </row>
    <row r="415" spans="1:7" x14ac:dyDescent="0.2">
      <c r="A415" s="10"/>
      <c r="B415" s="10"/>
      <c r="D415" s="10"/>
      <c r="E415" s="10"/>
      <c r="G415" s="10"/>
    </row>
    <row r="416" spans="1:7" x14ac:dyDescent="0.2">
      <c r="A416" s="10"/>
      <c r="B416" s="10"/>
      <c r="D416" s="10"/>
      <c r="E416" s="10"/>
      <c r="G416" s="10"/>
    </row>
    <row r="417" spans="1:7" x14ac:dyDescent="0.2">
      <c r="A417" s="10"/>
      <c r="B417" s="10"/>
      <c r="D417" s="10"/>
      <c r="E417" s="10"/>
      <c r="G417" s="10"/>
    </row>
    <row r="418" spans="1:7" x14ac:dyDescent="0.2">
      <c r="A418" s="10"/>
      <c r="B418" s="10"/>
      <c r="D418" s="10"/>
      <c r="E418" s="10"/>
      <c r="G418" s="10"/>
    </row>
    <row r="419" spans="1:7" x14ac:dyDescent="0.2">
      <c r="A419" s="10"/>
      <c r="B419" s="10"/>
      <c r="D419" s="10"/>
      <c r="E419" s="10"/>
      <c r="G419" s="10"/>
    </row>
    <row r="420" spans="1:7" x14ac:dyDescent="0.2">
      <c r="A420" s="10"/>
      <c r="B420" s="10"/>
      <c r="D420" s="10"/>
      <c r="E420" s="10"/>
      <c r="G420" s="10"/>
    </row>
    <row r="421" spans="1:7" x14ac:dyDescent="0.2">
      <c r="A421" s="10"/>
      <c r="B421" s="10"/>
      <c r="D421" s="10"/>
      <c r="E421" s="10"/>
      <c r="G421" s="10"/>
    </row>
    <row r="422" spans="1:7" x14ac:dyDescent="0.2">
      <c r="A422" s="10"/>
      <c r="B422" s="10"/>
      <c r="D422" s="10"/>
      <c r="E422" s="10"/>
      <c r="G422" s="10"/>
    </row>
    <row r="423" spans="1:7" x14ac:dyDescent="0.2">
      <c r="A423" s="10"/>
    </row>
    <row r="424" spans="1:7" x14ac:dyDescent="0.2">
      <c r="A424" s="10"/>
    </row>
    <row r="425" spans="1:7" x14ac:dyDescent="0.2">
      <c r="A425" s="10"/>
    </row>
    <row r="426" spans="1:7" x14ac:dyDescent="0.2">
      <c r="A426" s="10"/>
      <c r="B426" s="10"/>
      <c r="D426" s="10"/>
      <c r="E426" s="10"/>
      <c r="G426" s="10"/>
    </row>
    <row r="427" spans="1:7" x14ac:dyDescent="0.2">
      <c r="A427" s="10"/>
      <c r="B427" s="10"/>
      <c r="D427" s="10"/>
      <c r="E427" s="10"/>
      <c r="G427" s="10"/>
    </row>
    <row r="428" spans="1:7" x14ac:dyDescent="0.2">
      <c r="A428" s="10"/>
      <c r="B428" s="10"/>
      <c r="D428" s="10"/>
      <c r="E428" s="10"/>
      <c r="G428" s="10"/>
    </row>
    <row r="429" spans="1:7" x14ac:dyDescent="0.2">
      <c r="A429" s="10"/>
      <c r="B429" s="10"/>
      <c r="D429" s="10"/>
      <c r="E429" s="10"/>
      <c r="G429" s="10"/>
    </row>
    <row r="430" spans="1:7" x14ac:dyDescent="0.2">
      <c r="A430" s="10"/>
    </row>
    <row r="431" spans="1:7" x14ac:dyDescent="0.2">
      <c r="A431" s="10"/>
    </row>
    <row r="432" spans="1:7" x14ac:dyDescent="0.2">
      <c r="A432" s="10"/>
    </row>
    <row r="433" spans="1:7" x14ac:dyDescent="0.2">
      <c r="A433" s="10"/>
      <c r="B433" s="10"/>
      <c r="D433" s="10"/>
      <c r="E433" s="10"/>
      <c r="G433" s="10"/>
    </row>
    <row r="434" spans="1:7" x14ac:dyDescent="0.2">
      <c r="A434" s="10"/>
      <c r="B434" s="10"/>
      <c r="D434" s="10"/>
      <c r="E434" s="10"/>
      <c r="G434" s="10"/>
    </row>
    <row r="435" spans="1:7" x14ac:dyDescent="0.2">
      <c r="A435" s="10"/>
      <c r="B435" s="10"/>
      <c r="D435" s="10"/>
      <c r="E435" s="10"/>
      <c r="G435" s="10"/>
    </row>
    <row r="436" spans="1:7" x14ac:dyDescent="0.2">
      <c r="A436" s="10"/>
      <c r="B436" s="10"/>
      <c r="D436" s="10"/>
      <c r="E436" s="10"/>
      <c r="G436" s="10"/>
    </row>
    <row r="437" spans="1:7" x14ac:dyDescent="0.2">
      <c r="A437" s="10"/>
      <c r="B437" s="10"/>
      <c r="D437" s="10"/>
      <c r="E437" s="10"/>
      <c r="G437" s="10"/>
    </row>
    <row r="438" spans="1:7" x14ac:dyDescent="0.2">
      <c r="A438" s="10"/>
      <c r="B438" s="10"/>
      <c r="D438" s="10"/>
      <c r="E438" s="10"/>
      <c r="G438" s="10"/>
    </row>
    <row r="439" spans="1:7" x14ac:dyDescent="0.2">
      <c r="A439" s="10"/>
      <c r="B439" s="10"/>
      <c r="D439" s="10"/>
      <c r="E439" s="10"/>
      <c r="G439" s="10"/>
    </row>
    <row r="440" spans="1:7" x14ac:dyDescent="0.2">
      <c r="A440" s="10"/>
      <c r="B440" s="10"/>
      <c r="D440" s="10"/>
      <c r="E440" s="10"/>
      <c r="G440" s="10"/>
    </row>
    <row r="441" spans="1:7" x14ac:dyDescent="0.2">
      <c r="A441" s="10"/>
      <c r="B441" s="10"/>
      <c r="D441" s="10"/>
      <c r="E441" s="10"/>
      <c r="G441" s="10"/>
    </row>
    <row r="442" spans="1:7" x14ac:dyDescent="0.2">
      <c r="A442" s="10"/>
      <c r="B442" s="10"/>
      <c r="D442" s="10"/>
      <c r="E442" s="10"/>
      <c r="G442" s="10"/>
    </row>
    <row r="443" spans="1:7" x14ac:dyDescent="0.2">
      <c r="A443" s="10"/>
      <c r="B443" s="10"/>
      <c r="D443" s="10"/>
      <c r="E443" s="10"/>
      <c r="G443" s="10"/>
    </row>
    <row r="444" spans="1:7" x14ac:dyDescent="0.2">
      <c r="A444" s="10"/>
      <c r="B444" s="10"/>
      <c r="D444" s="10"/>
      <c r="E444" s="10"/>
      <c r="G444" s="10"/>
    </row>
    <row r="445" spans="1:7" x14ac:dyDescent="0.2">
      <c r="A445" s="10"/>
    </row>
    <row r="446" spans="1:7" x14ac:dyDescent="0.2">
      <c r="A446" s="10"/>
    </row>
    <row r="447" spans="1:7" x14ac:dyDescent="0.2">
      <c r="A447" s="10"/>
    </row>
    <row r="448" spans="1:7" x14ac:dyDescent="0.2">
      <c r="A448" s="10"/>
      <c r="B448" s="10"/>
      <c r="D448" s="10"/>
      <c r="E448" s="10"/>
      <c r="G448" s="10"/>
    </row>
    <row r="449" spans="1:7" x14ac:dyDescent="0.2">
      <c r="A449" s="10"/>
      <c r="B449" s="10"/>
      <c r="D449" s="10"/>
      <c r="E449" s="10"/>
      <c r="G449" s="10"/>
    </row>
    <row r="450" spans="1:7" x14ac:dyDescent="0.2">
      <c r="A450" s="10"/>
      <c r="B450" s="10"/>
      <c r="D450" s="10"/>
      <c r="E450" s="10"/>
      <c r="G450" s="10"/>
    </row>
    <row r="451" spans="1:7" x14ac:dyDescent="0.2">
      <c r="A451" s="10"/>
      <c r="B451" s="10"/>
      <c r="D451" s="10"/>
      <c r="E451" s="10"/>
      <c r="G451" s="10"/>
    </row>
    <row r="452" spans="1:7" x14ac:dyDescent="0.2">
      <c r="A452" s="10"/>
      <c r="B452" s="10"/>
      <c r="D452" s="10"/>
      <c r="E452" s="10"/>
      <c r="G452" s="10"/>
    </row>
    <row r="453" spans="1:7" x14ac:dyDescent="0.2">
      <c r="A453" s="10"/>
      <c r="B453" s="10"/>
      <c r="D453" s="10"/>
      <c r="E453" s="10"/>
      <c r="G453" s="10"/>
    </row>
    <row r="454" spans="1:7" x14ac:dyDescent="0.2">
      <c r="A454" s="10"/>
      <c r="B454" s="10"/>
      <c r="D454" s="10"/>
      <c r="E454" s="10"/>
      <c r="G454" s="10"/>
    </row>
    <row r="455" spans="1:7" x14ac:dyDescent="0.2">
      <c r="A455" s="10"/>
      <c r="B455" s="10"/>
      <c r="D455" s="10"/>
      <c r="E455" s="10"/>
      <c r="G455" s="10"/>
    </row>
    <row r="456" spans="1:7" x14ac:dyDescent="0.2">
      <c r="A456" s="10"/>
      <c r="B456" s="10"/>
      <c r="D456" s="10"/>
      <c r="E456" s="10"/>
      <c r="G456" s="10"/>
    </row>
    <row r="457" spans="1:7" x14ac:dyDescent="0.2">
      <c r="A457" s="10"/>
      <c r="B457" s="10"/>
      <c r="D457" s="10"/>
      <c r="E457" s="10"/>
      <c r="G457" s="10"/>
    </row>
    <row r="458" spans="1:7" x14ac:dyDescent="0.2">
      <c r="A458" s="10"/>
      <c r="B458" s="10"/>
      <c r="D458" s="10"/>
      <c r="E458" s="10"/>
      <c r="G458" s="10"/>
    </row>
    <row r="459" spans="1:7" x14ac:dyDescent="0.2">
      <c r="A459" s="10"/>
      <c r="B459" s="10"/>
      <c r="D459" s="10"/>
      <c r="E459" s="10"/>
      <c r="G459" s="10"/>
    </row>
    <row r="460" spans="1:7" x14ac:dyDescent="0.2">
      <c r="A460" s="10"/>
      <c r="B460" s="10"/>
      <c r="D460" s="10"/>
      <c r="E460" s="10"/>
      <c r="G460" s="10"/>
    </row>
    <row r="461" spans="1:7" x14ac:dyDescent="0.2">
      <c r="A461" s="10"/>
      <c r="B461" s="10"/>
      <c r="D461" s="10"/>
      <c r="E461" s="10"/>
      <c r="G461" s="10"/>
    </row>
    <row r="462" spans="1:7" x14ac:dyDescent="0.2">
      <c r="A462" s="10"/>
      <c r="B462" s="10"/>
      <c r="D462" s="10"/>
      <c r="E462" s="10"/>
      <c r="G462" s="10"/>
    </row>
    <row r="463" spans="1:7" x14ac:dyDescent="0.2">
      <c r="A463" s="10"/>
    </row>
    <row r="464" spans="1:7" x14ac:dyDescent="0.2">
      <c r="A464" s="10"/>
    </row>
    <row r="465" spans="1:7" x14ac:dyDescent="0.2">
      <c r="A465" s="10"/>
    </row>
    <row r="466" spans="1:7" x14ac:dyDescent="0.2">
      <c r="A466" s="10"/>
      <c r="B466" s="10"/>
      <c r="D466" s="10"/>
      <c r="E466" s="10"/>
      <c r="G466" s="10"/>
    </row>
    <row r="467" spans="1:7" x14ac:dyDescent="0.2">
      <c r="A467" s="10"/>
    </row>
    <row r="468" spans="1:7" x14ac:dyDescent="0.2">
      <c r="A468" s="10"/>
    </row>
    <row r="469" spans="1:7" x14ac:dyDescent="0.2">
      <c r="A469" s="10"/>
    </row>
    <row r="470" spans="1:7" x14ac:dyDescent="0.2">
      <c r="A470" s="10"/>
      <c r="B470" s="10"/>
      <c r="D470" s="10"/>
      <c r="E470" s="10"/>
      <c r="G470" s="10"/>
    </row>
    <row r="471" spans="1:7" x14ac:dyDescent="0.2">
      <c r="A471" s="10"/>
      <c r="B471" s="10"/>
      <c r="D471" s="10"/>
      <c r="E471" s="10"/>
      <c r="G471" s="10"/>
    </row>
    <row r="472" spans="1:7" x14ac:dyDescent="0.2">
      <c r="A472" s="10"/>
      <c r="B472" s="10"/>
      <c r="D472" s="10"/>
      <c r="E472" s="10"/>
      <c r="G472" s="10"/>
    </row>
    <row r="473" spans="1:7" x14ac:dyDescent="0.2">
      <c r="A473" s="10"/>
      <c r="B473" s="10"/>
      <c r="D473" s="10"/>
      <c r="E473" s="10"/>
      <c r="G473" s="10"/>
    </row>
    <row r="474" spans="1:7" x14ac:dyDescent="0.2">
      <c r="A474" s="10"/>
      <c r="B474" s="10"/>
      <c r="D474" s="10"/>
      <c r="E474" s="10"/>
      <c r="G474" s="10"/>
    </row>
    <row r="475" spans="1:7" x14ac:dyDescent="0.2">
      <c r="A475" s="10"/>
    </row>
    <row r="476" spans="1:7" x14ac:dyDescent="0.2">
      <c r="A476" s="10"/>
    </row>
    <row r="477" spans="1:7" x14ac:dyDescent="0.2">
      <c r="A477" s="10"/>
    </row>
    <row r="478" spans="1:7" x14ac:dyDescent="0.2">
      <c r="A478" s="10"/>
      <c r="B478" s="10"/>
      <c r="D478" s="10"/>
      <c r="E478" s="10"/>
      <c r="G478" s="10"/>
    </row>
    <row r="479" spans="1:7" x14ac:dyDescent="0.2">
      <c r="A479" s="10"/>
      <c r="B479" s="10"/>
      <c r="D479" s="10"/>
      <c r="E479" s="10"/>
      <c r="G479" s="10"/>
    </row>
    <row r="480" spans="1:7" x14ac:dyDescent="0.2">
      <c r="A480" s="10"/>
      <c r="B480" s="10"/>
      <c r="D480" s="10"/>
      <c r="E480" s="10"/>
      <c r="G480" s="10"/>
    </row>
    <row r="481" spans="1:7" x14ac:dyDescent="0.2">
      <c r="A481" s="10"/>
      <c r="B481" s="10"/>
      <c r="D481" s="10"/>
      <c r="E481" s="10"/>
      <c r="G481" s="10"/>
    </row>
    <row r="482" spans="1:7" x14ac:dyDescent="0.2">
      <c r="A482" s="10"/>
      <c r="B482" s="10"/>
      <c r="D482" s="10"/>
      <c r="E482" s="10"/>
      <c r="G482" s="10"/>
    </row>
    <row r="483" spans="1:7" x14ac:dyDescent="0.2">
      <c r="A483" s="10"/>
      <c r="B483" s="10"/>
      <c r="D483" s="10"/>
      <c r="E483" s="10"/>
      <c r="G483" s="10"/>
    </row>
    <row r="484" spans="1:7" x14ac:dyDescent="0.2">
      <c r="A484" s="10"/>
      <c r="B484" s="10"/>
      <c r="D484" s="10"/>
      <c r="E484" s="10"/>
      <c r="G484" s="10"/>
    </row>
    <row r="485" spans="1:7" x14ac:dyDescent="0.2">
      <c r="A485" s="10"/>
      <c r="B485" s="10"/>
      <c r="D485" s="10"/>
      <c r="E485" s="10"/>
      <c r="G485" s="10"/>
    </row>
    <row r="486" spans="1:7" x14ac:dyDescent="0.2">
      <c r="A486" s="10"/>
      <c r="B486" s="10"/>
      <c r="D486" s="10"/>
      <c r="E486" s="10"/>
      <c r="G486" s="10"/>
    </row>
    <row r="487" spans="1:7" x14ac:dyDescent="0.2">
      <c r="A487" s="10"/>
      <c r="B487" s="10"/>
      <c r="D487" s="10"/>
      <c r="E487" s="10"/>
      <c r="G487" s="10"/>
    </row>
    <row r="488" spans="1:7" x14ac:dyDescent="0.2">
      <c r="A488" s="10"/>
      <c r="B488" s="10"/>
      <c r="D488" s="10"/>
      <c r="E488" s="10"/>
      <c r="G488" s="10"/>
    </row>
    <row r="489" spans="1:7" x14ac:dyDescent="0.2">
      <c r="A489" s="10"/>
      <c r="B489" s="10"/>
      <c r="D489" s="10"/>
      <c r="E489" s="10"/>
      <c r="G489" s="10"/>
    </row>
    <row r="490" spans="1:7" x14ac:dyDescent="0.2">
      <c r="A490" s="10"/>
      <c r="B490" s="10"/>
      <c r="D490" s="10"/>
      <c r="E490" s="10"/>
      <c r="G490" s="10"/>
    </row>
    <row r="491" spans="1:7" x14ac:dyDescent="0.2">
      <c r="A491" s="10"/>
      <c r="B491" s="10"/>
      <c r="D491" s="10"/>
      <c r="E491" s="10"/>
      <c r="G491" s="10"/>
    </row>
    <row r="492" spans="1:7" x14ac:dyDescent="0.2">
      <c r="A492" s="10"/>
      <c r="B492" s="10"/>
      <c r="D492" s="10"/>
      <c r="E492" s="10"/>
      <c r="G492" s="10"/>
    </row>
    <row r="493" spans="1:7" x14ac:dyDescent="0.2">
      <c r="A493" s="10"/>
      <c r="B493" s="10"/>
      <c r="D493" s="10"/>
      <c r="E493" s="10"/>
      <c r="G493" s="10"/>
    </row>
    <row r="494" spans="1:7" x14ac:dyDescent="0.2">
      <c r="A494" s="10"/>
      <c r="B494" s="10"/>
      <c r="D494" s="10"/>
      <c r="E494" s="10"/>
      <c r="G494" s="10"/>
    </row>
    <row r="495" spans="1:7" x14ac:dyDescent="0.2">
      <c r="A495" s="10"/>
      <c r="B495" s="10"/>
      <c r="D495" s="10"/>
      <c r="E495" s="10"/>
      <c r="G495" s="10"/>
    </row>
    <row r="496" spans="1:7" x14ac:dyDescent="0.2">
      <c r="A496" s="10"/>
      <c r="B496" s="10"/>
      <c r="D496" s="10"/>
      <c r="E496" s="10"/>
      <c r="G496" s="10"/>
    </row>
    <row r="497" spans="1:7" x14ac:dyDescent="0.2">
      <c r="A497" s="10"/>
      <c r="B497" s="10"/>
      <c r="D497" s="10"/>
      <c r="E497" s="10"/>
      <c r="G497" s="10"/>
    </row>
    <row r="498" spans="1:7" x14ac:dyDescent="0.2">
      <c r="A498" s="10"/>
      <c r="B498" s="10"/>
      <c r="D498" s="10"/>
      <c r="E498" s="10"/>
      <c r="G498" s="10"/>
    </row>
    <row r="499" spans="1:7" x14ac:dyDescent="0.2">
      <c r="A499" s="10"/>
      <c r="B499" s="10"/>
      <c r="D499" s="10"/>
      <c r="E499" s="10"/>
      <c r="G499" s="10"/>
    </row>
    <row r="500" spans="1:7" x14ac:dyDescent="0.2">
      <c r="A500" s="10"/>
      <c r="B500" s="10"/>
      <c r="D500" s="10"/>
      <c r="E500" s="10"/>
      <c r="G500" s="10"/>
    </row>
    <row r="501" spans="1:7" x14ac:dyDescent="0.2">
      <c r="A501" s="10"/>
      <c r="B501" s="10"/>
      <c r="D501" s="10"/>
      <c r="E501" s="10"/>
      <c r="G501" s="10"/>
    </row>
    <row r="502" spans="1:7" x14ac:dyDescent="0.2">
      <c r="A502" s="10"/>
      <c r="B502" s="10"/>
      <c r="D502" s="10"/>
      <c r="E502" s="10"/>
      <c r="G502" s="10"/>
    </row>
    <row r="503" spans="1:7" x14ac:dyDescent="0.2">
      <c r="A503" s="10"/>
      <c r="B503" s="10"/>
      <c r="D503" s="10"/>
      <c r="E503" s="10"/>
      <c r="G503" s="10"/>
    </row>
    <row r="504" spans="1:7" x14ac:dyDescent="0.2">
      <c r="A504" s="10"/>
      <c r="B504" s="10"/>
      <c r="D504" s="10"/>
      <c r="E504" s="10"/>
      <c r="G504" s="10"/>
    </row>
    <row r="505" spans="1:7" x14ac:dyDescent="0.2">
      <c r="A505" s="10"/>
    </row>
    <row r="506" spans="1:7" x14ac:dyDescent="0.2">
      <c r="A506" s="10"/>
    </row>
    <row r="507" spans="1:7" x14ac:dyDescent="0.2">
      <c r="A507" s="10"/>
    </row>
    <row r="508" spans="1:7" x14ac:dyDescent="0.2">
      <c r="A508" s="10"/>
      <c r="B508" s="10"/>
      <c r="D508" s="10"/>
      <c r="E508" s="10"/>
      <c r="G508" s="10"/>
    </row>
    <row r="509" spans="1:7" x14ac:dyDescent="0.2">
      <c r="A509" s="10"/>
      <c r="B509" s="10"/>
      <c r="D509" s="10"/>
      <c r="E509" s="10"/>
      <c r="G509" s="10"/>
    </row>
    <row r="510" spans="1:7" x14ac:dyDescent="0.2">
      <c r="A510" s="10"/>
      <c r="B510" s="10"/>
      <c r="D510" s="10"/>
      <c r="E510" s="10"/>
      <c r="G510" s="10"/>
    </row>
    <row r="511" spans="1:7" x14ac:dyDescent="0.2">
      <c r="A511" s="10"/>
      <c r="B511" s="10"/>
      <c r="D511" s="10"/>
      <c r="E511" s="10"/>
      <c r="G511" s="10"/>
    </row>
    <row r="512" spans="1:7" x14ac:dyDescent="0.2">
      <c r="A512" s="10"/>
      <c r="B512" s="10"/>
      <c r="D512" s="10"/>
      <c r="E512" s="10"/>
      <c r="G512" s="10"/>
    </row>
    <row r="513" spans="1:7" x14ac:dyDescent="0.2">
      <c r="A513" s="10"/>
      <c r="B513" s="10"/>
      <c r="D513" s="10"/>
      <c r="E513" s="10"/>
      <c r="G513" s="10"/>
    </row>
    <row r="514" spans="1:7" x14ac:dyDescent="0.2">
      <c r="A514" s="10"/>
      <c r="B514" s="10"/>
      <c r="D514" s="10"/>
      <c r="E514" s="10"/>
      <c r="G514" s="10"/>
    </row>
    <row r="515" spans="1:7" x14ac:dyDescent="0.2">
      <c r="A515" s="10"/>
      <c r="B515" s="10"/>
      <c r="D515" s="10"/>
      <c r="E515" s="10"/>
      <c r="G515" s="10"/>
    </row>
    <row r="516" spans="1:7" x14ac:dyDescent="0.2">
      <c r="A516" s="10"/>
      <c r="B516" s="10"/>
      <c r="D516" s="10"/>
      <c r="E516" s="10"/>
      <c r="G516" s="10"/>
    </row>
    <row r="517" spans="1:7" x14ac:dyDescent="0.2">
      <c r="A517" s="10"/>
      <c r="B517" s="10"/>
      <c r="D517" s="10"/>
      <c r="E517" s="10"/>
      <c r="G517" s="10"/>
    </row>
    <row r="518" spans="1:7" x14ac:dyDescent="0.2">
      <c r="A518" s="10"/>
      <c r="B518" s="10"/>
      <c r="D518" s="10"/>
      <c r="E518" s="10"/>
      <c r="G518" s="10"/>
    </row>
    <row r="519" spans="1:7" x14ac:dyDescent="0.2">
      <c r="A519" s="10"/>
      <c r="B519" s="10"/>
      <c r="D519" s="10"/>
      <c r="E519" s="10"/>
      <c r="G519" s="10"/>
    </row>
    <row r="520" spans="1:7" x14ac:dyDescent="0.2">
      <c r="A520" s="10"/>
      <c r="B520" s="10"/>
      <c r="D520" s="10"/>
      <c r="E520" s="10"/>
      <c r="G520" s="10"/>
    </row>
    <row r="521" spans="1:7" x14ac:dyDescent="0.2">
      <c r="A521" s="10"/>
      <c r="B521" s="10"/>
      <c r="D521" s="10"/>
      <c r="E521" s="10"/>
      <c r="G521" s="10"/>
    </row>
    <row r="522" spans="1:7" x14ac:dyDescent="0.2">
      <c r="A522" s="10"/>
    </row>
    <row r="523" spans="1:7" x14ac:dyDescent="0.2">
      <c r="A523" s="10"/>
    </row>
    <row r="524" spans="1:7" x14ac:dyDescent="0.2">
      <c r="A524" s="10"/>
    </row>
    <row r="525" spans="1:7" x14ac:dyDescent="0.2">
      <c r="A525" s="10"/>
      <c r="B525" s="10"/>
      <c r="D525" s="10"/>
      <c r="E525" s="10"/>
      <c r="G525" s="10"/>
    </row>
    <row r="526" spans="1:7" x14ac:dyDescent="0.2">
      <c r="A526" s="10"/>
    </row>
    <row r="527" spans="1:7" x14ac:dyDescent="0.2">
      <c r="A527" s="10"/>
    </row>
    <row r="528" spans="1:7" x14ac:dyDescent="0.2">
      <c r="A528" s="10"/>
    </row>
    <row r="529" spans="1:7" x14ac:dyDescent="0.2">
      <c r="A529" s="10"/>
      <c r="B529" s="10"/>
      <c r="D529" s="10"/>
      <c r="E529" s="10"/>
      <c r="G529" s="10"/>
    </row>
    <row r="530" spans="1:7" x14ac:dyDescent="0.2">
      <c r="A530" s="10"/>
      <c r="B530" s="10"/>
      <c r="D530" s="10"/>
      <c r="E530" s="10"/>
      <c r="G530" s="10"/>
    </row>
    <row r="531" spans="1:7" x14ac:dyDescent="0.2">
      <c r="A531" s="10"/>
    </row>
    <row r="532" spans="1:7" x14ac:dyDescent="0.2">
      <c r="A532" s="10"/>
    </row>
    <row r="533" spans="1:7" x14ac:dyDescent="0.2">
      <c r="A533" s="10"/>
    </row>
    <row r="534" spans="1:7" x14ac:dyDescent="0.2">
      <c r="A534" s="10"/>
      <c r="B534" s="10"/>
      <c r="D534" s="10"/>
      <c r="E534" s="10"/>
      <c r="G534" s="10"/>
    </row>
    <row r="535" spans="1:7" x14ac:dyDescent="0.2">
      <c r="A535" s="10"/>
      <c r="B535" s="10"/>
      <c r="D535" s="10"/>
      <c r="E535" s="10"/>
      <c r="G535" s="10"/>
    </row>
    <row r="536" spans="1:7" x14ac:dyDescent="0.2">
      <c r="A536" s="10"/>
      <c r="B536" s="10"/>
      <c r="D536" s="10"/>
      <c r="E536" s="10"/>
      <c r="G536" s="10"/>
    </row>
    <row r="537" spans="1:7" x14ac:dyDescent="0.2">
      <c r="A537" s="10"/>
      <c r="B537" s="10"/>
      <c r="D537" s="10"/>
      <c r="E537" s="10"/>
      <c r="G537" s="10"/>
    </row>
    <row r="538" spans="1:7" x14ac:dyDescent="0.2">
      <c r="A538" s="10"/>
      <c r="B538" s="10"/>
      <c r="D538" s="10"/>
      <c r="E538" s="10"/>
      <c r="F538" s="10"/>
    </row>
    <row r="539" spans="1:7" x14ac:dyDescent="0.2">
      <c r="A539" s="10"/>
      <c r="B539" s="10"/>
      <c r="D539" s="10"/>
      <c r="E539" s="10"/>
      <c r="G539" s="10"/>
    </row>
    <row r="540" spans="1:7" x14ac:dyDescent="0.2">
      <c r="A540" s="10"/>
      <c r="B540" s="10"/>
      <c r="D540" s="10"/>
      <c r="E540" s="10"/>
      <c r="G540" s="10"/>
    </row>
    <row r="541" spans="1:7" x14ac:dyDescent="0.2">
      <c r="A541" s="10"/>
      <c r="B541" s="10"/>
      <c r="D541" s="10"/>
      <c r="E541" s="10"/>
      <c r="G541" s="10"/>
    </row>
    <row r="542" spans="1:7" x14ac:dyDescent="0.2">
      <c r="A542" s="10"/>
      <c r="B542" s="10"/>
      <c r="D542" s="10"/>
      <c r="E542" s="10"/>
      <c r="G542" s="10"/>
    </row>
    <row r="543" spans="1:7" x14ac:dyDescent="0.2">
      <c r="A543" s="10"/>
      <c r="B543" s="10"/>
      <c r="D543" s="10"/>
      <c r="E543" s="10"/>
      <c r="G543" s="10"/>
    </row>
    <row r="544" spans="1:7" x14ac:dyDescent="0.2">
      <c r="A544" s="10"/>
      <c r="B544" s="10"/>
      <c r="D544" s="10"/>
      <c r="E544" s="10"/>
      <c r="G544" s="10"/>
    </row>
    <row r="545" spans="1:7" x14ac:dyDescent="0.2">
      <c r="A545" s="10"/>
      <c r="B545" s="10"/>
      <c r="D545" s="10"/>
      <c r="E545" s="10"/>
      <c r="G545" s="10"/>
    </row>
    <row r="546" spans="1:7" x14ac:dyDescent="0.2">
      <c r="A546" s="10"/>
      <c r="B546" s="10"/>
      <c r="D546" s="10"/>
      <c r="E546" s="10"/>
      <c r="G546" s="10"/>
    </row>
    <row r="547" spans="1:7" x14ac:dyDescent="0.2">
      <c r="A547" s="10"/>
      <c r="B547" s="10"/>
      <c r="D547" s="10"/>
      <c r="E547" s="10"/>
      <c r="G547" s="10"/>
    </row>
    <row r="548" spans="1:7" x14ac:dyDescent="0.2">
      <c r="A548" s="10"/>
      <c r="B548" s="10"/>
      <c r="D548" s="10"/>
      <c r="E548" s="10"/>
      <c r="G548" s="10"/>
    </row>
    <row r="549" spans="1:7" x14ac:dyDescent="0.2">
      <c r="A549" s="10"/>
      <c r="B549" s="10"/>
      <c r="D549" s="10"/>
      <c r="E549" s="10"/>
      <c r="G549" s="10"/>
    </row>
    <row r="550" spans="1:7" x14ac:dyDescent="0.2">
      <c r="A550" s="10"/>
      <c r="B550" s="10"/>
      <c r="D550" s="10"/>
      <c r="E550" s="10"/>
      <c r="G550" s="10"/>
    </row>
    <row r="551" spans="1:7" x14ac:dyDescent="0.2">
      <c r="A551" s="10"/>
      <c r="B551" s="10"/>
      <c r="D551" s="10"/>
      <c r="E551" s="10"/>
      <c r="G551" s="10"/>
    </row>
    <row r="552" spans="1:7" x14ac:dyDescent="0.2">
      <c r="A552" s="10"/>
      <c r="B552" s="10"/>
      <c r="D552" s="10"/>
      <c r="E552" s="10"/>
      <c r="G552" s="10"/>
    </row>
    <row r="553" spans="1:7" x14ac:dyDescent="0.2">
      <c r="A553" s="10"/>
      <c r="B553" s="10"/>
      <c r="D553" s="10"/>
      <c r="E553" s="10"/>
      <c r="G553" s="10"/>
    </row>
    <row r="554" spans="1:7" x14ac:dyDescent="0.2">
      <c r="A554" s="10"/>
      <c r="B554" s="10"/>
      <c r="D554" s="10"/>
      <c r="E554" s="10"/>
      <c r="G554" s="10"/>
    </row>
    <row r="555" spans="1:7" x14ac:dyDescent="0.2">
      <c r="A555" s="10"/>
      <c r="B555" s="10"/>
      <c r="D555" s="10"/>
      <c r="E555" s="10"/>
      <c r="G555" s="10"/>
    </row>
    <row r="556" spans="1:7" x14ac:dyDescent="0.2">
      <c r="A556" s="10"/>
      <c r="B556" s="10"/>
      <c r="D556" s="10"/>
      <c r="E556" s="10"/>
      <c r="G556" s="10"/>
    </row>
    <row r="557" spans="1:7" x14ac:dyDescent="0.2">
      <c r="A557" s="10"/>
      <c r="B557" s="10"/>
      <c r="D557" s="10"/>
      <c r="E557" s="10"/>
      <c r="G557" s="10"/>
    </row>
    <row r="558" spans="1:7" x14ac:dyDescent="0.2">
      <c r="A558" s="10"/>
      <c r="B558" s="10"/>
      <c r="D558" s="10"/>
      <c r="E558" s="10"/>
      <c r="G558" s="10"/>
    </row>
    <row r="559" spans="1:7" x14ac:dyDescent="0.2">
      <c r="A559" s="10"/>
      <c r="B559" s="10"/>
      <c r="D559" s="10"/>
      <c r="E559" s="10"/>
      <c r="G559" s="10"/>
    </row>
    <row r="560" spans="1:7" x14ac:dyDescent="0.2">
      <c r="A560" s="10"/>
      <c r="B560" s="10"/>
      <c r="D560" s="10"/>
      <c r="E560" s="10"/>
      <c r="G560" s="10"/>
    </row>
    <row r="561" spans="1:7" x14ac:dyDescent="0.2">
      <c r="A561" s="10"/>
    </row>
    <row r="562" spans="1:7" x14ac:dyDescent="0.2">
      <c r="A562" s="10"/>
    </row>
    <row r="563" spans="1:7" x14ac:dyDescent="0.2">
      <c r="A563" s="10"/>
    </row>
    <row r="564" spans="1:7" x14ac:dyDescent="0.2">
      <c r="A564" s="10"/>
      <c r="B564" s="10"/>
      <c r="D564" s="10"/>
      <c r="E564" s="10"/>
      <c r="G564" s="10"/>
    </row>
    <row r="565" spans="1:7" x14ac:dyDescent="0.2">
      <c r="A565" s="10"/>
      <c r="B565" s="10"/>
      <c r="D565" s="10"/>
      <c r="E565" s="10"/>
      <c r="G565" s="10"/>
    </row>
    <row r="566" spans="1:7" x14ac:dyDescent="0.2">
      <c r="A566" s="10"/>
      <c r="B566" s="10"/>
      <c r="D566" s="10"/>
      <c r="E566" s="10"/>
      <c r="G566" s="10"/>
    </row>
    <row r="567" spans="1:7" x14ac:dyDescent="0.2">
      <c r="A567" s="10"/>
      <c r="B567" s="10"/>
      <c r="D567" s="10"/>
      <c r="E567" s="10"/>
      <c r="G567" s="10"/>
    </row>
    <row r="568" spans="1:7" x14ac:dyDescent="0.2">
      <c r="A568" s="10"/>
      <c r="B568" s="10"/>
      <c r="D568" s="10"/>
      <c r="E568" s="10"/>
      <c r="G568" s="10"/>
    </row>
    <row r="569" spans="1:7" x14ac:dyDescent="0.2">
      <c r="A569" s="10"/>
      <c r="B569" s="10"/>
      <c r="D569" s="10"/>
      <c r="E569" s="10"/>
      <c r="G569" s="10"/>
    </row>
    <row r="570" spans="1:7" x14ac:dyDescent="0.2">
      <c r="A570" s="10"/>
      <c r="B570" s="10"/>
      <c r="D570" s="10"/>
      <c r="E570" s="10"/>
      <c r="G570" s="10"/>
    </row>
    <row r="571" spans="1:7" x14ac:dyDescent="0.2">
      <c r="A571" s="10"/>
      <c r="B571" s="10"/>
      <c r="D571" s="10"/>
      <c r="E571" s="10"/>
      <c r="G571" s="10"/>
    </row>
    <row r="572" spans="1:7" x14ac:dyDescent="0.2">
      <c r="A572" s="10"/>
      <c r="B572" s="10"/>
      <c r="D572" s="10"/>
      <c r="E572" s="10"/>
      <c r="G572" s="10"/>
    </row>
    <row r="573" spans="1:7" x14ac:dyDescent="0.2">
      <c r="A573" s="10"/>
      <c r="B573" s="10"/>
      <c r="D573" s="10"/>
      <c r="E573" s="10"/>
      <c r="G573" s="10"/>
    </row>
    <row r="574" spans="1:7" x14ac:dyDescent="0.2">
      <c r="A574" s="10"/>
      <c r="B574" s="10"/>
      <c r="D574" s="10"/>
      <c r="E574" s="10"/>
      <c r="G574" s="10"/>
    </row>
    <row r="575" spans="1:7" x14ac:dyDescent="0.2">
      <c r="A575" s="10"/>
    </row>
    <row r="576" spans="1:7" x14ac:dyDescent="0.2">
      <c r="A576" s="10"/>
    </row>
    <row r="577" spans="1:7" x14ac:dyDescent="0.2">
      <c r="A577" s="10"/>
    </row>
    <row r="578" spans="1:7" x14ac:dyDescent="0.2">
      <c r="A578" s="10"/>
      <c r="B578" s="10"/>
      <c r="D578" s="10"/>
      <c r="E578" s="10"/>
      <c r="G578" s="10"/>
    </row>
    <row r="579" spans="1:7" x14ac:dyDescent="0.2">
      <c r="A579" s="10"/>
      <c r="B579" s="10"/>
      <c r="D579" s="10"/>
      <c r="E579" s="10"/>
      <c r="G579" s="10"/>
    </row>
    <row r="580" spans="1:7" x14ac:dyDescent="0.2">
      <c r="A580" s="10"/>
      <c r="B580" s="10"/>
      <c r="D580" s="10"/>
      <c r="E580" s="10"/>
      <c r="G580" s="10"/>
    </row>
    <row r="581" spans="1:7" x14ac:dyDescent="0.2">
      <c r="A581" s="10"/>
      <c r="B581" s="10"/>
      <c r="D581" s="10"/>
      <c r="E581" s="10"/>
      <c r="G581" s="10"/>
    </row>
    <row r="582" spans="1:7" x14ac:dyDescent="0.2">
      <c r="A582" s="10"/>
    </row>
    <row r="583" spans="1:7" x14ac:dyDescent="0.2">
      <c r="A583" s="10"/>
    </row>
    <row r="584" spans="1:7" x14ac:dyDescent="0.2">
      <c r="A584" s="10"/>
    </row>
    <row r="585" spans="1:7" x14ac:dyDescent="0.2">
      <c r="A585" s="10"/>
      <c r="B585" s="10"/>
      <c r="D585" s="10"/>
      <c r="E585" s="10"/>
      <c r="G585" s="10"/>
    </row>
    <row r="586" spans="1:7" x14ac:dyDescent="0.2">
      <c r="A586" s="10"/>
    </row>
    <row r="587" spans="1:7" x14ac:dyDescent="0.2">
      <c r="A587" s="10"/>
    </row>
    <row r="588" spans="1:7" x14ac:dyDescent="0.2">
      <c r="A588" s="10"/>
    </row>
    <row r="589" spans="1:7" x14ac:dyDescent="0.2">
      <c r="A589" s="10"/>
      <c r="B589" s="10"/>
      <c r="D589" s="10"/>
      <c r="E589" s="10"/>
      <c r="G589" s="10"/>
    </row>
    <row r="590" spans="1:7" x14ac:dyDescent="0.2">
      <c r="A590" s="10"/>
      <c r="B590" s="10"/>
      <c r="D590" s="10"/>
      <c r="E590" s="10"/>
      <c r="G590" s="10"/>
    </row>
    <row r="591" spans="1:7" x14ac:dyDescent="0.2">
      <c r="A591" s="10"/>
      <c r="B591" s="10"/>
      <c r="D591" s="10"/>
      <c r="E591" s="10"/>
      <c r="G591" s="10"/>
    </row>
    <row r="592" spans="1:7" x14ac:dyDescent="0.2">
      <c r="A592" s="10"/>
      <c r="B592" s="10"/>
      <c r="D592" s="10"/>
      <c r="E592" s="10"/>
      <c r="G592" s="10"/>
    </row>
    <row r="593" spans="1:7" x14ac:dyDescent="0.2">
      <c r="A593" s="10"/>
      <c r="B593" s="10"/>
      <c r="D593" s="10"/>
      <c r="E593" s="10"/>
      <c r="G593" s="10"/>
    </row>
    <row r="594" spans="1:7" x14ac:dyDescent="0.2">
      <c r="A594" s="10"/>
      <c r="B594" s="10"/>
      <c r="D594" s="10"/>
      <c r="E594" s="10"/>
      <c r="G594" s="10"/>
    </row>
    <row r="595" spans="1:7" x14ac:dyDescent="0.2">
      <c r="A595" s="10"/>
      <c r="B595" s="10"/>
      <c r="D595" s="10"/>
      <c r="E595" s="10"/>
      <c r="G595" s="10"/>
    </row>
    <row r="596" spans="1:7" x14ac:dyDescent="0.2">
      <c r="A596" s="10"/>
      <c r="B596" s="10"/>
      <c r="D596" s="10"/>
      <c r="E596" s="10"/>
      <c r="G596" s="10"/>
    </row>
    <row r="597" spans="1:7" x14ac:dyDescent="0.2">
      <c r="A597" s="10"/>
      <c r="B597" s="10"/>
      <c r="D597" s="10"/>
      <c r="E597" s="10"/>
      <c r="G597" s="10"/>
    </row>
    <row r="598" spans="1:7" x14ac:dyDescent="0.2">
      <c r="A598" s="10"/>
      <c r="B598" s="10"/>
      <c r="D598" s="10"/>
      <c r="E598" s="10"/>
      <c r="G598" s="10"/>
    </row>
    <row r="599" spans="1:7" x14ac:dyDescent="0.2">
      <c r="A599" s="10"/>
      <c r="B599" s="10"/>
      <c r="D599" s="10"/>
      <c r="E599" s="10"/>
      <c r="G599" s="10"/>
    </row>
    <row r="600" spans="1:7" x14ac:dyDescent="0.2">
      <c r="A600" s="10"/>
      <c r="B600" s="10"/>
      <c r="D600" s="10"/>
      <c r="E600" s="10"/>
      <c r="G600" s="10"/>
    </row>
    <row r="601" spans="1:7" x14ac:dyDescent="0.2">
      <c r="A601" s="10"/>
      <c r="B601" s="10"/>
      <c r="D601" s="10"/>
      <c r="E601" s="10"/>
      <c r="G601" s="10"/>
    </row>
    <row r="602" spans="1:7" x14ac:dyDescent="0.2">
      <c r="A602" s="10"/>
      <c r="B602" s="10"/>
      <c r="D602" s="10"/>
      <c r="E602" s="10"/>
      <c r="G602" s="10"/>
    </row>
    <row r="603" spans="1:7" x14ac:dyDescent="0.2">
      <c r="A603" s="10"/>
      <c r="B603" s="10"/>
      <c r="D603" s="10"/>
      <c r="E603" s="10"/>
      <c r="G603" s="10"/>
    </row>
    <row r="604" spans="1:7" x14ac:dyDescent="0.2">
      <c r="A604" s="10"/>
      <c r="B604" s="10"/>
      <c r="D604" s="10"/>
      <c r="E604" s="10"/>
      <c r="G604" s="10"/>
    </row>
    <row r="605" spans="1:7" x14ac:dyDescent="0.2">
      <c r="A605" s="10"/>
      <c r="B605" s="10"/>
      <c r="D605" s="10"/>
      <c r="E605" s="10"/>
      <c r="G605" s="10"/>
    </row>
    <row r="606" spans="1:7" x14ac:dyDescent="0.2">
      <c r="A606" s="10"/>
      <c r="B606" s="10"/>
      <c r="D606" s="10"/>
      <c r="E606" s="10"/>
      <c r="G606" s="10"/>
    </row>
    <row r="607" spans="1:7" x14ac:dyDescent="0.2">
      <c r="A607" s="10"/>
      <c r="B607" s="10"/>
      <c r="D607" s="10"/>
      <c r="E607" s="10"/>
      <c r="G607" s="10"/>
    </row>
    <row r="608" spans="1:7" x14ac:dyDescent="0.2">
      <c r="A608" s="10"/>
      <c r="B608" s="10"/>
      <c r="D608" s="10"/>
      <c r="E608" s="10"/>
      <c r="G608" s="10"/>
    </row>
    <row r="609" spans="1:7" x14ac:dyDescent="0.2">
      <c r="A609" s="10"/>
      <c r="B609" s="10"/>
      <c r="D609" s="10"/>
      <c r="E609" s="10"/>
      <c r="G609" s="10"/>
    </row>
    <row r="610" spans="1:7" x14ac:dyDescent="0.2">
      <c r="A610" s="10"/>
      <c r="B610" s="10"/>
      <c r="D610" s="10"/>
      <c r="E610" s="10"/>
      <c r="G610" s="10"/>
    </row>
    <row r="611" spans="1:7" x14ac:dyDescent="0.2">
      <c r="A611" s="10"/>
      <c r="B611" s="10"/>
      <c r="D611" s="10"/>
      <c r="E611" s="10"/>
      <c r="G611" s="10"/>
    </row>
    <row r="612" spans="1:7" x14ac:dyDescent="0.2">
      <c r="A612" s="10"/>
      <c r="B612" s="10"/>
      <c r="D612" s="10"/>
      <c r="E612" s="10"/>
      <c r="G612" s="10"/>
    </row>
    <row r="613" spans="1:7" x14ac:dyDescent="0.2">
      <c r="A613" s="10"/>
      <c r="B613" s="10"/>
      <c r="D613" s="10"/>
      <c r="E613" s="10"/>
      <c r="G613" s="10"/>
    </row>
    <row r="614" spans="1:7" x14ac:dyDescent="0.2">
      <c r="A614" s="10"/>
      <c r="B614" s="10"/>
      <c r="D614" s="10"/>
      <c r="E614" s="10"/>
      <c r="G614" s="10"/>
    </row>
    <row r="615" spans="1:7" x14ac:dyDescent="0.2">
      <c r="A615" s="10"/>
      <c r="B615" s="10"/>
      <c r="D615" s="10"/>
      <c r="E615" s="10"/>
      <c r="G615" s="10"/>
    </row>
    <row r="616" spans="1:7" x14ac:dyDescent="0.2">
      <c r="A616" s="10"/>
      <c r="B616" s="10"/>
      <c r="D616" s="10"/>
      <c r="E616" s="10"/>
      <c r="G616" s="10"/>
    </row>
    <row r="617" spans="1:7" x14ac:dyDescent="0.2">
      <c r="A617" s="10"/>
      <c r="B617" s="10"/>
      <c r="D617" s="10"/>
      <c r="E617" s="10"/>
      <c r="G617" s="10"/>
    </row>
    <row r="618" spans="1:7" x14ac:dyDescent="0.2">
      <c r="A618" s="10"/>
      <c r="B618" s="10"/>
      <c r="D618" s="10"/>
      <c r="E618" s="10"/>
      <c r="G618" s="10"/>
    </row>
    <row r="619" spans="1:7" x14ac:dyDescent="0.2">
      <c r="A619" s="10"/>
      <c r="B619" s="10"/>
      <c r="D619" s="10"/>
      <c r="E619" s="10"/>
      <c r="G619" s="10"/>
    </row>
    <row r="620" spans="1:7" x14ac:dyDescent="0.2">
      <c r="A620" s="10"/>
      <c r="B620" s="10"/>
      <c r="D620" s="10"/>
      <c r="E620" s="10"/>
      <c r="G620" s="10"/>
    </row>
    <row r="621" spans="1:7" x14ac:dyDescent="0.2">
      <c r="A621" s="10"/>
      <c r="B621" s="10"/>
      <c r="D621" s="10"/>
      <c r="E621" s="10"/>
      <c r="G621" s="10"/>
    </row>
    <row r="622" spans="1:7" x14ac:dyDescent="0.2">
      <c r="A622" s="10"/>
      <c r="B622" s="10"/>
      <c r="D622" s="10"/>
      <c r="E622" s="10"/>
      <c r="G622" s="10"/>
    </row>
    <row r="623" spans="1:7" x14ac:dyDescent="0.2">
      <c r="A623" s="10"/>
      <c r="B623" s="10"/>
      <c r="D623" s="10"/>
      <c r="E623" s="10"/>
      <c r="G623" s="10"/>
    </row>
    <row r="624" spans="1:7" x14ac:dyDescent="0.2">
      <c r="A624" s="10"/>
      <c r="B624" s="10"/>
      <c r="D624" s="10"/>
      <c r="E624" s="10"/>
      <c r="G624" s="10"/>
    </row>
    <row r="625" spans="1:7" x14ac:dyDescent="0.2">
      <c r="A625" s="10"/>
      <c r="B625" s="10"/>
      <c r="D625" s="10"/>
      <c r="E625" s="10"/>
      <c r="G625" s="10"/>
    </row>
    <row r="626" spans="1:7" x14ac:dyDescent="0.2">
      <c r="A626" s="10"/>
      <c r="B626" s="10"/>
      <c r="D626" s="10"/>
      <c r="E626" s="10"/>
      <c r="G626" s="10"/>
    </row>
    <row r="627" spans="1:7" x14ac:dyDescent="0.2">
      <c r="A627" s="10"/>
      <c r="B627" s="10"/>
      <c r="D627" s="10"/>
      <c r="E627" s="10"/>
      <c r="G627" s="10"/>
    </row>
    <row r="628" spans="1:7" x14ac:dyDescent="0.2">
      <c r="A628" s="10"/>
      <c r="B628" s="10"/>
      <c r="D628" s="10"/>
      <c r="E628" s="10"/>
      <c r="G628" s="10"/>
    </row>
    <row r="629" spans="1:7" x14ac:dyDescent="0.2">
      <c r="A629" s="10"/>
      <c r="B629" s="10"/>
      <c r="D629" s="10"/>
      <c r="E629" s="10"/>
      <c r="G629" s="10"/>
    </row>
    <row r="630" spans="1:7" x14ac:dyDescent="0.2">
      <c r="A630" s="10"/>
      <c r="B630" s="10"/>
      <c r="D630" s="10"/>
      <c r="E630" s="10"/>
      <c r="G630" s="10"/>
    </row>
    <row r="631" spans="1:7" x14ac:dyDescent="0.2">
      <c r="A631" s="10"/>
      <c r="B631" s="10"/>
      <c r="D631" s="10"/>
      <c r="E631" s="10"/>
      <c r="G631" s="10"/>
    </row>
    <row r="632" spans="1:7" x14ac:dyDescent="0.2">
      <c r="A632" s="10"/>
      <c r="B632" s="10"/>
      <c r="D632" s="10"/>
      <c r="E632" s="10"/>
      <c r="G632" s="10"/>
    </row>
    <row r="633" spans="1:7" x14ac:dyDescent="0.2">
      <c r="A633" s="10"/>
      <c r="B633" s="10"/>
      <c r="D633" s="10"/>
      <c r="E633" s="10"/>
      <c r="G633" s="10"/>
    </row>
    <row r="634" spans="1:7" x14ac:dyDescent="0.2">
      <c r="A634" s="10"/>
      <c r="B634" s="10"/>
      <c r="D634" s="10"/>
      <c r="E634" s="10"/>
      <c r="G634" s="10"/>
    </row>
    <row r="635" spans="1:7" x14ac:dyDescent="0.2">
      <c r="A635" s="10"/>
      <c r="B635" s="10"/>
      <c r="D635" s="10"/>
      <c r="E635" s="10"/>
      <c r="G635" s="10"/>
    </row>
    <row r="636" spans="1:7" x14ac:dyDescent="0.2">
      <c r="A636" s="10"/>
      <c r="B636" s="10"/>
      <c r="D636" s="10"/>
      <c r="E636" s="10"/>
      <c r="G636" s="10"/>
    </row>
    <row r="637" spans="1:7" x14ac:dyDescent="0.2">
      <c r="A637" s="10"/>
      <c r="B637" s="10"/>
      <c r="D637" s="10"/>
      <c r="E637" s="10"/>
      <c r="G637" s="10"/>
    </row>
    <row r="638" spans="1:7" x14ac:dyDescent="0.2">
      <c r="A638" s="10"/>
      <c r="B638" s="10"/>
      <c r="D638" s="10"/>
      <c r="E638" s="10"/>
      <c r="G638" s="10"/>
    </row>
    <row r="639" spans="1:7" x14ac:dyDescent="0.2">
      <c r="A639" s="10"/>
      <c r="B639" s="10"/>
      <c r="D639" s="10"/>
      <c r="E639" s="10"/>
      <c r="G639" s="10"/>
    </row>
    <row r="640" spans="1:7" x14ac:dyDescent="0.2">
      <c r="A640" s="10"/>
      <c r="B640" s="10"/>
      <c r="D640" s="10"/>
      <c r="E640" s="10"/>
      <c r="G640" s="10"/>
    </row>
    <row r="641" spans="1:7" x14ac:dyDescent="0.2">
      <c r="A641" s="10"/>
    </row>
    <row r="642" spans="1:7" x14ac:dyDescent="0.2">
      <c r="A642" s="10"/>
    </row>
    <row r="643" spans="1:7" x14ac:dyDescent="0.2">
      <c r="A643" s="10"/>
    </row>
    <row r="644" spans="1:7" x14ac:dyDescent="0.2">
      <c r="A644" s="10"/>
      <c r="B644" s="10"/>
      <c r="D644" s="10"/>
      <c r="E644" s="10"/>
      <c r="G644" s="10"/>
    </row>
    <row r="645" spans="1:7" x14ac:dyDescent="0.2">
      <c r="A645" s="10"/>
      <c r="B645" s="10"/>
      <c r="D645" s="10"/>
      <c r="E645" s="10"/>
      <c r="G645" s="10"/>
    </row>
    <row r="646" spans="1:7" x14ac:dyDescent="0.2">
      <c r="A646" s="10"/>
      <c r="B646" s="10"/>
      <c r="D646" s="10"/>
      <c r="E646" s="10"/>
      <c r="G646" s="10"/>
    </row>
    <row r="647" spans="1:7" x14ac:dyDescent="0.2">
      <c r="A647" s="10"/>
      <c r="B647" s="10"/>
      <c r="D647" s="10"/>
      <c r="E647" s="10"/>
      <c r="G647" s="10"/>
    </row>
    <row r="648" spans="1:7" x14ac:dyDescent="0.2">
      <c r="A648" s="10"/>
      <c r="B648" s="10"/>
      <c r="D648" s="10"/>
      <c r="E648" s="10"/>
      <c r="G648" s="10"/>
    </row>
    <row r="649" spans="1:7" x14ac:dyDescent="0.2">
      <c r="A649" s="10"/>
      <c r="B649" s="10"/>
      <c r="D649" s="10"/>
      <c r="E649" s="10"/>
      <c r="G649" s="10"/>
    </row>
    <row r="650" spans="1:7" x14ac:dyDescent="0.2">
      <c r="A650" s="10"/>
      <c r="B650" s="10"/>
      <c r="D650" s="10"/>
      <c r="E650" s="10"/>
      <c r="G650" s="10"/>
    </row>
    <row r="651" spans="1:7" x14ac:dyDescent="0.2">
      <c r="A651" s="10"/>
      <c r="B651" s="10"/>
      <c r="D651" s="10"/>
      <c r="E651" s="10"/>
      <c r="G651" s="10"/>
    </row>
    <row r="652" spans="1:7" x14ac:dyDescent="0.2">
      <c r="A652" s="10"/>
      <c r="B652" s="10"/>
      <c r="D652" s="10"/>
      <c r="E652" s="10"/>
      <c r="G652" s="10"/>
    </row>
    <row r="653" spans="1:7" x14ac:dyDescent="0.2">
      <c r="A653" s="10"/>
      <c r="B653" s="10"/>
      <c r="D653" s="10"/>
      <c r="E653" s="10"/>
      <c r="G653" s="10"/>
    </row>
    <row r="654" spans="1:7" x14ac:dyDescent="0.2">
      <c r="A654" s="10"/>
      <c r="B654" s="10"/>
      <c r="D654" s="10"/>
      <c r="E654" s="10"/>
      <c r="G654" s="10"/>
    </row>
    <row r="655" spans="1:7" x14ac:dyDescent="0.2">
      <c r="A655" s="10"/>
    </row>
    <row r="656" spans="1:7" x14ac:dyDescent="0.2">
      <c r="A656" s="10"/>
    </row>
    <row r="657" spans="1:7" x14ac:dyDescent="0.2">
      <c r="A657" s="10"/>
      <c r="B657" s="10"/>
    </row>
    <row r="658" spans="1:7" x14ac:dyDescent="0.2">
      <c r="A658" s="10"/>
      <c r="B658" s="10"/>
    </row>
    <row r="659" spans="1:7" x14ac:dyDescent="0.2">
      <c r="A659" s="10"/>
    </row>
    <row r="660" spans="1:7" x14ac:dyDescent="0.2">
      <c r="A660" s="10"/>
      <c r="B660" s="10"/>
    </row>
    <row r="661" spans="1:7" x14ac:dyDescent="0.2">
      <c r="A661" s="10"/>
      <c r="B661" s="10"/>
      <c r="D661" s="10"/>
      <c r="E661" s="10"/>
      <c r="F661" s="10"/>
    </row>
    <row r="662" spans="1:7" x14ac:dyDescent="0.2">
      <c r="A662" s="10"/>
      <c r="B662" s="10"/>
      <c r="D662" s="10"/>
      <c r="E662" s="10"/>
      <c r="G662" s="10"/>
    </row>
    <row r="663" spans="1:7" x14ac:dyDescent="0.2">
      <c r="A663" s="10"/>
      <c r="B663" s="10"/>
      <c r="D663" s="10"/>
      <c r="E663" s="10"/>
      <c r="F663" s="10"/>
    </row>
    <row r="664" spans="1:7" x14ac:dyDescent="0.2">
      <c r="A664" s="10"/>
      <c r="B664" s="10"/>
      <c r="D664" s="10"/>
      <c r="E664" s="10"/>
      <c r="G664" s="10"/>
    </row>
    <row r="665" spans="1:7" x14ac:dyDescent="0.2">
      <c r="A665" s="10"/>
      <c r="B665" s="10"/>
      <c r="D665" s="10"/>
      <c r="E665" s="10"/>
      <c r="F665" s="10"/>
    </row>
    <row r="666" spans="1:7" x14ac:dyDescent="0.2">
      <c r="A666" s="10"/>
      <c r="B666" s="10"/>
      <c r="D666" s="10"/>
      <c r="E666" s="10"/>
      <c r="G666" s="10"/>
    </row>
    <row r="667" spans="1:7" x14ac:dyDescent="0.2">
      <c r="A667" s="10"/>
      <c r="B667" s="10"/>
      <c r="D667" s="10"/>
      <c r="E667" s="10"/>
      <c r="G667" s="10"/>
    </row>
    <row r="668" spans="1:7" x14ac:dyDescent="0.2">
      <c r="A668" s="10"/>
      <c r="B668" s="10"/>
      <c r="D668" s="10"/>
      <c r="E668" s="10"/>
      <c r="G668" s="10"/>
    </row>
    <row r="669" spans="1:7" x14ac:dyDescent="0.2">
      <c r="A669" s="10"/>
      <c r="B669" s="10"/>
      <c r="D669" s="10"/>
      <c r="E669" s="10"/>
      <c r="G669" s="10"/>
    </row>
    <row r="670" spans="1:7" x14ac:dyDescent="0.2">
      <c r="A670" s="10"/>
      <c r="B670" s="10"/>
      <c r="D670" s="10"/>
      <c r="E670" s="10"/>
      <c r="F670" s="10"/>
    </row>
    <row r="671" spans="1:7" x14ac:dyDescent="0.2">
      <c r="A671" s="10"/>
      <c r="B671" s="10"/>
    </row>
    <row r="672" spans="1:7" x14ac:dyDescent="0.2">
      <c r="A672" s="10"/>
    </row>
    <row r="673" spans="1:7" x14ac:dyDescent="0.2">
      <c r="A673" s="10"/>
      <c r="B673" s="10"/>
    </row>
    <row r="674" spans="1:7" x14ac:dyDescent="0.2">
      <c r="A674" s="10"/>
      <c r="B674" s="10"/>
      <c r="D674" s="10"/>
      <c r="E674" s="10"/>
      <c r="F674" s="10"/>
    </row>
    <row r="675" spans="1:7" x14ac:dyDescent="0.2">
      <c r="A675" s="10"/>
      <c r="B675" s="10"/>
      <c r="D675" s="10"/>
      <c r="E675" s="10"/>
      <c r="F675" s="10"/>
    </row>
    <row r="676" spans="1:7" x14ac:dyDescent="0.2">
      <c r="A676" s="10"/>
      <c r="B676" s="10"/>
      <c r="D676" s="10"/>
      <c r="E676" s="10"/>
      <c r="F676" s="10"/>
    </row>
    <row r="677" spans="1:7" x14ac:dyDescent="0.2">
      <c r="A677" s="10"/>
      <c r="B677" s="10"/>
      <c r="D677" s="10"/>
      <c r="E677" s="10"/>
      <c r="F677" s="10"/>
    </row>
    <row r="678" spans="1:7" x14ac:dyDescent="0.2">
      <c r="A678" s="10"/>
      <c r="B678" s="10"/>
      <c r="D678" s="10"/>
      <c r="E678" s="10"/>
      <c r="F678" s="10"/>
    </row>
    <row r="679" spans="1:7" x14ac:dyDescent="0.2">
      <c r="A679" s="10"/>
      <c r="B679" s="10"/>
      <c r="D679" s="10"/>
      <c r="E679" s="10"/>
      <c r="G679" s="10"/>
    </row>
    <row r="680" spans="1:7" x14ac:dyDescent="0.2">
      <c r="A680" s="10"/>
      <c r="B680" s="10"/>
      <c r="D680" s="10"/>
      <c r="E680" s="10"/>
      <c r="G680" s="10"/>
    </row>
    <row r="681" spans="1:7" x14ac:dyDescent="0.2">
      <c r="A681" s="10"/>
      <c r="B681" s="10"/>
      <c r="D681" s="10"/>
      <c r="E681" s="10"/>
      <c r="G681" s="10"/>
    </row>
    <row r="682" spans="1:7" x14ac:dyDescent="0.2">
      <c r="A682" s="10"/>
      <c r="B682" s="10"/>
      <c r="D682" s="10"/>
      <c r="E682" s="10"/>
      <c r="F682" s="10"/>
    </row>
    <row r="683" spans="1:7" x14ac:dyDescent="0.2">
      <c r="A683" s="10"/>
      <c r="B683" s="10"/>
      <c r="D683" s="10"/>
      <c r="E683" s="10"/>
      <c r="F683" s="10"/>
    </row>
    <row r="684" spans="1:7" x14ac:dyDescent="0.2">
      <c r="A684" s="10"/>
      <c r="B684" s="10"/>
      <c r="D684" s="10"/>
      <c r="E684" s="10"/>
      <c r="G684" s="10"/>
    </row>
    <row r="685" spans="1:7" x14ac:dyDescent="0.2">
      <c r="A685" s="10"/>
      <c r="B685" s="10"/>
      <c r="D685" s="10"/>
      <c r="E685" s="10"/>
      <c r="F685" s="10"/>
    </row>
    <row r="686" spans="1:7" x14ac:dyDescent="0.2">
      <c r="A686" s="10"/>
      <c r="B686" s="10"/>
      <c r="D686" s="10"/>
      <c r="E686" s="10"/>
      <c r="G686" s="10"/>
    </row>
    <row r="687" spans="1:7" x14ac:dyDescent="0.2">
      <c r="A687" s="10"/>
      <c r="B687" s="10"/>
      <c r="D687" s="10"/>
      <c r="E687" s="10"/>
      <c r="G687" s="10"/>
    </row>
    <row r="688" spans="1:7" x14ac:dyDescent="0.2">
      <c r="A688" s="10"/>
      <c r="B688" s="10"/>
      <c r="D688" s="10"/>
      <c r="E688" s="10"/>
      <c r="F688" s="10"/>
    </row>
    <row r="689" spans="1:7" x14ac:dyDescent="0.2">
      <c r="A689" s="10"/>
      <c r="B689" s="10"/>
      <c r="D689" s="10"/>
      <c r="E689" s="10"/>
      <c r="G689" s="10"/>
    </row>
    <row r="690" spans="1:7" x14ac:dyDescent="0.2">
      <c r="A690" s="10"/>
      <c r="B690" s="10"/>
      <c r="D690" s="10"/>
      <c r="E690" s="10"/>
      <c r="G690" s="10"/>
    </row>
    <row r="691" spans="1:7" x14ac:dyDescent="0.2">
      <c r="A691" s="10"/>
      <c r="B691" s="10"/>
      <c r="D691" s="10"/>
      <c r="E691" s="10"/>
      <c r="G691" s="10"/>
    </row>
    <row r="692" spans="1:7" x14ac:dyDescent="0.2">
      <c r="A692" s="10"/>
      <c r="B692" s="10"/>
      <c r="D692" s="10"/>
      <c r="E692" s="10"/>
      <c r="G692" s="10"/>
    </row>
    <row r="693" spans="1:7" x14ac:dyDescent="0.2">
      <c r="A693" s="10"/>
      <c r="B693" s="10"/>
      <c r="D693" s="10"/>
      <c r="E693" s="10"/>
      <c r="G693" s="10"/>
    </row>
    <row r="694" spans="1:7" x14ac:dyDescent="0.2">
      <c r="A694" s="10"/>
      <c r="B694" s="10"/>
      <c r="D694" s="10"/>
      <c r="E694" s="10"/>
      <c r="G694" s="10"/>
    </row>
    <row r="695" spans="1:7" x14ac:dyDescent="0.2">
      <c r="A695" s="10"/>
      <c r="B695" s="10"/>
      <c r="D695" s="10"/>
      <c r="E695" s="10"/>
      <c r="F695" s="10"/>
    </row>
    <row r="696" spans="1:7" x14ac:dyDescent="0.2">
      <c r="A696" s="10"/>
      <c r="B696" s="10"/>
      <c r="D696" s="10"/>
      <c r="E696" s="10"/>
      <c r="G696" s="10"/>
    </row>
    <row r="697" spans="1:7" x14ac:dyDescent="0.2">
      <c r="A697" s="10"/>
      <c r="B697" s="10"/>
      <c r="D697" s="10"/>
      <c r="E697" s="10"/>
      <c r="F697" s="10"/>
    </row>
    <row r="698" spans="1:7" x14ac:dyDescent="0.2">
      <c r="A698" s="10"/>
      <c r="B698" s="10"/>
      <c r="D698" s="10"/>
      <c r="E698" s="10"/>
      <c r="F698" s="10"/>
    </row>
    <row r="699" spans="1:7" x14ac:dyDescent="0.2">
      <c r="A699" s="10"/>
      <c r="B699" s="10"/>
      <c r="D699" s="10"/>
      <c r="E699" s="10"/>
      <c r="F699" s="10"/>
    </row>
    <row r="700" spans="1:7" x14ac:dyDescent="0.2">
      <c r="A700" s="10"/>
      <c r="B700" s="10"/>
      <c r="D700" s="10"/>
      <c r="E700" s="10"/>
      <c r="G700" s="10"/>
    </row>
    <row r="701" spans="1:7" x14ac:dyDescent="0.2">
      <c r="A701" s="10"/>
      <c r="B701" s="10"/>
      <c r="D701" s="10"/>
      <c r="E701" s="10"/>
      <c r="F701" s="10"/>
    </row>
    <row r="702" spans="1:7" x14ac:dyDescent="0.2">
      <c r="A702" s="10"/>
      <c r="B702" s="10"/>
      <c r="D702" s="10"/>
      <c r="E702" s="10"/>
      <c r="G702" s="10"/>
    </row>
    <row r="703" spans="1:7" x14ac:dyDescent="0.2">
      <c r="A703" s="10"/>
      <c r="B703" s="10"/>
      <c r="D703" s="10"/>
      <c r="E703" s="10"/>
      <c r="G703" s="10"/>
    </row>
    <row r="704" spans="1:7" x14ac:dyDescent="0.2">
      <c r="A704" s="10"/>
      <c r="B704" s="10"/>
      <c r="D704" s="10"/>
      <c r="E704" s="10"/>
      <c r="F704" s="10"/>
    </row>
    <row r="705" spans="1:7" x14ac:dyDescent="0.2">
      <c r="A705" s="10"/>
      <c r="B705" s="10"/>
      <c r="D705" s="10"/>
      <c r="E705" s="10"/>
      <c r="G705" s="10"/>
    </row>
    <row r="706" spans="1:7" x14ac:dyDescent="0.2">
      <c r="A706" s="10"/>
      <c r="B706" s="10"/>
      <c r="D706" s="10"/>
      <c r="E706" s="10"/>
      <c r="F706" s="10"/>
    </row>
    <row r="707" spans="1:7" x14ac:dyDescent="0.2">
      <c r="A707" s="10"/>
      <c r="B707" s="10"/>
    </row>
    <row r="708" spans="1:7" x14ac:dyDescent="0.2">
      <c r="A708" s="10"/>
    </row>
    <row r="709" spans="1:7" x14ac:dyDescent="0.2">
      <c r="A709" s="10"/>
    </row>
    <row r="710" spans="1:7" x14ac:dyDescent="0.2">
      <c r="A710" s="10"/>
      <c r="B710" s="10"/>
      <c r="D710" s="10"/>
      <c r="E710" s="10"/>
      <c r="F710" s="10"/>
    </row>
    <row r="711" spans="1:7" x14ac:dyDescent="0.2">
      <c r="A711" s="10"/>
      <c r="B711" s="10"/>
      <c r="D711" s="10"/>
      <c r="E711" s="10"/>
      <c r="G711" s="10"/>
    </row>
    <row r="712" spans="1:7" x14ac:dyDescent="0.2">
      <c r="A712" s="10"/>
      <c r="B712" s="10"/>
      <c r="D712" s="10"/>
      <c r="E712" s="10"/>
      <c r="F712" s="10"/>
    </row>
    <row r="713" spans="1:7" x14ac:dyDescent="0.2">
      <c r="A713" s="10"/>
      <c r="B713" s="10"/>
      <c r="D713" s="10"/>
      <c r="E713" s="10"/>
      <c r="G713" s="10"/>
    </row>
    <row r="714" spans="1:7" x14ac:dyDescent="0.2">
      <c r="A714" s="10"/>
      <c r="B714" s="10"/>
      <c r="D714" s="10"/>
      <c r="E714" s="10"/>
      <c r="G714" s="10"/>
    </row>
    <row r="715" spans="1:7" x14ac:dyDescent="0.2">
      <c r="A715" s="10"/>
      <c r="B715" s="10"/>
      <c r="D715" s="10"/>
      <c r="E715" s="10"/>
      <c r="F715" s="10"/>
    </row>
    <row r="716" spans="1:7" x14ac:dyDescent="0.2">
      <c r="A716" s="10"/>
      <c r="B716" s="10"/>
      <c r="D716" s="10"/>
      <c r="E716" s="10"/>
      <c r="G716" s="10"/>
    </row>
    <row r="717" spans="1:7" x14ac:dyDescent="0.2">
      <c r="A717" s="10"/>
      <c r="B717" s="10"/>
      <c r="D717" s="10"/>
      <c r="E717" s="10"/>
      <c r="F717" s="10"/>
    </row>
    <row r="718" spans="1:7" x14ac:dyDescent="0.2">
      <c r="A718" s="10"/>
      <c r="B718" s="10"/>
      <c r="D718" s="10"/>
      <c r="E718" s="10"/>
      <c r="G718" s="10"/>
    </row>
    <row r="719" spans="1:7" x14ac:dyDescent="0.2">
      <c r="A719" s="10"/>
    </row>
    <row r="720" spans="1:7" x14ac:dyDescent="0.2">
      <c r="A720" s="10"/>
    </row>
    <row r="721" spans="1:7" x14ac:dyDescent="0.2">
      <c r="A721" s="10"/>
    </row>
    <row r="722" spans="1:7" x14ac:dyDescent="0.2">
      <c r="A722" s="10"/>
      <c r="B722" s="10"/>
      <c r="D722" s="10"/>
      <c r="E722" s="10"/>
      <c r="G722" s="10"/>
    </row>
    <row r="723" spans="1:7" x14ac:dyDescent="0.2">
      <c r="A723" s="10"/>
    </row>
    <row r="724" spans="1:7" x14ac:dyDescent="0.2">
      <c r="A724" s="10"/>
    </row>
    <row r="725" spans="1:7" x14ac:dyDescent="0.2">
      <c r="A725" s="10"/>
    </row>
    <row r="726" spans="1:7" x14ac:dyDescent="0.2">
      <c r="A726" s="10"/>
      <c r="B726" s="10"/>
      <c r="D726" s="10"/>
      <c r="E726" s="10"/>
      <c r="F726" s="10"/>
    </row>
    <row r="727" spans="1:7" x14ac:dyDescent="0.2">
      <c r="A727" s="10"/>
    </row>
    <row r="728" spans="1:7" x14ac:dyDescent="0.2">
      <c r="A728" s="10"/>
    </row>
    <row r="729" spans="1:7" x14ac:dyDescent="0.2">
      <c r="A729" s="10"/>
      <c r="B729" s="10"/>
    </row>
    <row r="730" spans="1:7" x14ac:dyDescent="0.2">
      <c r="A730" s="10"/>
      <c r="B730" s="10"/>
      <c r="D730" s="10"/>
      <c r="E730" s="10"/>
      <c r="G730" s="10"/>
    </row>
    <row r="731" spans="1:7" x14ac:dyDescent="0.2">
      <c r="A731" s="10"/>
      <c r="B731" s="10"/>
      <c r="D731" s="10"/>
      <c r="E731" s="10"/>
      <c r="G731" s="10"/>
    </row>
    <row r="732" spans="1:7" x14ac:dyDescent="0.2">
      <c r="A732" s="10"/>
      <c r="B732" s="10"/>
    </row>
    <row r="733" spans="1:7" x14ac:dyDescent="0.2">
      <c r="A733" s="10"/>
    </row>
    <row r="734" spans="1:7" x14ac:dyDescent="0.2">
      <c r="A734" s="10"/>
    </row>
    <row r="735" spans="1:7" x14ac:dyDescent="0.2">
      <c r="A735" s="10"/>
      <c r="B735" s="10"/>
      <c r="D735" s="10"/>
      <c r="E735" s="10"/>
      <c r="F735" s="10"/>
    </row>
    <row r="736" spans="1:7" x14ac:dyDescent="0.2">
      <c r="A736" s="10"/>
      <c r="B736" s="10"/>
      <c r="D736" s="10"/>
      <c r="E736" s="10"/>
      <c r="G736" s="10"/>
    </row>
    <row r="737" spans="1:7" x14ac:dyDescent="0.2">
      <c r="A737" s="10"/>
      <c r="B737" s="10"/>
      <c r="D737" s="10"/>
      <c r="E737" s="10"/>
      <c r="F737" s="10"/>
    </row>
    <row r="738" spans="1:7" x14ac:dyDescent="0.2">
      <c r="A738" s="10"/>
      <c r="B738" s="10"/>
      <c r="D738" s="10"/>
      <c r="E738" s="10"/>
      <c r="F738" s="10"/>
    </row>
    <row r="739" spans="1:7" x14ac:dyDescent="0.2">
      <c r="A739" s="10"/>
      <c r="B739" s="10"/>
      <c r="D739" s="10"/>
      <c r="E739" s="10"/>
      <c r="F739" s="10"/>
    </row>
    <row r="740" spans="1:7" x14ac:dyDescent="0.2">
      <c r="A740" s="10"/>
      <c r="B740" s="10"/>
      <c r="D740" s="10"/>
      <c r="E740" s="10"/>
      <c r="G740" s="10"/>
    </row>
    <row r="741" spans="1:7" x14ac:dyDescent="0.2">
      <c r="A741" s="10"/>
      <c r="B741" s="10"/>
      <c r="D741" s="10"/>
      <c r="E741" s="10"/>
      <c r="G741" s="10"/>
    </row>
    <row r="742" spans="1:7" x14ac:dyDescent="0.2">
      <c r="A742" s="10"/>
      <c r="B742" s="10"/>
      <c r="D742" s="10"/>
      <c r="E742" s="10"/>
      <c r="G742" s="10"/>
    </row>
    <row r="743" spans="1:7" x14ac:dyDescent="0.2">
      <c r="A743" s="10"/>
      <c r="B743" s="10"/>
      <c r="D743" s="10"/>
      <c r="E743" s="10"/>
      <c r="G743" s="10"/>
    </row>
    <row r="744" spans="1:7" x14ac:dyDescent="0.2">
      <c r="A744" s="10"/>
      <c r="B744" s="10"/>
      <c r="D744" s="10"/>
      <c r="E744" s="10"/>
      <c r="G744" s="10"/>
    </row>
    <row r="745" spans="1:7" x14ac:dyDescent="0.2">
      <c r="A745" s="10"/>
    </row>
    <row r="746" spans="1:7" x14ac:dyDescent="0.2">
      <c r="A746" s="10"/>
    </row>
    <row r="747" spans="1:7" x14ac:dyDescent="0.2">
      <c r="A747" s="10"/>
    </row>
    <row r="748" spans="1:7" x14ac:dyDescent="0.2">
      <c r="A748" s="10"/>
      <c r="B748" s="10"/>
      <c r="D748" s="10"/>
      <c r="E748" s="10"/>
      <c r="F748" s="10"/>
    </row>
    <row r="749" spans="1:7" x14ac:dyDescent="0.2">
      <c r="A749" s="10"/>
      <c r="B749" s="10"/>
      <c r="D749" s="10"/>
      <c r="E749" s="10"/>
      <c r="G749" s="10"/>
    </row>
    <row r="750" spans="1:7" x14ac:dyDescent="0.2">
      <c r="A750" s="10"/>
    </row>
    <row r="751" spans="1:7" x14ac:dyDescent="0.2">
      <c r="A751" s="10"/>
    </row>
    <row r="752" spans="1:7" x14ac:dyDescent="0.2">
      <c r="A752" s="10"/>
    </row>
    <row r="753" spans="1:7" x14ac:dyDescent="0.2">
      <c r="A753" s="10"/>
      <c r="B753" s="10"/>
      <c r="D753" s="10"/>
      <c r="E753" s="10"/>
      <c r="F753" s="10"/>
    </row>
    <row r="754" spans="1:7" x14ac:dyDescent="0.2">
      <c r="A754" s="10"/>
      <c r="B754" s="10"/>
      <c r="D754" s="10"/>
      <c r="E754" s="10"/>
      <c r="G754" s="10"/>
    </row>
    <row r="755" spans="1:7" x14ac:dyDescent="0.2">
      <c r="A755" s="10"/>
    </row>
    <row r="756" spans="1:7" x14ac:dyDescent="0.2">
      <c r="A756" s="10"/>
    </row>
    <row r="757" spans="1:7" x14ac:dyDescent="0.2">
      <c r="A757" s="10"/>
    </row>
    <row r="758" spans="1:7" x14ac:dyDescent="0.2">
      <c r="A758" s="10"/>
      <c r="B758" s="10"/>
      <c r="D758" s="10"/>
      <c r="E758" s="10"/>
      <c r="G758" s="10"/>
    </row>
    <row r="759" spans="1:7" x14ac:dyDescent="0.2">
      <c r="A759" s="10"/>
    </row>
    <row r="760" spans="1:7" x14ac:dyDescent="0.2">
      <c r="A760" s="10"/>
    </row>
    <row r="761" spans="1:7" x14ac:dyDescent="0.2">
      <c r="A761" s="10"/>
    </row>
    <row r="762" spans="1:7" x14ac:dyDescent="0.2">
      <c r="A762" s="10"/>
      <c r="B762" s="10"/>
      <c r="D762" s="10"/>
      <c r="E762" s="10"/>
      <c r="F762" s="10"/>
    </row>
    <row r="763" spans="1:7" x14ac:dyDescent="0.2">
      <c r="A763" s="10"/>
      <c r="B763" s="10"/>
      <c r="D763" s="10"/>
      <c r="E763" s="10"/>
      <c r="G763" s="10"/>
    </row>
    <row r="764" spans="1:7" x14ac:dyDescent="0.2">
      <c r="A764" s="10"/>
    </row>
    <row r="765" spans="1:7" x14ac:dyDescent="0.2">
      <c r="A765" s="10"/>
    </row>
    <row r="766" spans="1:7" x14ac:dyDescent="0.2">
      <c r="A766" s="10"/>
      <c r="B766" s="10"/>
    </row>
    <row r="767" spans="1:7" x14ac:dyDescent="0.2">
      <c r="A767" s="10"/>
      <c r="B767" s="10"/>
    </row>
    <row r="768" spans="1:7" x14ac:dyDescent="0.2">
      <c r="A768" s="10"/>
    </row>
    <row r="769" spans="1:7" x14ac:dyDescent="0.2">
      <c r="A769" s="10"/>
      <c r="B769" s="10"/>
    </row>
    <row r="770" spans="1:7" x14ac:dyDescent="0.2">
      <c r="A770" s="10"/>
      <c r="B770" s="10"/>
      <c r="D770" s="10"/>
      <c r="E770" s="10"/>
      <c r="F770" s="10"/>
    </row>
    <row r="771" spans="1:7" x14ac:dyDescent="0.2">
      <c r="A771" s="10"/>
      <c r="B771" s="10"/>
      <c r="D771" s="10"/>
      <c r="E771" s="10"/>
      <c r="F771" s="10"/>
    </row>
    <row r="772" spans="1:7" x14ac:dyDescent="0.2">
      <c r="A772" s="10"/>
      <c r="B772" s="10"/>
      <c r="D772" s="10"/>
      <c r="E772" s="10"/>
      <c r="G772" s="10"/>
    </row>
    <row r="773" spans="1:7" x14ac:dyDescent="0.2">
      <c r="A773" s="10"/>
      <c r="B773" s="10"/>
      <c r="D773" s="10"/>
      <c r="E773" s="10"/>
      <c r="G773" s="10"/>
    </row>
    <row r="774" spans="1:7" x14ac:dyDescent="0.2">
      <c r="A774" s="10"/>
      <c r="B774" s="10"/>
      <c r="D774" s="10"/>
      <c r="E774" s="10"/>
      <c r="F774" s="10"/>
    </row>
    <row r="775" spans="1:7" x14ac:dyDescent="0.2">
      <c r="A775" s="10"/>
      <c r="B775" s="10"/>
      <c r="D775" s="10"/>
      <c r="E775" s="10"/>
      <c r="G775" s="10"/>
    </row>
    <row r="776" spans="1:7" x14ac:dyDescent="0.2">
      <c r="A776" s="10"/>
      <c r="B776" s="10"/>
      <c r="D776" s="10"/>
      <c r="E776" s="10"/>
      <c r="G776" s="10"/>
    </row>
    <row r="777" spans="1:7" x14ac:dyDescent="0.2">
      <c r="A777" s="10"/>
      <c r="B777" s="10"/>
      <c r="D777" s="10"/>
      <c r="E777" s="10"/>
      <c r="F777" s="10"/>
    </row>
    <row r="778" spans="1:7" x14ac:dyDescent="0.2">
      <c r="A778" s="10"/>
      <c r="B778" s="10"/>
      <c r="D778" s="10"/>
      <c r="E778" s="10"/>
      <c r="G778" s="10"/>
    </row>
    <row r="779" spans="1:7" x14ac:dyDescent="0.2">
      <c r="A779" s="10"/>
      <c r="B779" s="10"/>
      <c r="D779" s="10"/>
      <c r="E779" s="10"/>
      <c r="G779" s="10"/>
    </row>
    <row r="780" spans="1:7" x14ac:dyDescent="0.2">
      <c r="A780" s="10"/>
      <c r="B780" s="10"/>
      <c r="D780" s="10"/>
      <c r="E780" s="10"/>
      <c r="F780" s="10"/>
    </row>
    <row r="781" spans="1:7" x14ac:dyDescent="0.2">
      <c r="A781" s="10"/>
      <c r="B781" s="10"/>
      <c r="D781" s="10"/>
      <c r="E781" s="10"/>
      <c r="G781" s="10"/>
    </row>
    <row r="782" spans="1:7" x14ac:dyDescent="0.2">
      <c r="A782" s="10"/>
      <c r="B782" s="10"/>
    </row>
    <row r="783" spans="1:7" x14ac:dyDescent="0.2">
      <c r="A783" s="10"/>
    </row>
    <row r="784" spans="1:7" x14ac:dyDescent="0.2">
      <c r="A784" s="10"/>
    </row>
    <row r="785" spans="1:6" x14ac:dyDescent="0.2">
      <c r="A785" s="10"/>
      <c r="C785" s="10"/>
    </row>
    <row r="786" spans="1:6" x14ac:dyDescent="0.2">
      <c r="A786" s="10"/>
    </row>
    <row r="787" spans="1:6" x14ac:dyDescent="0.2">
      <c r="A787" s="10"/>
    </row>
    <row r="788" spans="1:6" x14ac:dyDescent="0.2">
      <c r="A788" s="10"/>
      <c r="C788" s="10"/>
    </row>
    <row r="789" spans="1:6" x14ac:dyDescent="0.2">
      <c r="A789" s="10"/>
    </row>
    <row r="790" spans="1:6" x14ac:dyDescent="0.2">
      <c r="A790" s="10"/>
      <c r="B790" s="10"/>
    </row>
    <row r="791" spans="1:6" x14ac:dyDescent="0.2">
      <c r="A791" s="10"/>
      <c r="B791" s="10"/>
    </row>
    <row r="792" spans="1:6" x14ac:dyDescent="0.2">
      <c r="A792" s="10"/>
    </row>
    <row r="793" spans="1:6" x14ac:dyDescent="0.2">
      <c r="A793" s="10"/>
    </row>
    <row r="794" spans="1:6" x14ac:dyDescent="0.2">
      <c r="A794" s="10"/>
      <c r="C794" s="10"/>
    </row>
    <row r="795" spans="1:6" x14ac:dyDescent="0.2">
      <c r="A795" s="10"/>
    </row>
    <row r="796" spans="1:6" x14ac:dyDescent="0.2">
      <c r="A796" s="10"/>
    </row>
    <row r="797" spans="1:6" x14ac:dyDescent="0.2">
      <c r="A797" s="10"/>
      <c r="C797" s="10"/>
    </row>
    <row r="798" spans="1:6" x14ac:dyDescent="0.2">
      <c r="A798" s="10"/>
    </row>
    <row r="799" spans="1:6" x14ac:dyDescent="0.2">
      <c r="A799" s="10"/>
      <c r="B799" s="10"/>
    </row>
    <row r="800" spans="1:6" x14ac:dyDescent="0.2">
      <c r="A800" s="10"/>
      <c r="B800" s="10"/>
      <c r="D800" s="10"/>
      <c r="E800" s="10"/>
      <c r="F800" s="10"/>
    </row>
    <row r="801" spans="1:7" x14ac:dyDescent="0.2">
      <c r="A801" s="10"/>
      <c r="B801" s="10"/>
      <c r="D801" s="10"/>
      <c r="E801" s="10"/>
      <c r="F801" s="10"/>
    </row>
    <row r="802" spans="1:7" x14ac:dyDescent="0.2">
      <c r="A802" s="10"/>
      <c r="B802" s="10"/>
      <c r="D802" s="10"/>
      <c r="E802" s="10"/>
      <c r="G802" s="10"/>
    </row>
    <row r="803" spans="1:7" x14ac:dyDescent="0.2">
      <c r="A803" s="10"/>
      <c r="B803" s="10"/>
      <c r="D803" s="10"/>
      <c r="E803" s="10"/>
      <c r="G803" s="10"/>
    </row>
    <row r="804" spans="1:7" x14ac:dyDescent="0.2">
      <c r="A804" s="10"/>
      <c r="B804" s="10"/>
      <c r="D804" s="10"/>
      <c r="E804" s="10"/>
      <c r="G804" s="10"/>
    </row>
    <row r="805" spans="1:7" x14ac:dyDescent="0.2">
      <c r="A805" s="10"/>
      <c r="B805" s="10"/>
      <c r="D805" s="10"/>
      <c r="E805" s="10"/>
      <c r="G805" s="10"/>
    </row>
    <row r="806" spans="1:7" x14ac:dyDescent="0.2">
      <c r="A806" s="10"/>
      <c r="B806" s="10"/>
      <c r="D806" s="10"/>
      <c r="E806" s="10"/>
      <c r="F806" s="10"/>
    </row>
    <row r="807" spans="1:7" x14ac:dyDescent="0.2">
      <c r="A807" s="10"/>
      <c r="B807" s="10"/>
      <c r="D807" s="10"/>
      <c r="E807" s="10"/>
      <c r="F807" s="10"/>
    </row>
    <row r="808" spans="1:7" x14ac:dyDescent="0.2">
      <c r="A808" s="10"/>
      <c r="B808" s="10"/>
      <c r="D808" s="10"/>
      <c r="E808" s="10"/>
      <c r="G808" s="10"/>
    </row>
    <row r="809" spans="1:7" x14ac:dyDescent="0.2">
      <c r="A809" s="10"/>
      <c r="B809" s="10"/>
    </row>
    <row r="810" spans="1:7" x14ac:dyDescent="0.2">
      <c r="A810" s="10"/>
    </row>
    <row r="811" spans="1:7" x14ac:dyDescent="0.2">
      <c r="A811" s="10"/>
    </row>
    <row r="812" spans="1:7" x14ac:dyDescent="0.2">
      <c r="A812" s="10"/>
      <c r="B812" s="10"/>
      <c r="D812" s="10"/>
      <c r="E812" s="10"/>
      <c r="F812" s="10"/>
    </row>
    <row r="813" spans="1:7" x14ac:dyDescent="0.2">
      <c r="A813" s="10"/>
      <c r="B813" s="10"/>
      <c r="D813" s="10"/>
      <c r="E813" s="10"/>
      <c r="F813" s="10"/>
    </row>
    <row r="814" spans="1:7" x14ac:dyDescent="0.2">
      <c r="A814" s="10"/>
      <c r="B814" s="10"/>
      <c r="D814" s="10"/>
      <c r="E814" s="10"/>
      <c r="F814" s="10"/>
    </row>
    <row r="815" spans="1:7" x14ac:dyDescent="0.2">
      <c r="A815" s="10"/>
      <c r="B815" s="10"/>
      <c r="D815" s="10"/>
      <c r="E815" s="10"/>
      <c r="G815" s="10"/>
    </row>
    <row r="816" spans="1:7" x14ac:dyDescent="0.2">
      <c r="A816" s="10"/>
      <c r="B816" s="10"/>
    </row>
    <row r="817" spans="1:7" x14ac:dyDescent="0.2">
      <c r="A817" s="10"/>
    </row>
    <row r="818" spans="1:7" x14ac:dyDescent="0.2">
      <c r="A818" s="10"/>
    </row>
    <row r="819" spans="1:7" x14ac:dyDescent="0.2">
      <c r="A819" s="10"/>
      <c r="C819" s="10"/>
    </row>
    <row r="820" spans="1:7" x14ac:dyDescent="0.2">
      <c r="A820" s="10"/>
    </row>
    <row r="821" spans="1:7" x14ac:dyDescent="0.2">
      <c r="A821" s="10"/>
      <c r="B821" s="10"/>
    </row>
    <row r="822" spans="1:7" x14ac:dyDescent="0.2">
      <c r="A822" s="10"/>
      <c r="B822" s="10"/>
      <c r="D822" s="10"/>
      <c r="E822" s="10"/>
      <c r="G822" s="10"/>
    </row>
    <row r="823" spans="1:7" x14ac:dyDescent="0.2">
      <c r="A823" s="10"/>
      <c r="B823" s="10"/>
      <c r="D823" s="10"/>
      <c r="E823" s="10"/>
      <c r="G823" s="10"/>
    </row>
    <row r="824" spans="1:7" x14ac:dyDescent="0.2">
      <c r="A824" s="10"/>
      <c r="B824" s="10"/>
      <c r="D824" s="10"/>
      <c r="E824" s="10"/>
      <c r="G824" s="10"/>
    </row>
    <row r="825" spans="1:7" x14ac:dyDescent="0.2">
      <c r="A825" s="10"/>
      <c r="B825" s="10"/>
    </row>
    <row r="826" spans="1:7" x14ac:dyDescent="0.2">
      <c r="A826" s="10"/>
    </row>
    <row r="827" spans="1:7" x14ac:dyDescent="0.2">
      <c r="A827" s="10"/>
    </row>
    <row r="828" spans="1:7" x14ac:dyDescent="0.2">
      <c r="A828" s="10"/>
      <c r="C828" s="10"/>
    </row>
    <row r="829" spans="1:7" x14ac:dyDescent="0.2">
      <c r="A829" s="10"/>
    </row>
    <row r="830" spans="1:7" x14ac:dyDescent="0.2">
      <c r="A830" s="10"/>
      <c r="B830" s="10"/>
    </row>
    <row r="831" spans="1:7" x14ac:dyDescent="0.2">
      <c r="A831" s="10"/>
      <c r="B831" s="10"/>
    </row>
    <row r="832" spans="1:7" x14ac:dyDescent="0.2">
      <c r="A832" s="10"/>
    </row>
    <row r="833" spans="1:7" x14ac:dyDescent="0.2">
      <c r="A833" s="10"/>
    </row>
    <row r="834" spans="1:7" x14ac:dyDescent="0.2">
      <c r="A834" s="10"/>
      <c r="C834" s="10"/>
    </row>
    <row r="835" spans="1:7" x14ac:dyDescent="0.2">
      <c r="A835" s="10"/>
    </row>
    <row r="836" spans="1:7" x14ac:dyDescent="0.2">
      <c r="A836" s="10"/>
    </row>
    <row r="837" spans="1:7" x14ac:dyDescent="0.2">
      <c r="A837" s="10"/>
      <c r="B837" s="10"/>
      <c r="D837" s="10"/>
      <c r="E837" s="10"/>
      <c r="F837" s="10"/>
    </row>
    <row r="838" spans="1:7" x14ac:dyDescent="0.2">
      <c r="A838" s="10"/>
      <c r="B838" s="10"/>
      <c r="D838" s="10"/>
      <c r="E838" s="10"/>
      <c r="F838" s="10"/>
    </row>
    <row r="839" spans="1:7" x14ac:dyDescent="0.2">
      <c r="A839" s="10"/>
      <c r="B839" s="10"/>
      <c r="D839" s="10"/>
      <c r="E839" s="10"/>
      <c r="G839" s="10"/>
    </row>
    <row r="840" spans="1:7" x14ac:dyDescent="0.2">
      <c r="A840" s="10"/>
      <c r="B840" s="10"/>
    </row>
    <row r="841" spans="1:7" x14ac:dyDescent="0.2">
      <c r="A841" s="10"/>
    </row>
    <row r="842" spans="1:7" x14ac:dyDescent="0.2">
      <c r="A842" s="10"/>
    </row>
    <row r="843" spans="1:7" x14ac:dyDescent="0.2">
      <c r="A843" s="10"/>
      <c r="C843" s="10"/>
    </row>
    <row r="844" spans="1:7" x14ac:dyDescent="0.2">
      <c r="A844" s="10"/>
    </row>
    <row r="845" spans="1:7" x14ac:dyDescent="0.2">
      <c r="A845" s="10"/>
    </row>
    <row r="846" spans="1:7" x14ac:dyDescent="0.2">
      <c r="A846" s="10"/>
      <c r="C846" s="10"/>
    </row>
    <row r="847" spans="1:7" x14ac:dyDescent="0.2">
      <c r="A847" s="10"/>
    </row>
    <row r="848" spans="1:7" x14ac:dyDescent="0.2">
      <c r="A848" s="10"/>
    </row>
    <row r="849" spans="1:7" x14ac:dyDescent="0.2">
      <c r="A849" s="10"/>
      <c r="C849" s="10"/>
    </row>
    <row r="850" spans="1:7" x14ac:dyDescent="0.2">
      <c r="A850" s="10"/>
    </row>
    <row r="851" spans="1:7" x14ac:dyDescent="0.2">
      <c r="A851" s="10"/>
      <c r="B851" s="10"/>
    </row>
    <row r="852" spans="1:7" x14ac:dyDescent="0.2">
      <c r="A852" s="10"/>
      <c r="B852" s="10"/>
    </row>
    <row r="853" spans="1:7" x14ac:dyDescent="0.2">
      <c r="A853" s="10"/>
    </row>
    <row r="854" spans="1:7" x14ac:dyDescent="0.2">
      <c r="A854" s="10"/>
      <c r="B854" s="10"/>
    </row>
    <row r="855" spans="1:7" x14ac:dyDescent="0.2">
      <c r="A855" s="10"/>
      <c r="B855" s="10"/>
      <c r="D855" s="10"/>
      <c r="E855" s="10"/>
      <c r="F855" s="10"/>
    </row>
    <row r="856" spans="1:7" x14ac:dyDescent="0.2">
      <c r="A856" s="10"/>
      <c r="B856" s="10"/>
      <c r="D856" s="10"/>
      <c r="E856" s="10"/>
      <c r="F856" s="10"/>
    </row>
    <row r="857" spans="1:7" x14ac:dyDescent="0.2">
      <c r="A857" s="10"/>
      <c r="B857" s="10"/>
      <c r="D857" s="10"/>
      <c r="E857" s="10"/>
      <c r="F857" s="10"/>
    </row>
    <row r="858" spans="1:7" x14ac:dyDescent="0.2">
      <c r="A858" s="10"/>
      <c r="B858" s="10"/>
      <c r="D858" s="10"/>
      <c r="E858" s="10"/>
      <c r="F858" s="10"/>
    </row>
    <row r="859" spans="1:7" x14ac:dyDescent="0.2">
      <c r="A859" s="10"/>
      <c r="B859" s="10"/>
      <c r="D859" s="10"/>
      <c r="E859" s="10"/>
      <c r="G859" s="10"/>
    </row>
    <row r="860" spans="1:7" x14ac:dyDescent="0.2">
      <c r="A860" s="10"/>
      <c r="B860" s="10"/>
      <c r="D860" s="10"/>
      <c r="E860" s="10"/>
      <c r="G860" s="10"/>
    </row>
    <row r="861" spans="1:7" x14ac:dyDescent="0.2">
      <c r="A861" s="10"/>
      <c r="B861" s="10"/>
      <c r="D861" s="10"/>
      <c r="E861" s="10"/>
      <c r="G861" s="10"/>
    </row>
    <row r="862" spans="1:7" x14ac:dyDescent="0.2">
      <c r="A862" s="10"/>
      <c r="B862" s="10"/>
    </row>
    <row r="863" spans="1:7" x14ac:dyDescent="0.2">
      <c r="A863" s="10"/>
    </row>
    <row r="864" spans="1:7" x14ac:dyDescent="0.2">
      <c r="A864" s="10"/>
    </row>
    <row r="865" spans="1:7" x14ac:dyDescent="0.2">
      <c r="A865" s="10"/>
      <c r="B865" s="10"/>
      <c r="D865" s="10"/>
      <c r="E865" s="10"/>
      <c r="G865" s="10"/>
    </row>
    <row r="866" spans="1:7" x14ac:dyDescent="0.2">
      <c r="A866" s="10"/>
      <c r="B866" s="10"/>
      <c r="D866" s="10"/>
      <c r="E866" s="10"/>
      <c r="G866" s="10"/>
    </row>
    <row r="867" spans="1:7" x14ac:dyDescent="0.2">
      <c r="A867" s="10"/>
      <c r="B867" s="10"/>
      <c r="D867" s="10"/>
      <c r="E867" s="10"/>
      <c r="G867" s="10"/>
    </row>
    <row r="868" spans="1:7" x14ac:dyDescent="0.2">
      <c r="A868" s="10"/>
      <c r="B868" s="10"/>
      <c r="D868" s="10"/>
      <c r="E868" s="10"/>
      <c r="G868" s="10"/>
    </row>
    <row r="869" spans="1:7" x14ac:dyDescent="0.2">
      <c r="A869" s="10"/>
      <c r="B869" s="10"/>
      <c r="D869" s="10"/>
      <c r="E869" s="10"/>
      <c r="G869" s="10"/>
    </row>
    <row r="870" spans="1:7" x14ac:dyDescent="0.2">
      <c r="A870" s="10"/>
      <c r="B870" s="10"/>
      <c r="D870" s="10"/>
      <c r="E870" s="10"/>
      <c r="G870" s="10"/>
    </row>
    <row r="871" spans="1:7" x14ac:dyDescent="0.2">
      <c r="A871" s="10"/>
      <c r="B871" s="10"/>
      <c r="D871" s="10"/>
      <c r="E871" s="10"/>
      <c r="G871" s="10"/>
    </row>
    <row r="872" spans="1:7" x14ac:dyDescent="0.2">
      <c r="A872" s="10"/>
      <c r="B872" s="10"/>
      <c r="D872" s="10"/>
      <c r="E872" s="10"/>
      <c r="G872" s="10"/>
    </row>
    <row r="873" spans="1:7" x14ac:dyDescent="0.2">
      <c r="A873" s="10"/>
      <c r="B873" s="10"/>
      <c r="D873" s="10"/>
      <c r="E873" s="10"/>
      <c r="G873" s="10"/>
    </row>
    <row r="874" spans="1:7" x14ac:dyDescent="0.2">
      <c r="A874" s="10"/>
      <c r="B874" s="10"/>
      <c r="D874" s="10"/>
      <c r="E874" s="10"/>
      <c r="G874" s="10"/>
    </row>
    <row r="875" spans="1:7" x14ac:dyDescent="0.2">
      <c r="A875" s="10"/>
      <c r="B875" s="10"/>
      <c r="D875" s="10"/>
      <c r="E875" s="10"/>
      <c r="G875" s="10"/>
    </row>
    <row r="876" spans="1:7" x14ac:dyDescent="0.2">
      <c r="A876" s="10"/>
      <c r="B876" s="10"/>
      <c r="D876" s="10"/>
      <c r="E876" s="10"/>
      <c r="G876" s="10"/>
    </row>
    <row r="877" spans="1:7" x14ac:dyDescent="0.2">
      <c r="A877" s="10"/>
      <c r="B877" s="10"/>
      <c r="D877" s="10"/>
      <c r="E877" s="10"/>
      <c r="G877" s="10"/>
    </row>
    <row r="878" spans="1:7" x14ac:dyDescent="0.2">
      <c r="A878" s="10"/>
      <c r="B878" s="10"/>
      <c r="D878" s="10"/>
      <c r="E878" s="10"/>
      <c r="G878" s="10"/>
    </row>
    <row r="879" spans="1:7" x14ac:dyDescent="0.2">
      <c r="A879" s="10"/>
      <c r="B879" s="10"/>
      <c r="D879" s="10"/>
      <c r="E879" s="10"/>
      <c r="G879" s="10"/>
    </row>
    <row r="880" spans="1:7" x14ac:dyDescent="0.2">
      <c r="A880" s="10"/>
      <c r="B880" s="10"/>
      <c r="D880" s="10"/>
      <c r="E880" s="10"/>
      <c r="G880" s="10"/>
    </row>
    <row r="881" spans="1:7" x14ac:dyDescent="0.2">
      <c r="A881" s="10"/>
      <c r="B881" s="10"/>
      <c r="D881" s="10"/>
      <c r="E881" s="10"/>
      <c r="G881" s="10"/>
    </row>
    <row r="882" spans="1:7" x14ac:dyDescent="0.2">
      <c r="A882" s="10"/>
      <c r="B882" s="10"/>
      <c r="D882" s="10"/>
      <c r="E882" s="10"/>
      <c r="G882" s="10"/>
    </row>
    <row r="883" spans="1:7" x14ac:dyDescent="0.2">
      <c r="A883" s="10"/>
      <c r="B883" s="10"/>
      <c r="D883" s="10"/>
      <c r="E883" s="10"/>
      <c r="G883" s="10"/>
    </row>
    <row r="884" spans="1:7" x14ac:dyDescent="0.2">
      <c r="A884" s="10"/>
      <c r="B884" s="10"/>
      <c r="D884" s="10"/>
      <c r="E884" s="10"/>
      <c r="G884" s="10"/>
    </row>
    <row r="885" spans="1:7" x14ac:dyDescent="0.2">
      <c r="A885" s="10"/>
      <c r="B885" s="10"/>
      <c r="D885" s="10"/>
      <c r="E885" s="10"/>
      <c r="G885" s="10"/>
    </row>
    <row r="886" spans="1:7" x14ac:dyDescent="0.2">
      <c r="A886" s="10"/>
      <c r="B886" s="10"/>
      <c r="D886" s="10"/>
      <c r="E886" s="10"/>
      <c r="G886" s="10"/>
    </row>
    <row r="887" spans="1:7" x14ac:dyDescent="0.2">
      <c r="A887" s="10"/>
    </row>
    <row r="888" spans="1:7" x14ac:dyDescent="0.2">
      <c r="A888" s="10"/>
    </row>
    <row r="889" spans="1:7" x14ac:dyDescent="0.2">
      <c r="A889" s="10"/>
    </row>
    <row r="890" spans="1:7" x14ac:dyDescent="0.2">
      <c r="A890" s="10"/>
      <c r="C890" s="10"/>
    </row>
    <row r="891" spans="1:7" x14ac:dyDescent="0.2">
      <c r="A891" s="10"/>
    </row>
    <row r="892" spans="1:7" x14ac:dyDescent="0.2">
      <c r="A892" s="10"/>
    </row>
    <row r="893" spans="1:7" x14ac:dyDescent="0.2">
      <c r="A893" s="10"/>
      <c r="B893" s="10"/>
      <c r="D893" s="10"/>
      <c r="E893" s="10"/>
      <c r="F893" s="10"/>
    </row>
    <row r="894" spans="1:7" x14ac:dyDescent="0.2">
      <c r="A894" s="10"/>
      <c r="B894" s="10"/>
      <c r="D894" s="10"/>
      <c r="E894" s="10"/>
      <c r="G894" s="10"/>
    </row>
    <row r="895" spans="1:7" x14ac:dyDescent="0.2">
      <c r="A895" s="10"/>
      <c r="B895" s="10"/>
      <c r="D895" s="10"/>
      <c r="E895" s="10"/>
      <c r="F895" s="10"/>
    </row>
    <row r="896" spans="1:7" x14ac:dyDescent="0.2">
      <c r="A896" s="10"/>
      <c r="B896" s="10"/>
      <c r="D896" s="10"/>
      <c r="E896" s="10"/>
      <c r="G896" s="10"/>
    </row>
    <row r="897" spans="1:7" x14ac:dyDescent="0.2">
      <c r="A897" s="10"/>
    </row>
    <row r="898" spans="1:7" x14ac:dyDescent="0.2">
      <c r="A898" s="10"/>
    </row>
    <row r="899" spans="1:7" x14ac:dyDescent="0.2">
      <c r="A899" s="10"/>
      <c r="B899" s="10"/>
    </row>
    <row r="900" spans="1:7" x14ac:dyDescent="0.2">
      <c r="A900" s="10"/>
      <c r="B900" s="10"/>
    </row>
    <row r="901" spans="1:7" x14ac:dyDescent="0.2">
      <c r="A901" s="10"/>
    </row>
    <row r="902" spans="1:7" x14ac:dyDescent="0.2">
      <c r="A902" s="10"/>
      <c r="B902" s="10"/>
    </row>
    <row r="903" spans="1:7" x14ac:dyDescent="0.2">
      <c r="A903" s="10"/>
      <c r="B903" s="10"/>
      <c r="D903" s="10"/>
      <c r="E903" s="10"/>
      <c r="F903" s="10"/>
    </row>
    <row r="904" spans="1:7" x14ac:dyDescent="0.2">
      <c r="A904" s="10"/>
      <c r="B904" s="10"/>
      <c r="D904" s="10"/>
      <c r="E904" s="10"/>
      <c r="G904" s="10"/>
    </row>
    <row r="905" spans="1:7" x14ac:dyDescent="0.2">
      <c r="A905" s="10"/>
      <c r="B905" s="10"/>
    </row>
    <row r="906" spans="1:7" x14ac:dyDescent="0.2">
      <c r="A906" s="10"/>
    </row>
    <row r="907" spans="1:7" x14ac:dyDescent="0.2">
      <c r="A907" s="10"/>
    </row>
    <row r="908" spans="1:7" x14ac:dyDescent="0.2">
      <c r="A908" s="10"/>
      <c r="C908" s="10"/>
    </row>
    <row r="909" spans="1:7" x14ac:dyDescent="0.2">
      <c r="A909" s="10"/>
    </row>
    <row r="910" spans="1:7" x14ac:dyDescent="0.2">
      <c r="A910" s="10"/>
    </row>
    <row r="911" spans="1:7" x14ac:dyDescent="0.2">
      <c r="A911" s="10"/>
      <c r="B911" s="10"/>
      <c r="D911" s="10"/>
      <c r="E911" s="10"/>
      <c r="G911" s="10"/>
    </row>
    <row r="912" spans="1:7" x14ac:dyDescent="0.2">
      <c r="A912" s="10"/>
      <c r="B912" s="10"/>
      <c r="D912" s="10"/>
      <c r="E912" s="10"/>
      <c r="G912" s="10"/>
    </row>
    <row r="913" spans="1:7" x14ac:dyDescent="0.2">
      <c r="A913" s="10"/>
      <c r="B913" s="10"/>
      <c r="D913" s="10"/>
      <c r="E913" s="10"/>
      <c r="G913" s="10"/>
    </row>
    <row r="914" spans="1:7" x14ac:dyDescent="0.2">
      <c r="A914" s="10"/>
      <c r="B914" s="10"/>
      <c r="D914" s="10"/>
      <c r="E914" s="10"/>
      <c r="G914" s="10"/>
    </row>
    <row r="915" spans="1:7" x14ac:dyDescent="0.2">
      <c r="A915" s="10"/>
      <c r="B915" s="10"/>
      <c r="D915" s="10"/>
      <c r="E915" s="10"/>
      <c r="G915" s="10"/>
    </row>
    <row r="916" spans="1:7" x14ac:dyDescent="0.2">
      <c r="A916" s="10"/>
      <c r="B916" s="10"/>
      <c r="D916" s="10"/>
      <c r="E916" s="10"/>
      <c r="G916" s="10"/>
    </row>
    <row r="917" spans="1:7" x14ac:dyDescent="0.2">
      <c r="A917" s="10"/>
      <c r="B917" s="10"/>
      <c r="D917" s="10"/>
      <c r="E917" s="10"/>
      <c r="G917" s="10"/>
    </row>
    <row r="918" spans="1:7" x14ac:dyDescent="0.2">
      <c r="A918" s="10"/>
      <c r="B918" s="10"/>
      <c r="D918" s="10"/>
      <c r="E918" s="10"/>
      <c r="G918" s="10"/>
    </row>
    <row r="919" spans="1:7" x14ac:dyDescent="0.2">
      <c r="A919" s="10"/>
      <c r="B919" s="10"/>
      <c r="D919" s="10"/>
      <c r="E919" s="10"/>
      <c r="G919" s="10"/>
    </row>
    <row r="920" spans="1:7" x14ac:dyDescent="0.2">
      <c r="A920" s="10"/>
      <c r="B920" s="10"/>
      <c r="D920" s="10"/>
      <c r="E920" s="10"/>
      <c r="G920" s="10"/>
    </row>
    <row r="921" spans="1:7" x14ac:dyDescent="0.2">
      <c r="A921" s="10"/>
      <c r="B921" s="10"/>
      <c r="D921" s="10"/>
      <c r="E921" s="10"/>
      <c r="G921" s="10"/>
    </row>
    <row r="922" spans="1:7" x14ac:dyDescent="0.2">
      <c r="A922" s="10"/>
      <c r="B922" s="10"/>
      <c r="D922" s="10"/>
      <c r="E922" s="10"/>
      <c r="G922" s="10"/>
    </row>
    <row r="923" spans="1:7" x14ac:dyDescent="0.2">
      <c r="A923" s="10"/>
      <c r="B923" s="10"/>
      <c r="D923" s="10"/>
      <c r="E923" s="10"/>
      <c r="G923" s="10"/>
    </row>
    <row r="924" spans="1:7" x14ac:dyDescent="0.2">
      <c r="A924" s="10"/>
      <c r="B924" s="10"/>
      <c r="D924" s="10"/>
      <c r="E924" s="10"/>
      <c r="F924" s="10"/>
    </row>
    <row r="925" spans="1:7" x14ac:dyDescent="0.2">
      <c r="A925" s="10"/>
      <c r="B925" s="10"/>
      <c r="D925" s="10"/>
      <c r="E925" s="10"/>
      <c r="G925" s="10"/>
    </row>
    <row r="926" spans="1:7" x14ac:dyDescent="0.2">
      <c r="A926" s="10"/>
      <c r="B926" s="10"/>
      <c r="D926" s="10"/>
      <c r="E926" s="10"/>
      <c r="G926" s="10"/>
    </row>
    <row r="927" spans="1:7" x14ac:dyDescent="0.2">
      <c r="A927" s="10"/>
      <c r="B927" s="10"/>
      <c r="D927" s="10"/>
      <c r="E927" s="10"/>
      <c r="F927" s="10"/>
    </row>
    <row r="928" spans="1:7" x14ac:dyDescent="0.2">
      <c r="A928" s="10"/>
      <c r="B928" s="10"/>
      <c r="D928" s="10"/>
      <c r="E928" s="10"/>
      <c r="F928" s="10"/>
    </row>
    <row r="929" spans="1:7" x14ac:dyDescent="0.2">
      <c r="A929" s="10"/>
      <c r="B929" s="10"/>
      <c r="D929" s="10"/>
      <c r="E929" s="10"/>
      <c r="G929" s="10"/>
    </row>
    <row r="930" spans="1:7" x14ac:dyDescent="0.2">
      <c r="A930" s="10"/>
      <c r="B930" s="10"/>
      <c r="D930" s="10"/>
      <c r="E930" s="10"/>
      <c r="G930" s="10"/>
    </row>
    <row r="931" spans="1:7" x14ac:dyDescent="0.2">
      <c r="A931" s="10"/>
      <c r="B931" s="10"/>
      <c r="D931" s="10"/>
      <c r="E931" s="10"/>
      <c r="G931" s="10"/>
    </row>
    <row r="932" spans="1:7" x14ac:dyDescent="0.2">
      <c r="A932" s="10"/>
      <c r="B932" s="10"/>
      <c r="D932" s="10"/>
      <c r="E932" s="10"/>
      <c r="G932" s="10"/>
    </row>
    <row r="933" spans="1:7" x14ac:dyDescent="0.2">
      <c r="A933" s="10"/>
      <c r="B933" s="10"/>
      <c r="D933" s="10"/>
      <c r="E933" s="10"/>
      <c r="G933" s="10"/>
    </row>
    <row r="934" spans="1:7" x14ac:dyDescent="0.2">
      <c r="A934" s="10"/>
      <c r="B934" s="10"/>
      <c r="D934" s="10"/>
      <c r="E934" s="10"/>
      <c r="G934" s="10"/>
    </row>
    <row r="935" spans="1:7" x14ac:dyDescent="0.2">
      <c r="A935" s="10"/>
      <c r="B935" s="10"/>
      <c r="D935" s="10"/>
      <c r="E935" s="10"/>
      <c r="G935" s="10"/>
    </row>
    <row r="936" spans="1:7" x14ac:dyDescent="0.2">
      <c r="A936" s="10"/>
      <c r="B936" s="10"/>
      <c r="D936" s="10"/>
      <c r="E936" s="10"/>
      <c r="G936" s="10"/>
    </row>
    <row r="937" spans="1:7" x14ac:dyDescent="0.2">
      <c r="A937" s="10"/>
      <c r="B937" s="10"/>
      <c r="D937" s="10"/>
      <c r="E937" s="10"/>
      <c r="G937" s="10"/>
    </row>
    <row r="938" spans="1:7" x14ac:dyDescent="0.2">
      <c r="A938" s="10"/>
      <c r="B938" s="10"/>
      <c r="D938" s="10"/>
      <c r="E938" s="10"/>
      <c r="F938" s="10"/>
    </row>
    <row r="939" spans="1:7" x14ac:dyDescent="0.2">
      <c r="A939" s="10"/>
      <c r="B939" s="10"/>
      <c r="D939" s="10"/>
      <c r="E939" s="10"/>
      <c r="G939" s="10"/>
    </row>
    <row r="940" spans="1:7" x14ac:dyDescent="0.2">
      <c r="A940" s="10"/>
      <c r="B940" s="10"/>
      <c r="D940" s="10"/>
      <c r="E940" s="10"/>
      <c r="G940" s="10"/>
    </row>
    <row r="941" spans="1:7" x14ac:dyDescent="0.2">
      <c r="A941" s="10"/>
      <c r="B941" s="10"/>
      <c r="D941" s="10"/>
      <c r="E941" s="10"/>
      <c r="G941" s="10"/>
    </row>
    <row r="942" spans="1:7" x14ac:dyDescent="0.2">
      <c r="A942" s="10"/>
      <c r="B942" s="10"/>
      <c r="D942" s="10"/>
      <c r="E942" s="10"/>
      <c r="G942" s="10"/>
    </row>
    <row r="943" spans="1:7" x14ac:dyDescent="0.2">
      <c r="A943" s="10"/>
      <c r="B943" s="10"/>
      <c r="D943" s="10"/>
      <c r="E943" s="10"/>
      <c r="G943" s="10"/>
    </row>
    <row r="944" spans="1:7" x14ac:dyDescent="0.2">
      <c r="A944" s="10"/>
      <c r="B944" s="10"/>
      <c r="D944" s="10"/>
      <c r="E944" s="10"/>
      <c r="G944" s="10"/>
    </row>
    <row r="945" spans="1:7" x14ac:dyDescent="0.2">
      <c r="A945" s="10"/>
      <c r="B945" s="10"/>
      <c r="D945" s="10"/>
      <c r="E945" s="10"/>
      <c r="F945" s="10"/>
    </row>
    <row r="946" spans="1:7" x14ac:dyDescent="0.2">
      <c r="A946" s="10"/>
      <c r="B946" s="10"/>
      <c r="D946" s="10"/>
      <c r="E946" s="10"/>
      <c r="F946" s="10"/>
    </row>
    <row r="947" spans="1:7" x14ac:dyDescent="0.2">
      <c r="A947" s="10"/>
      <c r="B947" s="10"/>
      <c r="D947" s="10"/>
      <c r="E947" s="10"/>
      <c r="G947" s="10"/>
    </row>
    <row r="948" spans="1:7" x14ac:dyDescent="0.2">
      <c r="A948" s="10"/>
      <c r="B948" s="10"/>
      <c r="D948" s="10"/>
      <c r="E948" s="10"/>
      <c r="G948" s="10"/>
    </row>
    <row r="949" spans="1:7" x14ac:dyDescent="0.2">
      <c r="A949" s="10"/>
      <c r="B949" s="10"/>
      <c r="D949" s="10"/>
      <c r="E949" s="10"/>
      <c r="G949" s="10"/>
    </row>
    <row r="950" spans="1:7" x14ac:dyDescent="0.2">
      <c r="A950" s="10"/>
      <c r="B950" s="10"/>
      <c r="D950" s="10"/>
      <c r="E950" s="10"/>
      <c r="F950" s="10"/>
    </row>
    <row r="951" spans="1:7" x14ac:dyDescent="0.2">
      <c r="A951" s="10"/>
      <c r="B951" s="10"/>
      <c r="D951" s="10"/>
      <c r="E951" s="10"/>
      <c r="F951" s="10"/>
    </row>
    <row r="952" spans="1:7" x14ac:dyDescent="0.2">
      <c r="A952" s="10"/>
      <c r="B952" s="10"/>
      <c r="D952" s="10"/>
      <c r="E952" s="10"/>
      <c r="G952" s="10"/>
    </row>
    <row r="953" spans="1:7" x14ac:dyDescent="0.2">
      <c r="A953" s="10"/>
      <c r="B953" s="10"/>
      <c r="D953" s="10"/>
      <c r="E953" s="10"/>
      <c r="G953" s="10"/>
    </row>
    <row r="954" spans="1:7" x14ac:dyDescent="0.2">
      <c r="A954" s="10"/>
      <c r="B954" s="10"/>
      <c r="D954" s="10"/>
      <c r="E954" s="10"/>
      <c r="G954" s="10"/>
    </row>
    <row r="955" spans="1:7" x14ac:dyDescent="0.2">
      <c r="A955" s="10"/>
      <c r="B955" s="10"/>
      <c r="D955" s="10"/>
      <c r="E955" s="10"/>
      <c r="G955" s="10"/>
    </row>
    <row r="956" spans="1:7" x14ac:dyDescent="0.2">
      <c r="A956" s="10"/>
      <c r="B956" s="10"/>
      <c r="D956" s="10"/>
      <c r="E956" s="10"/>
      <c r="G956" s="10"/>
    </row>
    <row r="957" spans="1:7" x14ac:dyDescent="0.2">
      <c r="A957" s="10"/>
      <c r="B957" s="10"/>
      <c r="D957" s="10"/>
      <c r="E957" s="10"/>
      <c r="G957" s="10"/>
    </row>
    <row r="958" spans="1:7" x14ac:dyDescent="0.2">
      <c r="A958" s="10"/>
      <c r="B958" s="10"/>
      <c r="D958" s="10"/>
      <c r="E958" s="10"/>
      <c r="F958" s="10"/>
    </row>
    <row r="959" spans="1:7" x14ac:dyDescent="0.2">
      <c r="A959" s="10"/>
      <c r="B959" s="10"/>
      <c r="D959" s="10"/>
      <c r="E959" s="10"/>
      <c r="G959" s="10"/>
    </row>
    <row r="960" spans="1:7" x14ac:dyDescent="0.2">
      <c r="A960" s="10"/>
      <c r="B960" s="10"/>
      <c r="D960" s="10"/>
      <c r="E960" s="10"/>
      <c r="G960" s="10"/>
    </row>
    <row r="961" spans="1:7" x14ac:dyDescent="0.2">
      <c r="A961" s="10"/>
      <c r="B961" s="10"/>
      <c r="D961" s="10"/>
      <c r="E961" s="10"/>
      <c r="G961" s="10"/>
    </row>
    <row r="962" spans="1:7" x14ac:dyDescent="0.2">
      <c r="A962" s="10"/>
      <c r="B962" s="10"/>
      <c r="D962" s="10"/>
      <c r="E962" s="10"/>
      <c r="G962" s="10"/>
    </row>
    <row r="963" spans="1:7" x14ac:dyDescent="0.2">
      <c r="A963" s="10"/>
      <c r="B963" s="10"/>
      <c r="D963" s="10"/>
      <c r="E963" s="10"/>
      <c r="F963" s="10"/>
    </row>
    <row r="964" spans="1:7" x14ac:dyDescent="0.2">
      <c r="A964" s="10"/>
      <c r="B964" s="10"/>
      <c r="D964" s="10"/>
      <c r="E964" s="10"/>
      <c r="F964" s="10"/>
    </row>
    <row r="965" spans="1:7" x14ac:dyDescent="0.2">
      <c r="A965" s="10"/>
      <c r="B965" s="10"/>
      <c r="D965" s="10"/>
      <c r="E965" s="10"/>
      <c r="F965" s="10"/>
    </row>
    <row r="966" spans="1:7" x14ac:dyDescent="0.2">
      <c r="A966" s="10"/>
      <c r="B966" s="10"/>
      <c r="D966" s="10"/>
      <c r="E966" s="10"/>
      <c r="F966" s="10"/>
    </row>
    <row r="967" spans="1:7" x14ac:dyDescent="0.2">
      <c r="A967" s="10"/>
      <c r="B967" s="10"/>
      <c r="D967" s="10"/>
      <c r="E967" s="10"/>
      <c r="G967" s="10"/>
    </row>
    <row r="968" spans="1:7" x14ac:dyDescent="0.2">
      <c r="A968" s="10"/>
      <c r="B968" s="10"/>
      <c r="D968" s="10"/>
      <c r="E968" s="10"/>
      <c r="G968" s="10"/>
    </row>
    <row r="969" spans="1:7" x14ac:dyDescent="0.2">
      <c r="A969" s="10"/>
      <c r="B969" s="10"/>
      <c r="D969" s="10"/>
      <c r="E969" s="10"/>
      <c r="G969" s="10"/>
    </row>
    <row r="970" spans="1:7" x14ac:dyDescent="0.2">
      <c r="A970" s="10"/>
      <c r="B970" s="10"/>
      <c r="D970" s="10"/>
      <c r="E970" s="10"/>
      <c r="G970" s="10"/>
    </row>
    <row r="971" spans="1:7" x14ac:dyDescent="0.2">
      <c r="A971" s="10"/>
      <c r="B971" s="10"/>
      <c r="D971" s="10"/>
      <c r="E971" s="10"/>
      <c r="G971" s="10"/>
    </row>
    <row r="972" spans="1:7" x14ac:dyDescent="0.2">
      <c r="A972" s="10"/>
      <c r="B972" s="10"/>
      <c r="D972" s="10"/>
      <c r="E972" s="10"/>
      <c r="F972" s="10"/>
    </row>
    <row r="973" spans="1:7" x14ac:dyDescent="0.2">
      <c r="A973" s="10"/>
      <c r="B973" s="10"/>
      <c r="D973" s="10"/>
      <c r="E973" s="10"/>
      <c r="G973" s="10"/>
    </row>
    <row r="974" spans="1:7" x14ac:dyDescent="0.2">
      <c r="A974" s="10"/>
      <c r="B974" s="10"/>
      <c r="D974" s="10"/>
      <c r="E974" s="10"/>
      <c r="G974" s="10"/>
    </row>
    <row r="975" spans="1:7" x14ac:dyDescent="0.2">
      <c r="A975" s="10"/>
      <c r="B975" s="10"/>
      <c r="D975" s="10"/>
      <c r="E975" s="10"/>
      <c r="F975" s="10"/>
    </row>
    <row r="976" spans="1:7" x14ac:dyDescent="0.2">
      <c r="A976" s="10"/>
      <c r="B976" s="10"/>
      <c r="D976" s="10"/>
      <c r="E976" s="10"/>
      <c r="G976" s="10"/>
    </row>
    <row r="977" spans="1:7" x14ac:dyDescent="0.2">
      <c r="A977" s="10"/>
      <c r="B977" s="10"/>
      <c r="D977" s="10"/>
      <c r="E977" s="10"/>
      <c r="G977" s="10"/>
    </row>
    <row r="978" spans="1:7" x14ac:dyDescent="0.2">
      <c r="A978" s="10"/>
      <c r="B978" s="10"/>
      <c r="D978" s="10"/>
      <c r="E978" s="10"/>
      <c r="G978" s="10"/>
    </row>
    <row r="979" spans="1:7" x14ac:dyDescent="0.2">
      <c r="A979" s="10"/>
      <c r="B979" s="10"/>
      <c r="D979" s="10"/>
      <c r="E979" s="10"/>
      <c r="G979" s="10"/>
    </row>
    <row r="980" spans="1:7" x14ac:dyDescent="0.2">
      <c r="A980" s="10"/>
      <c r="B980" s="10"/>
      <c r="D980" s="10"/>
      <c r="E980" s="10"/>
      <c r="G980" s="10"/>
    </row>
    <row r="981" spans="1:7" x14ac:dyDescent="0.2">
      <c r="A981" s="10"/>
      <c r="B981" s="10"/>
      <c r="D981" s="10"/>
      <c r="E981" s="10"/>
      <c r="G981" s="10"/>
    </row>
    <row r="982" spans="1:7" x14ac:dyDescent="0.2">
      <c r="A982" s="10"/>
      <c r="B982" s="10"/>
      <c r="D982" s="10"/>
      <c r="E982" s="10"/>
      <c r="F982" s="10"/>
    </row>
    <row r="983" spans="1:7" x14ac:dyDescent="0.2">
      <c r="A983" s="10"/>
      <c r="B983" s="10"/>
      <c r="D983" s="10"/>
      <c r="E983" s="10"/>
      <c r="F983" s="10"/>
    </row>
    <row r="984" spans="1:7" x14ac:dyDescent="0.2">
      <c r="A984" s="10"/>
      <c r="B984" s="10"/>
      <c r="D984" s="10"/>
      <c r="E984" s="10"/>
      <c r="G984" s="10"/>
    </row>
    <row r="985" spans="1:7" x14ac:dyDescent="0.2">
      <c r="A985" s="10"/>
      <c r="B985" s="10"/>
      <c r="D985" s="10"/>
      <c r="E985" s="10"/>
      <c r="G985" s="10"/>
    </row>
    <row r="986" spans="1:7" x14ac:dyDescent="0.2">
      <c r="A986" s="10"/>
      <c r="B986" s="10"/>
      <c r="D986" s="10"/>
      <c r="E986" s="10"/>
      <c r="G986" s="10"/>
    </row>
    <row r="987" spans="1:7" x14ac:dyDescent="0.2">
      <c r="A987" s="10"/>
      <c r="B987" s="10"/>
      <c r="D987" s="10"/>
      <c r="E987" s="10"/>
      <c r="G987" s="10"/>
    </row>
    <row r="988" spans="1:7" x14ac:dyDescent="0.2">
      <c r="A988" s="10"/>
    </row>
    <row r="989" spans="1:7" x14ac:dyDescent="0.2">
      <c r="A989" s="10"/>
    </row>
    <row r="990" spans="1:7" x14ac:dyDescent="0.2">
      <c r="A990" s="10"/>
      <c r="B990" s="10"/>
    </row>
    <row r="991" spans="1:7" x14ac:dyDescent="0.2">
      <c r="A991" s="10"/>
      <c r="B991" s="10"/>
    </row>
    <row r="992" spans="1:7" x14ac:dyDescent="0.2">
      <c r="A992" s="10"/>
    </row>
    <row r="993" spans="1:7" x14ac:dyDescent="0.2">
      <c r="A993" s="10"/>
    </row>
    <row r="994" spans="1:7" x14ac:dyDescent="0.2">
      <c r="A994" s="10"/>
      <c r="C994" s="10"/>
    </row>
    <row r="995" spans="1:7" x14ac:dyDescent="0.2">
      <c r="A995" s="10"/>
    </row>
    <row r="996" spans="1:7" x14ac:dyDescent="0.2">
      <c r="A996" s="10"/>
    </row>
    <row r="997" spans="1:7" x14ac:dyDescent="0.2">
      <c r="A997" s="10"/>
      <c r="B997" s="10"/>
      <c r="D997" s="10"/>
      <c r="E997" s="10"/>
      <c r="F997" s="10"/>
    </row>
    <row r="998" spans="1:7" x14ac:dyDescent="0.2">
      <c r="A998" s="10"/>
      <c r="B998" s="10"/>
      <c r="D998" s="10"/>
      <c r="E998" s="10"/>
      <c r="G998" s="10"/>
    </row>
    <row r="999" spans="1:7" x14ac:dyDescent="0.2">
      <c r="A999" s="10"/>
    </row>
    <row r="1000" spans="1:7" x14ac:dyDescent="0.2">
      <c r="A1000" s="10"/>
    </row>
    <row r="1001" spans="1:7" x14ac:dyDescent="0.2">
      <c r="A1001" s="10"/>
    </row>
    <row r="1002" spans="1:7" x14ac:dyDescent="0.2">
      <c r="A1002" s="10"/>
      <c r="C1002" s="10"/>
    </row>
    <row r="1003" spans="1:7" x14ac:dyDescent="0.2">
      <c r="A1003" s="10"/>
    </row>
    <row r="1004" spans="1:7" x14ac:dyDescent="0.2">
      <c r="A1004" s="10"/>
    </row>
    <row r="1005" spans="1:7" x14ac:dyDescent="0.2">
      <c r="A1005" s="10"/>
      <c r="C1005" s="10"/>
    </row>
    <row r="1006" spans="1:7" x14ac:dyDescent="0.2">
      <c r="A1006" s="10"/>
    </row>
    <row r="1007" spans="1:7" x14ac:dyDescent="0.2">
      <c r="A1007" s="10"/>
    </row>
    <row r="1008" spans="1:7" x14ac:dyDescent="0.2">
      <c r="A1008" s="10"/>
      <c r="C1008" s="10"/>
    </row>
    <row r="1009" spans="1:3" x14ac:dyDescent="0.2">
      <c r="A1009" s="10"/>
    </row>
    <row r="1010" spans="1:3" x14ac:dyDescent="0.2">
      <c r="A1010" s="10"/>
    </row>
    <row r="1011" spans="1:3" x14ac:dyDescent="0.2">
      <c r="A1011" s="10"/>
      <c r="C1011" s="10"/>
    </row>
    <row r="1012" spans="1:3" x14ac:dyDescent="0.2">
      <c r="A1012" s="10"/>
    </row>
    <row r="1013" spans="1:3" x14ac:dyDescent="0.2">
      <c r="A1013" s="10"/>
    </row>
    <row r="1014" spans="1:3" x14ac:dyDescent="0.2">
      <c r="A1014" s="10"/>
      <c r="C1014" s="10"/>
    </row>
    <row r="1015" spans="1:3" x14ac:dyDescent="0.2">
      <c r="A1015" s="10"/>
    </row>
    <row r="1016" spans="1:3" x14ac:dyDescent="0.2">
      <c r="A1016" s="10"/>
    </row>
    <row r="1017" spans="1:3" x14ac:dyDescent="0.2">
      <c r="A1017" s="10"/>
      <c r="C1017" s="10"/>
    </row>
    <row r="1018" spans="1:3" x14ac:dyDescent="0.2">
      <c r="A1018" s="10"/>
    </row>
    <row r="1019" spans="1:3" x14ac:dyDescent="0.2">
      <c r="A1019" s="10"/>
    </row>
    <row r="1020" spans="1:3" x14ac:dyDescent="0.2">
      <c r="A1020" s="10"/>
      <c r="C1020" s="10"/>
    </row>
    <row r="1021" spans="1:3" x14ac:dyDescent="0.2">
      <c r="A1021" s="10"/>
    </row>
    <row r="1022" spans="1:3" x14ac:dyDescent="0.2">
      <c r="A1022" s="10"/>
      <c r="B1022" s="10"/>
    </row>
    <row r="1023" spans="1:3" x14ac:dyDescent="0.2">
      <c r="A1023" s="10"/>
      <c r="B1023" s="10"/>
    </row>
    <row r="1024" spans="1:3" x14ac:dyDescent="0.2">
      <c r="A1024" s="10"/>
    </row>
    <row r="1025" spans="1:7" x14ac:dyDescent="0.2">
      <c r="A1025" s="10"/>
      <c r="B1025" s="10"/>
    </row>
    <row r="1026" spans="1:7" x14ac:dyDescent="0.2">
      <c r="A1026" s="10"/>
      <c r="B1026" s="10"/>
    </row>
    <row r="1027" spans="1:7" x14ac:dyDescent="0.2">
      <c r="A1027" s="10"/>
    </row>
    <row r="1028" spans="1:7" x14ac:dyDescent="0.2">
      <c r="A1028" s="10"/>
    </row>
    <row r="1029" spans="1:7" x14ac:dyDescent="0.2">
      <c r="A1029" s="10"/>
      <c r="B1029" s="10"/>
      <c r="D1029" s="10"/>
      <c r="E1029" s="10"/>
      <c r="F1029" s="10"/>
    </row>
    <row r="1030" spans="1:7" x14ac:dyDescent="0.2">
      <c r="A1030" s="10"/>
      <c r="B1030" s="10"/>
    </row>
    <row r="1031" spans="1:7" x14ac:dyDescent="0.2">
      <c r="A1031" s="10"/>
    </row>
    <row r="1032" spans="1:7" x14ac:dyDescent="0.2">
      <c r="A1032" s="10"/>
    </row>
    <row r="1033" spans="1:7" x14ac:dyDescent="0.2">
      <c r="A1033" s="10"/>
      <c r="C1033" s="10"/>
    </row>
    <row r="1034" spans="1:7" x14ac:dyDescent="0.2">
      <c r="A1034" s="10"/>
    </row>
    <row r="1035" spans="1:7" x14ac:dyDescent="0.2">
      <c r="A1035" s="10"/>
    </row>
    <row r="1036" spans="1:7" x14ac:dyDescent="0.2">
      <c r="A1036" s="10"/>
      <c r="C1036" s="10"/>
    </row>
    <row r="1037" spans="1:7" x14ac:dyDescent="0.2">
      <c r="A1037" s="10"/>
    </row>
    <row r="1038" spans="1:7" x14ac:dyDescent="0.2">
      <c r="A1038" s="10"/>
      <c r="B1038" s="10"/>
    </row>
    <row r="1039" spans="1:7" x14ac:dyDescent="0.2">
      <c r="A1039" s="10"/>
      <c r="B1039" s="10"/>
      <c r="D1039" s="10"/>
      <c r="E1039" s="10"/>
      <c r="G1039" s="10"/>
    </row>
    <row r="1040" spans="1:7" x14ac:dyDescent="0.2">
      <c r="A1040" s="10"/>
      <c r="B1040" s="10"/>
      <c r="D1040" s="10"/>
      <c r="E1040" s="10"/>
      <c r="F1040" s="10"/>
    </row>
    <row r="1041" spans="1:7" x14ac:dyDescent="0.2">
      <c r="A1041" s="10"/>
      <c r="B1041" s="10"/>
      <c r="D1041" s="10"/>
      <c r="E1041" s="10"/>
      <c r="G1041" s="10"/>
    </row>
    <row r="1042" spans="1:7" x14ac:dyDescent="0.2">
      <c r="A1042" s="10"/>
      <c r="B1042" s="10"/>
      <c r="D1042" s="10"/>
      <c r="E1042" s="10"/>
      <c r="G1042" s="10"/>
    </row>
    <row r="1043" spans="1:7" x14ac:dyDescent="0.2">
      <c r="A1043" s="10"/>
      <c r="B1043" s="10"/>
      <c r="D1043" s="10"/>
      <c r="E1043" s="10"/>
      <c r="F1043" s="10"/>
    </row>
    <row r="1044" spans="1:7" x14ac:dyDescent="0.2">
      <c r="A1044" s="10"/>
      <c r="B1044" s="10"/>
      <c r="D1044" s="10"/>
      <c r="E1044" s="10"/>
      <c r="G1044" s="10"/>
    </row>
    <row r="1045" spans="1:7" x14ac:dyDescent="0.2">
      <c r="A1045" s="10"/>
      <c r="B1045" s="10"/>
      <c r="D1045" s="10"/>
      <c r="E1045" s="10"/>
      <c r="F1045" s="10"/>
    </row>
    <row r="1046" spans="1:7" x14ac:dyDescent="0.2">
      <c r="A1046" s="10"/>
      <c r="B1046" s="10"/>
      <c r="D1046" s="10"/>
      <c r="E1046" s="10"/>
      <c r="F1046" s="10"/>
    </row>
    <row r="1047" spans="1:7" x14ac:dyDescent="0.2">
      <c r="A1047" s="10"/>
      <c r="B1047" s="10"/>
      <c r="D1047" s="10"/>
      <c r="E1047" s="10"/>
      <c r="G1047" s="10"/>
    </row>
    <row r="1048" spans="1:7" x14ac:dyDescent="0.2">
      <c r="A1048" s="10"/>
      <c r="B1048" s="10"/>
      <c r="D1048" s="10"/>
      <c r="E1048" s="10"/>
      <c r="G1048" s="10"/>
    </row>
    <row r="1049" spans="1:7" x14ac:dyDescent="0.2">
      <c r="A1049" s="10"/>
      <c r="B1049" s="10"/>
      <c r="D1049" s="10"/>
      <c r="E1049" s="10"/>
      <c r="F1049" s="10"/>
    </row>
    <row r="1050" spans="1:7" x14ac:dyDescent="0.2">
      <c r="A1050" s="10"/>
      <c r="B1050" s="10"/>
      <c r="D1050" s="10"/>
      <c r="E1050" s="10"/>
      <c r="F1050" s="10"/>
    </row>
    <row r="1051" spans="1:7" x14ac:dyDescent="0.2">
      <c r="A1051" s="10"/>
      <c r="B1051" s="10"/>
      <c r="D1051" s="10"/>
      <c r="E1051" s="10"/>
      <c r="F1051" s="10"/>
    </row>
    <row r="1052" spans="1:7" x14ac:dyDescent="0.2">
      <c r="A1052" s="10"/>
      <c r="B1052" s="10"/>
      <c r="D1052" s="10"/>
      <c r="E1052" s="10"/>
      <c r="G1052" s="10"/>
    </row>
    <row r="1053" spans="1:7" x14ac:dyDescent="0.2">
      <c r="A1053" s="10"/>
      <c r="B1053" s="10"/>
      <c r="D1053" s="10"/>
      <c r="E1053" s="10"/>
      <c r="F1053" s="10"/>
    </row>
    <row r="1054" spans="1:7" x14ac:dyDescent="0.2">
      <c r="A1054" s="10"/>
      <c r="B1054" s="10"/>
      <c r="D1054" s="10"/>
      <c r="E1054" s="10"/>
      <c r="F1054" s="10"/>
    </row>
    <row r="1055" spans="1:7" x14ac:dyDescent="0.2">
      <c r="A1055" s="10"/>
      <c r="B1055" s="10"/>
      <c r="D1055" s="10"/>
      <c r="E1055" s="10"/>
      <c r="F1055" s="10"/>
    </row>
    <row r="1056" spans="1:7" x14ac:dyDescent="0.2">
      <c r="A1056" s="10"/>
      <c r="B1056" s="10"/>
      <c r="D1056" s="10"/>
      <c r="E1056" s="10"/>
      <c r="F1056" s="10"/>
    </row>
    <row r="1057" spans="1:7" x14ac:dyDescent="0.2">
      <c r="A1057" s="10"/>
      <c r="B1057" s="10"/>
      <c r="D1057" s="10"/>
      <c r="E1057" s="10"/>
      <c r="F1057" s="10"/>
    </row>
    <row r="1058" spans="1:7" x14ac:dyDescent="0.2">
      <c r="A1058" s="10"/>
      <c r="B1058" s="10"/>
      <c r="D1058" s="10"/>
      <c r="E1058" s="10"/>
      <c r="F1058" s="10"/>
    </row>
    <row r="1059" spans="1:7" x14ac:dyDescent="0.2">
      <c r="A1059" s="10"/>
      <c r="B1059" s="10"/>
      <c r="D1059" s="10"/>
      <c r="E1059" s="10"/>
      <c r="G1059" s="10"/>
    </row>
    <row r="1060" spans="1:7" x14ac:dyDescent="0.2">
      <c r="A1060" s="10"/>
      <c r="B1060" s="10"/>
      <c r="D1060" s="10"/>
      <c r="E1060" s="10"/>
      <c r="F1060" s="10"/>
    </row>
    <row r="1061" spans="1:7" x14ac:dyDescent="0.2">
      <c r="A1061" s="10"/>
      <c r="B1061" s="10"/>
      <c r="D1061" s="10"/>
      <c r="E1061" s="10"/>
      <c r="F1061" s="10"/>
    </row>
    <row r="1062" spans="1:7" x14ac:dyDescent="0.2">
      <c r="A1062" s="10"/>
      <c r="B1062" s="10"/>
      <c r="D1062" s="10"/>
      <c r="E1062" s="10"/>
      <c r="F1062" s="10"/>
    </row>
    <row r="1063" spans="1:7" x14ac:dyDescent="0.2">
      <c r="A1063" s="10"/>
      <c r="B1063" s="10"/>
      <c r="D1063" s="10"/>
      <c r="E1063" s="10"/>
      <c r="G1063" s="10"/>
    </row>
    <row r="1064" spans="1:7" x14ac:dyDescent="0.2">
      <c r="A1064" s="10"/>
      <c r="B1064" s="10"/>
      <c r="D1064" s="10"/>
      <c r="E1064" s="10"/>
      <c r="G1064" s="10"/>
    </row>
    <row r="1065" spans="1:7" x14ac:dyDescent="0.2">
      <c r="A1065" s="10"/>
      <c r="B1065" s="10"/>
      <c r="D1065" s="10"/>
      <c r="E1065" s="10"/>
      <c r="F1065" s="10"/>
    </row>
    <row r="1066" spans="1:7" x14ac:dyDescent="0.2">
      <c r="A1066" s="10"/>
      <c r="B1066" s="10"/>
      <c r="D1066" s="10"/>
      <c r="E1066" s="10"/>
      <c r="F1066" s="10"/>
    </row>
    <row r="1067" spans="1:7" x14ac:dyDescent="0.2">
      <c r="A1067" s="10"/>
      <c r="B1067" s="10"/>
      <c r="D1067" s="10"/>
      <c r="E1067" s="10"/>
      <c r="F1067" s="10"/>
    </row>
    <row r="1068" spans="1:7" x14ac:dyDescent="0.2">
      <c r="A1068" s="10"/>
      <c r="B1068" s="10"/>
      <c r="D1068" s="10"/>
      <c r="E1068" s="10"/>
      <c r="G1068" s="10"/>
    </row>
    <row r="1069" spans="1:7" x14ac:dyDescent="0.2">
      <c r="A1069" s="10"/>
      <c r="B1069" s="10"/>
      <c r="D1069" s="10"/>
      <c r="E1069" s="10"/>
      <c r="G1069" s="10"/>
    </row>
    <row r="1070" spans="1:7" x14ac:dyDescent="0.2">
      <c r="A1070" s="10"/>
      <c r="B1070" s="10"/>
      <c r="D1070" s="10"/>
      <c r="E1070" s="10"/>
      <c r="F1070" s="10"/>
    </row>
    <row r="1071" spans="1:7" x14ac:dyDescent="0.2">
      <c r="A1071" s="10"/>
      <c r="B1071" s="10"/>
      <c r="D1071" s="10"/>
      <c r="E1071" s="10"/>
      <c r="F1071" s="10"/>
    </row>
    <row r="1072" spans="1:7" x14ac:dyDescent="0.2">
      <c r="A1072" s="10"/>
      <c r="B1072" s="10"/>
      <c r="D1072" s="10"/>
      <c r="E1072" s="10"/>
      <c r="G1072" s="10"/>
    </row>
    <row r="1073" spans="1:7" x14ac:dyDescent="0.2">
      <c r="A1073" s="10"/>
      <c r="B1073" s="10"/>
      <c r="D1073" s="10"/>
      <c r="E1073" s="10"/>
      <c r="F1073" s="10"/>
    </row>
    <row r="1074" spans="1:7" x14ac:dyDescent="0.2">
      <c r="A1074" s="10"/>
      <c r="B1074" s="10"/>
      <c r="D1074" s="10"/>
      <c r="E1074" s="10"/>
      <c r="F1074" s="10"/>
    </row>
    <row r="1075" spans="1:7" x14ac:dyDescent="0.2">
      <c r="A1075" s="10"/>
      <c r="B1075" s="10"/>
      <c r="D1075" s="10"/>
      <c r="E1075" s="10"/>
      <c r="F1075" s="10"/>
    </row>
    <row r="1076" spans="1:7" x14ac:dyDescent="0.2">
      <c r="A1076" s="10"/>
      <c r="B1076" s="10"/>
      <c r="D1076" s="10"/>
      <c r="E1076" s="10"/>
      <c r="F1076" s="10"/>
    </row>
    <row r="1077" spans="1:7" x14ac:dyDescent="0.2">
      <c r="A1077" s="10"/>
      <c r="B1077" s="10"/>
      <c r="D1077" s="10"/>
      <c r="E1077" s="10"/>
      <c r="G1077" s="10"/>
    </row>
    <row r="1078" spans="1:7" x14ac:dyDescent="0.2">
      <c r="A1078" s="10"/>
      <c r="B1078" s="10"/>
      <c r="D1078" s="10"/>
      <c r="E1078" s="10"/>
      <c r="F1078" s="10"/>
    </row>
    <row r="1079" spans="1:7" x14ac:dyDescent="0.2">
      <c r="A1079" s="10"/>
      <c r="B1079" s="10"/>
      <c r="D1079" s="10"/>
      <c r="E1079" s="10"/>
      <c r="F1079" s="10"/>
    </row>
    <row r="1080" spans="1:7" x14ac:dyDescent="0.2">
      <c r="A1080" s="10"/>
      <c r="B1080" s="10"/>
      <c r="D1080" s="10"/>
      <c r="E1080" s="10"/>
      <c r="F1080" s="10"/>
    </row>
    <row r="1081" spans="1:7" x14ac:dyDescent="0.2">
      <c r="A1081" s="10"/>
      <c r="B1081" s="10"/>
      <c r="D1081" s="10"/>
      <c r="E1081" s="10"/>
      <c r="G1081" s="10"/>
    </row>
    <row r="1082" spans="1:7" x14ac:dyDescent="0.2">
      <c r="A1082" s="10"/>
      <c r="B1082" s="10"/>
      <c r="D1082" s="10"/>
      <c r="E1082" s="10"/>
      <c r="G1082" s="10"/>
    </row>
    <row r="1083" spans="1:7" x14ac:dyDescent="0.2">
      <c r="A1083" s="10"/>
      <c r="B1083" s="10"/>
      <c r="D1083" s="10"/>
      <c r="E1083" s="10"/>
      <c r="F1083" s="10"/>
    </row>
    <row r="1084" spans="1:7" x14ac:dyDescent="0.2">
      <c r="A1084" s="10"/>
      <c r="B1084" s="10"/>
      <c r="D1084" s="10"/>
      <c r="E1084" s="10"/>
      <c r="F1084" s="10"/>
    </row>
    <row r="1085" spans="1:7" x14ac:dyDescent="0.2">
      <c r="A1085" s="10"/>
      <c r="B1085" s="10"/>
      <c r="D1085" s="10"/>
      <c r="E1085" s="10"/>
      <c r="G1085" s="10"/>
    </row>
    <row r="1086" spans="1:7" x14ac:dyDescent="0.2">
      <c r="A1086" s="10"/>
      <c r="B1086" s="10"/>
      <c r="D1086" s="10"/>
      <c r="E1086" s="10"/>
      <c r="F1086" s="10"/>
    </row>
    <row r="1087" spans="1:7" x14ac:dyDescent="0.2">
      <c r="A1087" s="10"/>
      <c r="B1087" s="10"/>
      <c r="D1087" s="10"/>
      <c r="E1087" s="10"/>
      <c r="G1087" s="10"/>
    </row>
    <row r="1088" spans="1:7" x14ac:dyDescent="0.2">
      <c r="A1088" s="10"/>
      <c r="B1088" s="10"/>
      <c r="D1088" s="10"/>
      <c r="E1088" s="10"/>
      <c r="G1088" s="10"/>
    </row>
    <row r="1089" spans="1:7" x14ac:dyDescent="0.2">
      <c r="A1089" s="10"/>
      <c r="B1089" s="10"/>
      <c r="D1089" s="10"/>
      <c r="E1089" s="10"/>
      <c r="F1089" s="10"/>
    </row>
    <row r="1090" spans="1:7" x14ac:dyDescent="0.2">
      <c r="A1090" s="10"/>
      <c r="B1090" s="10"/>
      <c r="D1090" s="10"/>
      <c r="E1090" s="10"/>
      <c r="F1090" s="10"/>
    </row>
    <row r="1091" spans="1:7" x14ac:dyDescent="0.2">
      <c r="A1091" s="10"/>
      <c r="B1091" s="10"/>
      <c r="D1091" s="10"/>
      <c r="E1091" s="10"/>
      <c r="G1091" s="10"/>
    </row>
    <row r="1092" spans="1:7" x14ac:dyDescent="0.2">
      <c r="A1092" s="10"/>
      <c r="B1092" s="10"/>
      <c r="D1092" s="10"/>
      <c r="E1092" s="10"/>
      <c r="F1092" s="10"/>
    </row>
    <row r="1093" spans="1:7" x14ac:dyDescent="0.2">
      <c r="A1093" s="10"/>
      <c r="B1093" s="10"/>
      <c r="D1093" s="10"/>
      <c r="E1093" s="10"/>
      <c r="F1093" s="10"/>
    </row>
    <row r="1094" spans="1:7" x14ac:dyDescent="0.2">
      <c r="A1094" s="10"/>
      <c r="B1094" s="10"/>
      <c r="D1094" s="10"/>
      <c r="E1094" s="10"/>
      <c r="F1094" s="10"/>
    </row>
    <row r="1095" spans="1:7" x14ac:dyDescent="0.2">
      <c r="A1095" s="10"/>
      <c r="B1095" s="10"/>
      <c r="D1095" s="10"/>
      <c r="E1095" s="10"/>
      <c r="F1095" s="10"/>
    </row>
    <row r="1096" spans="1:7" x14ac:dyDescent="0.2">
      <c r="A1096" s="10"/>
      <c r="B1096" s="10"/>
      <c r="D1096" s="10"/>
      <c r="E1096" s="10"/>
      <c r="G1096" s="10"/>
    </row>
    <row r="1097" spans="1:7" x14ac:dyDescent="0.2">
      <c r="A1097" s="10"/>
      <c r="B1097" s="10"/>
      <c r="D1097" s="10"/>
      <c r="E1097" s="10"/>
      <c r="F1097" s="10"/>
    </row>
    <row r="1098" spans="1:7" x14ac:dyDescent="0.2">
      <c r="A1098" s="10"/>
      <c r="B1098" s="10"/>
      <c r="D1098" s="10"/>
      <c r="E1098" s="10"/>
      <c r="F1098" s="10"/>
    </row>
    <row r="1099" spans="1:7" x14ac:dyDescent="0.2">
      <c r="A1099" s="10"/>
      <c r="B1099" s="10"/>
      <c r="D1099" s="10"/>
      <c r="E1099" s="10"/>
      <c r="G1099" s="10"/>
    </row>
    <row r="1100" spans="1:7" x14ac:dyDescent="0.2">
      <c r="A1100" s="10"/>
      <c r="B1100" s="10"/>
      <c r="D1100" s="10"/>
      <c r="E1100" s="10"/>
      <c r="G1100" s="10"/>
    </row>
    <row r="1101" spans="1:7" x14ac:dyDescent="0.2">
      <c r="A1101" s="10"/>
      <c r="B1101" s="10"/>
      <c r="D1101" s="10"/>
      <c r="E1101" s="10"/>
      <c r="F1101" s="10"/>
    </row>
    <row r="1102" spans="1:7" x14ac:dyDescent="0.2">
      <c r="A1102" s="10"/>
      <c r="B1102" s="10"/>
      <c r="D1102" s="10"/>
      <c r="E1102" s="10"/>
      <c r="F1102" s="10"/>
    </row>
    <row r="1103" spans="1:7" x14ac:dyDescent="0.2">
      <c r="A1103" s="10"/>
      <c r="B1103" s="10"/>
      <c r="D1103" s="10"/>
      <c r="E1103" s="10"/>
      <c r="G1103" s="10"/>
    </row>
    <row r="1104" spans="1:7" x14ac:dyDescent="0.2">
      <c r="A1104" s="10"/>
      <c r="B1104" s="10"/>
      <c r="D1104" s="10"/>
      <c r="E1104" s="10"/>
      <c r="G1104" s="10"/>
    </row>
    <row r="1105" spans="1:7" x14ac:dyDescent="0.2">
      <c r="A1105" s="10"/>
      <c r="B1105" s="10"/>
      <c r="D1105" s="10"/>
      <c r="E1105" s="10"/>
      <c r="F1105" s="10"/>
    </row>
    <row r="1106" spans="1:7" x14ac:dyDescent="0.2">
      <c r="A1106" s="10"/>
      <c r="B1106" s="10"/>
      <c r="D1106" s="10"/>
      <c r="E1106" s="10"/>
      <c r="F1106" s="10"/>
    </row>
    <row r="1107" spans="1:7" x14ac:dyDescent="0.2">
      <c r="A1107" s="10"/>
      <c r="B1107" s="10"/>
      <c r="D1107" s="10"/>
      <c r="E1107" s="10"/>
      <c r="G1107" s="10"/>
    </row>
    <row r="1108" spans="1:7" x14ac:dyDescent="0.2">
      <c r="A1108" s="10"/>
      <c r="B1108" s="10"/>
      <c r="D1108" s="10"/>
      <c r="E1108" s="10"/>
      <c r="F1108" s="10"/>
    </row>
    <row r="1109" spans="1:7" x14ac:dyDescent="0.2">
      <c r="A1109" s="10"/>
      <c r="B1109" s="10"/>
      <c r="D1109" s="10"/>
      <c r="E1109" s="10"/>
      <c r="F1109" s="10"/>
    </row>
    <row r="1110" spans="1:7" x14ac:dyDescent="0.2">
      <c r="A1110" s="10"/>
      <c r="B1110" s="10"/>
      <c r="D1110" s="10"/>
      <c r="E1110" s="10"/>
      <c r="F1110" s="10"/>
    </row>
    <row r="1111" spans="1:7" x14ac:dyDescent="0.2">
      <c r="A1111" s="10"/>
      <c r="B1111" s="10"/>
      <c r="D1111" s="10"/>
      <c r="E1111" s="10"/>
      <c r="F1111" s="10"/>
    </row>
    <row r="1112" spans="1:7" x14ac:dyDescent="0.2">
      <c r="A1112" s="10"/>
      <c r="B1112" s="10"/>
      <c r="D1112" s="10"/>
      <c r="E1112" s="10"/>
      <c r="G1112" s="10"/>
    </row>
    <row r="1113" spans="1:7" x14ac:dyDescent="0.2">
      <c r="A1113" s="10"/>
      <c r="B1113" s="10"/>
      <c r="D1113" s="10"/>
      <c r="E1113" s="10"/>
      <c r="G1113" s="10"/>
    </row>
    <row r="1114" spans="1:7" x14ac:dyDescent="0.2">
      <c r="A1114" s="10"/>
      <c r="B1114" s="10"/>
      <c r="D1114" s="10"/>
      <c r="E1114" s="10"/>
      <c r="F1114" s="10"/>
    </row>
    <row r="1115" spans="1:7" x14ac:dyDescent="0.2">
      <c r="A1115" s="10"/>
      <c r="B1115" s="10"/>
      <c r="D1115" s="10"/>
      <c r="E1115" s="10"/>
      <c r="G1115" s="10"/>
    </row>
    <row r="1116" spans="1:7" x14ac:dyDescent="0.2">
      <c r="A1116" s="10"/>
      <c r="B1116" s="10"/>
      <c r="D1116" s="10"/>
      <c r="E1116" s="10"/>
      <c r="G1116" s="10"/>
    </row>
    <row r="1117" spans="1:7" x14ac:dyDescent="0.2">
      <c r="A1117" s="10"/>
      <c r="B1117" s="10"/>
      <c r="D1117" s="10"/>
      <c r="E1117" s="10"/>
      <c r="G1117" s="10"/>
    </row>
    <row r="1118" spans="1:7" x14ac:dyDescent="0.2">
      <c r="A1118" s="10"/>
      <c r="B1118" s="10"/>
      <c r="D1118" s="10"/>
      <c r="E1118" s="10"/>
      <c r="F1118" s="10"/>
    </row>
    <row r="1119" spans="1:7" x14ac:dyDescent="0.2">
      <c r="A1119" s="10"/>
      <c r="B1119" s="10"/>
      <c r="D1119" s="10"/>
      <c r="E1119" s="10"/>
      <c r="F1119" s="10"/>
    </row>
    <row r="1120" spans="1:7" x14ac:dyDescent="0.2">
      <c r="A1120" s="10"/>
      <c r="B1120" s="10"/>
      <c r="D1120" s="10"/>
      <c r="E1120" s="10"/>
      <c r="F1120" s="10"/>
    </row>
    <row r="1121" spans="1:7" x14ac:dyDescent="0.2">
      <c r="A1121" s="10"/>
      <c r="B1121" s="10"/>
      <c r="D1121" s="10"/>
      <c r="E1121" s="10"/>
      <c r="G1121" s="10"/>
    </row>
    <row r="1122" spans="1:7" x14ac:dyDescent="0.2">
      <c r="A1122" s="10"/>
      <c r="B1122" s="10"/>
      <c r="D1122" s="10"/>
      <c r="E1122" s="10"/>
      <c r="G1122" s="10"/>
    </row>
    <row r="1123" spans="1:7" x14ac:dyDescent="0.2">
      <c r="A1123" s="10"/>
      <c r="B1123" s="10"/>
      <c r="D1123" s="10"/>
      <c r="E1123" s="10"/>
      <c r="F1123" s="10"/>
    </row>
    <row r="1124" spans="1:7" x14ac:dyDescent="0.2">
      <c r="A1124" s="10"/>
      <c r="B1124" s="10"/>
      <c r="D1124" s="10"/>
      <c r="E1124" s="10"/>
      <c r="F1124" s="10"/>
    </row>
    <row r="1125" spans="1:7" x14ac:dyDescent="0.2">
      <c r="A1125" s="10"/>
      <c r="B1125" s="10"/>
      <c r="D1125" s="10"/>
      <c r="E1125" s="10"/>
      <c r="F1125" s="10"/>
    </row>
    <row r="1126" spans="1:7" x14ac:dyDescent="0.2">
      <c r="A1126" s="10"/>
      <c r="B1126" s="10"/>
      <c r="D1126" s="10"/>
      <c r="E1126" s="10"/>
      <c r="F1126" s="10"/>
    </row>
    <row r="1127" spans="1:7" x14ac:dyDescent="0.2">
      <c r="A1127" s="10"/>
      <c r="B1127" s="10"/>
      <c r="D1127" s="10"/>
      <c r="E1127" s="10"/>
      <c r="F1127" s="10"/>
    </row>
    <row r="1128" spans="1:7" x14ac:dyDescent="0.2">
      <c r="A1128" s="10"/>
      <c r="B1128" s="10"/>
      <c r="D1128" s="10"/>
      <c r="E1128" s="10"/>
      <c r="F1128" s="10"/>
    </row>
    <row r="1129" spans="1:7" x14ac:dyDescent="0.2">
      <c r="A1129" s="10"/>
      <c r="B1129" s="10"/>
      <c r="D1129" s="10"/>
      <c r="E1129" s="10"/>
      <c r="F1129" s="10"/>
    </row>
    <row r="1130" spans="1:7" x14ac:dyDescent="0.2">
      <c r="A1130" s="10"/>
      <c r="B1130" s="10"/>
      <c r="D1130" s="10"/>
      <c r="E1130" s="10"/>
      <c r="F1130" s="10"/>
    </row>
    <row r="1131" spans="1:7" x14ac:dyDescent="0.2">
      <c r="A1131" s="10"/>
      <c r="B1131" s="10"/>
      <c r="D1131" s="10"/>
      <c r="E1131" s="10"/>
      <c r="F1131" s="10"/>
    </row>
    <row r="1132" spans="1:7" x14ac:dyDescent="0.2">
      <c r="A1132" s="10"/>
      <c r="B1132" s="10"/>
      <c r="D1132" s="10"/>
      <c r="E1132" s="10"/>
      <c r="F1132" s="10"/>
    </row>
    <row r="1133" spans="1:7" x14ac:dyDescent="0.2">
      <c r="A1133" s="10"/>
      <c r="B1133" s="10"/>
      <c r="D1133" s="10"/>
      <c r="E1133" s="10"/>
      <c r="F1133" s="10"/>
    </row>
    <row r="1134" spans="1:7" x14ac:dyDescent="0.2">
      <c r="A1134" s="10"/>
      <c r="B1134" s="10"/>
      <c r="D1134" s="10"/>
      <c r="E1134" s="10"/>
      <c r="G1134" s="10"/>
    </row>
    <row r="1135" spans="1:7" x14ac:dyDescent="0.2">
      <c r="A1135" s="10"/>
      <c r="B1135" s="10"/>
      <c r="D1135" s="10"/>
      <c r="E1135" s="10"/>
      <c r="F1135" s="10"/>
    </row>
    <row r="1136" spans="1:7" x14ac:dyDescent="0.2">
      <c r="A1136" s="10"/>
      <c r="B1136" s="10"/>
      <c r="D1136" s="10"/>
      <c r="E1136" s="10"/>
      <c r="F1136" s="10"/>
    </row>
    <row r="1137" spans="1:7" x14ac:dyDescent="0.2">
      <c r="A1137" s="10"/>
      <c r="B1137" s="10"/>
      <c r="D1137" s="10"/>
      <c r="E1137" s="10"/>
      <c r="G1137" s="10"/>
    </row>
    <row r="1138" spans="1:7" x14ac:dyDescent="0.2">
      <c r="A1138" s="10"/>
      <c r="B1138" s="10"/>
      <c r="D1138" s="10"/>
      <c r="E1138" s="10"/>
      <c r="F1138" s="10"/>
    </row>
    <row r="1139" spans="1:7" x14ac:dyDescent="0.2">
      <c r="A1139" s="10"/>
      <c r="B1139" s="10"/>
      <c r="D1139" s="10"/>
      <c r="E1139" s="10"/>
      <c r="F1139" s="10"/>
    </row>
    <row r="1140" spans="1:7" x14ac:dyDescent="0.2">
      <c r="A1140" s="10"/>
      <c r="B1140" s="10"/>
      <c r="D1140" s="10"/>
      <c r="E1140" s="10"/>
      <c r="F1140" s="10"/>
    </row>
    <row r="1141" spans="1:7" x14ac:dyDescent="0.2">
      <c r="A1141" s="10"/>
      <c r="B1141" s="10"/>
      <c r="D1141" s="10"/>
      <c r="E1141" s="10"/>
      <c r="G1141" s="10"/>
    </row>
    <row r="1142" spans="1:7" x14ac:dyDescent="0.2">
      <c r="A1142" s="10"/>
      <c r="B1142" s="10"/>
      <c r="D1142" s="10"/>
      <c r="E1142" s="10"/>
      <c r="F1142" s="10"/>
    </row>
    <row r="1143" spans="1:7" x14ac:dyDescent="0.2">
      <c r="A1143" s="10"/>
      <c r="B1143" s="10"/>
      <c r="D1143" s="10"/>
      <c r="E1143" s="10"/>
      <c r="G1143" s="10"/>
    </row>
    <row r="1144" spans="1:7" x14ac:dyDescent="0.2">
      <c r="A1144" s="10"/>
      <c r="B1144" s="10"/>
      <c r="D1144" s="10"/>
      <c r="E1144" s="10"/>
      <c r="G1144" s="10"/>
    </row>
    <row r="1145" spans="1:7" x14ac:dyDescent="0.2">
      <c r="A1145" s="10"/>
      <c r="B1145" s="10"/>
      <c r="D1145" s="10"/>
      <c r="E1145" s="10"/>
      <c r="F1145" s="10"/>
    </row>
    <row r="1146" spans="1:7" x14ac:dyDescent="0.2">
      <c r="A1146" s="10"/>
      <c r="B1146" s="10"/>
      <c r="D1146" s="10"/>
      <c r="E1146" s="10"/>
      <c r="F1146" s="10"/>
    </row>
    <row r="1147" spans="1:7" x14ac:dyDescent="0.2">
      <c r="A1147" s="10"/>
      <c r="B1147" s="10"/>
      <c r="D1147" s="10"/>
      <c r="E1147" s="10"/>
      <c r="F1147" s="10"/>
    </row>
    <row r="1148" spans="1:7" x14ac:dyDescent="0.2">
      <c r="A1148" s="10"/>
      <c r="B1148" s="10"/>
      <c r="D1148" s="10"/>
      <c r="E1148" s="10"/>
      <c r="F1148" s="10"/>
    </row>
    <row r="1149" spans="1:7" x14ac:dyDescent="0.2">
      <c r="A1149" s="10"/>
      <c r="B1149" s="10"/>
      <c r="D1149" s="10"/>
      <c r="E1149" s="10"/>
      <c r="F1149" s="10"/>
    </row>
    <row r="1150" spans="1:7" x14ac:dyDescent="0.2">
      <c r="A1150" s="10"/>
      <c r="B1150" s="10"/>
      <c r="D1150" s="10"/>
      <c r="E1150" s="10"/>
      <c r="F1150" s="10"/>
    </row>
    <row r="1151" spans="1:7" x14ac:dyDescent="0.2">
      <c r="A1151" s="10"/>
      <c r="B1151" s="10"/>
      <c r="D1151" s="10"/>
      <c r="E1151" s="10"/>
      <c r="F1151" s="10"/>
    </row>
    <row r="1152" spans="1:7" x14ac:dyDescent="0.2">
      <c r="A1152" s="10"/>
      <c r="B1152" s="10"/>
      <c r="D1152" s="10"/>
      <c r="E1152" s="10"/>
      <c r="F1152" s="10"/>
    </row>
    <row r="1153" spans="1:7" x14ac:dyDescent="0.2">
      <c r="A1153" s="10"/>
      <c r="B1153" s="10"/>
      <c r="D1153" s="10"/>
      <c r="E1153" s="10"/>
      <c r="F1153" s="10"/>
    </row>
    <row r="1154" spans="1:7" x14ac:dyDescent="0.2">
      <c r="A1154" s="10"/>
      <c r="B1154" s="10"/>
      <c r="D1154" s="10"/>
      <c r="E1154" s="10"/>
      <c r="G1154" s="10"/>
    </row>
    <row r="1155" spans="1:7" x14ac:dyDescent="0.2">
      <c r="A1155" s="10"/>
      <c r="B1155" s="10"/>
      <c r="D1155" s="10"/>
      <c r="E1155" s="10"/>
      <c r="F1155" s="10"/>
    </row>
    <row r="1156" spans="1:7" x14ac:dyDescent="0.2">
      <c r="A1156" s="10"/>
      <c r="B1156" s="10"/>
      <c r="D1156" s="10"/>
      <c r="E1156" s="10"/>
      <c r="F1156" s="10"/>
    </row>
    <row r="1157" spans="1:7" x14ac:dyDescent="0.2">
      <c r="A1157" s="10"/>
      <c r="B1157" s="10"/>
      <c r="D1157" s="10"/>
      <c r="E1157" s="10"/>
      <c r="F1157" s="10"/>
    </row>
    <row r="1158" spans="1:7" x14ac:dyDescent="0.2">
      <c r="A1158" s="10"/>
      <c r="B1158" s="10"/>
      <c r="D1158" s="10"/>
      <c r="E1158" s="10"/>
      <c r="F1158" s="10"/>
    </row>
    <row r="1159" spans="1:7" x14ac:dyDescent="0.2">
      <c r="A1159" s="10"/>
      <c r="B1159" s="10"/>
      <c r="D1159" s="10"/>
      <c r="E1159" s="10"/>
      <c r="F1159" s="10"/>
    </row>
    <row r="1160" spans="1:7" x14ac:dyDescent="0.2">
      <c r="A1160" s="10"/>
      <c r="B1160" s="10"/>
      <c r="D1160" s="10"/>
      <c r="E1160" s="10"/>
      <c r="F1160" s="10"/>
    </row>
    <row r="1161" spans="1:7" x14ac:dyDescent="0.2">
      <c r="A1161" s="10"/>
      <c r="B1161" s="10"/>
      <c r="D1161" s="10"/>
      <c r="E1161" s="10"/>
      <c r="F1161" s="10"/>
    </row>
    <row r="1162" spans="1:7" x14ac:dyDescent="0.2">
      <c r="A1162" s="10"/>
      <c r="B1162" s="10"/>
      <c r="D1162" s="10"/>
      <c r="E1162" s="10"/>
      <c r="G1162" s="10"/>
    </row>
    <row r="1163" spans="1:7" x14ac:dyDescent="0.2">
      <c r="A1163" s="10"/>
      <c r="B1163" s="10"/>
      <c r="D1163" s="10"/>
      <c r="E1163" s="10"/>
      <c r="G1163" s="10"/>
    </row>
    <row r="1164" spans="1:7" x14ac:dyDescent="0.2">
      <c r="A1164" s="10"/>
      <c r="B1164" s="10"/>
      <c r="D1164" s="10"/>
      <c r="E1164" s="10"/>
      <c r="G1164" s="10"/>
    </row>
    <row r="1165" spans="1:7" x14ac:dyDescent="0.2">
      <c r="A1165" s="10"/>
      <c r="B1165" s="10"/>
      <c r="D1165" s="10"/>
      <c r="E1165" s="10"/>
      <c r="F1165" s="10"/>
    </row>
    <row r="1166" spans="1:7" x14ac:dyDescent="0.2">
      <c r="A1166" s="10"/>
      <c r="B1166" s="10"/>
      <c r="D1166" s="10"/>
      <c r="E1166" s="10"/>
      <c r="G1166" s="10"/>
    </row>
    <row r="1167" spans="1:7" x14ac:dyDescent="0.2">
      <c r="A1167" s="10"/>
      <c r="B1167" s="10"/>
      <c r="D1167" s="10"/>
      <c r="E1167" s="10"/>
      <c r="F1167" s="10"/>
    </row>
    <row r="1168" spans="1:7" x14ac:dyDescent="0.2">
      <c r="A1168" s="10"/>
      <c r="B1168" s="10"/>
      <c r="D1168" s="10"/>
      <c r="E1168" s="10"/>
      <c r="F1168" s="10"/>
    </row>
    <row r="1169" spans="1:7" x14ac:dyDescent="0.2">
      <c r="A1169" s="10"/>
      <c r="B1169" s="10"/>
      <c r="D1169" s="10"/>
      <c r="E1169" s="10"/>
      <c r="F1169" s="10"/>
    </row>
    <row r="1170" spans="1:7" x14ac:dyDescent="0.2">
      <c r="A1170" s="10"/>
      <c r="B1170" s="10"/>
      <c r="D1170" s="10"/>
      <c r="E1170" s="10"/>
      <c r="F1170" s="10"/>
    </row>
    <row r="1171" spans="1:7" x14ac:dyDescent="0.2">
      <c r="A1171" s="10"/>
      <c r="B1171" s="10"/>
      <c r="D1171" s="10"/>
      <c r="E1171" s="10"/>
      <c r="F1171" s="10"/>
    </row>
    <row r="1172" spans="1:7" x14ac:dyDescent="0.2">
      <c r="A1172" s="10"/>
      <c r="B1172" s="10"/>
      <c r="D1172" s="10"/>
      <c r="E1172" s="10"/>
      <c r="G1172" s="10"/>
    </row>
    <row r="1173" spans="1:7" x14ac:dyDescent="0.2">
      <c r="A1173" s="10"/>
      <c r="B1173" s="10"/>
    </row>
    <row r="1174" spans="1:7" x14ac:dyDescent="0.2">
      <c r="A1174" s="10"/>
    </row>
    <row r="1175" spans="1:7" x14ac:dyDescent="0.2">
      <c r="A1175" s="10"/>
      <c r="B1175" s="10"/>
    </row>
    <row r="1176" spans="1:7" x14ac:dyDescent="0.2">
      <c r="A1176" s="10"/>
      <c r="B1176" s="10"/>
    </row>
    <row r="1177" spans="1:7" x14ac:dyDescent="0.2">
      <c r="A1177" s="10"/>
    </row>
    <row r="1178" spans="1:7" x14ac:dyDescent="0.2">
      <c r="A1178" s="10"/>
    </row>
    <row r="1179" spans="1:7" x14ac:dyDescent="0.2">
      <c r="A1179" s="10"/>
      <c r="C1179" s="10"/>
    </row>
    <row r="1180" spans="1:7" x14ac:dyDescent="0.2">
      <c r="A1180" s="10"/>
    </row>
    <row r="1181" spans="1:7" x14ac:dyDescent="0.2">
      <c r="A1181" s="10"/>
    </row>
    <row r="1182" spans="1:7" x14ac:dyDescent="0.2">
      <c r="A1182" s="10"/>
      <c r="B1182" s="10"/>
      <c r="D1182" s="10"/>
      <c r="E1182" s="10"/>
      <c r="G1182" s="10"/>
    </row>
    <row r="1183" spans="1:7" x14ac:dyDescent="0.2">
      <c r="A1183" s="10"/>
      <c r="B1183" s="10"/>
      <c r="D1183" s="10"/>
      <c r="E1183" s="10"/>
      <c r="G1183" s="10"/>
    </row>
    <row r="1184" spans="1:7" x14ac:dyDescent="0.2">
      <c r="A1184" s="10"/>
      <c r="B1184" s="10"/>
      <c r="D1184" s="10"/>
      <c r="E1184" s="10"/>
      <c r="G1184" s="10"/>
    </row>
    <row r="1185" spans="1:7" x14ac:dyDescent="0.2">
      <c r="A1185" s="10"/>
      <c r="B1185" s="10"/>
      <c r="D1185" s="10"/>
      <c r="E1185" s="10"/>
      <c r="G1185" s="10"/>
    </row>
    <row r="1186" spans="1:7" x14ac:dyDescent="0.2">
      <c r="A1186" s="10"/>
      <c r="B1186" s="10"/>
      <c r="D1186" s="10"/>
      <c r="E1186" s="10"/>
      <c r="G1186" s="10"/>
    </row>
    <row r="1187" spans="1:7" x14ac:dyDescent="0.2">
      <c r="A1187" s="10"/>
      <c r="B1187" s="10"/>
      <c r="D1187" s="10"/>
      <c r="E1187" s="10"/>
      <c r="G1187" s="10"/>
    </row>
    <row r="1188" spans="1:7" x14ac:dyDescent="0.2">
      <c r="A1188" s="10"/>
      <c r="B1188" s="10"/>
      <c r="D1188" s="10"/>
      <c r="E1188" s="10"/>
      <c r="G1188" s="10"/>
    </row>
    <row r="1189" spans="1:7" x14ac:dyDescent="0.2">
      <c r="A1189" s="10"/>
      <c r="B1189" s="10"/>
      <c r="D1189" s="10"/>
      <c r="E1189" s="10"/>
      <c r="G1189" s="10"/>
    </row>
    <row r="1190" spans="1:7" x14ac:dyDescent="0.2">
      <c r="A1190" s="10"/>
      <c r="B1190" s="10"/>
      <c r="D1190" s="10"/>
      <c r="E1190" s="10"/>
      <c r="G1190" s="10"/>
    </row>
    <row r="1191" spans="1:7" x14ac:dyDescent="0.2">
      <c r="A1191" s="10"/>
      <c r="B1191" s="10"/>
      <c r="D1191" s="10"/>
      <c r="E1191" s="10"/>
      <c r="G1191" s="10"/>
    </row>
    <row r="1192" spans="1:7" x14ac:dyDescent="0.2">
      <c r="A1192" s="10"/>
      <c r="B1192" s="10"/>
      <c r="D1192" s="10"/>
      <c r="E1192" s="10"/>
      <c r="G1192" s="10"/>
    </row>
    <row r="1193" spans="1:7" x14ac:dyDescent="0.2">
      <c r="A1193" s="10"/>
      <c r="B1193" s="10"/>
      <c r="D1193" s="10"/>
      <c r="E1193" s="10"/>
      <c r="G1193" s="10"/>
    </row>
    <row r="1194" spans="1:7" x14ac:dyDescent="0.2">
      <c r="A1194" s="10"/>
    </row>
    <row r="1195" spans="1:7" x14ac:dyDescent="0.2">
      <c r="A1195" s="10"/>
    </row>
    <row r="1196" spans="1:7" x14ac:dyDescent="0.2">
      <c r="A1196" s="10"/>
    </row>
    <row r="1197" spans="1:7" x14ac:dyDescent="0.2">
      <c r="A1197" s="10"/>
      <c r="C1197" s="10"/>
    </row>
    <row r="1198" spans="1:7" x14ac:dyDescent="0.2">
      <c r="A1198" s="10"/>
    </row>
    <row r="1199" spans="1:7" x14ac:dyDescent="0.2">
      <c r="A1199" s="10"/>
      <c r="B1199" s="10"/>
    </row>
    <row r="1200" spans="1:7" x14ac:dyDescent="0.2">
      <c r="A1200" s="10"/>
      <c r="B1200" s="10"/>
    </row>
    <row r="1201" spans="1:7" x14ac:dyDescent="0.2">
      <c r="A1201" s="10"/>
    </row>
    <row r="1202" spans="1:7" x14ac:dyDescent="0.2">
      <c r="A1202" s="10"/>
    </row>
    <row r="1203" spans="1:7" x14ac:dyDescent="0.2">
      <c r="A1203" s="10"/>
      <c r="B1203" s="10"/>
      <c r="D1203" s="10"/>
      <c r="E1203" s="10"/>
      <c r="F1203" s="10"/>
    </row>
    <row r="1204" spans="1:7" x14ac:dyDescent="0.2">
      <c r="A1204" s="10"/>
    </row>
    <row r="1205" spans="1:7" x14ac:dyDescent="0.2">
      <c r="A1205" s="10"/>
    </row>
    <row r="1206" spans="1:7" x14ac:dyDescent="0.2">
      <c r="A1206" s="10"/>
    </row>
    <row r="1207" spans="1:7" x14ac:dyDescent="0.2">
      <c r="A1207" s="10"/>
      <c r="C1207" s="10"/>
    </row>
    <row r="1208" spans="1:7" x14ac:dyDescent="0.2">
      <c r="A1208" s="10"/>
    </row>
    <row r="1209" spans="1:7" x14ac:dyDescent="0.2">
      <c r="A1209" s="10"/>
    </row>
    <row r="1210" spans="1:7" x14ac:dyDescent="0.2">
      <c r="A1210" s="10"/>
      <c r="B1210" s="10"/>
      <c r="D1210" s="10"/>
      <c r="E1210" s="10"/>
      <c r="F1210" s="10"/>
    </row>
    <row r="1211" spans="1:7" x14ac:dyDescent="0.2">
      <c r="A1211" s="10"/>
      <c r="B1211" s="10"/>
      <c r="D1211" s="10"/>
      <c r="E1211" s="10"/>
      <c r="F1211" s="10"/>
    </row>
    <row r="1212" spans="1:7" x14ac:dyDescent="0.2">
      <c r="A1212" s="10"/>
      <c r="B1212" s="10"/>
      <c r="D1212" s="10"/>
      <c r="E1212" s="10"/>
      <c r="F1212" s="10"/>
    </row>
    <row r="1213" spans="1:7" x14ac:dyDescent="0.2">
      <c r="A1213" s="10"/>
      <c r="B1213" s="10"/>
      <c r="D1213" s="10"/>
      <c r="E1213" s="10"/>
      <c r="F1213" s="10"/>
    </row>
    <row r="1214" spans="1:7" x14ac:dyDescent="0.2">
      <c r="A1214" s="10"/>
      <c r="B1214" s="10"/>
      <c r="D1214" s="10"/>
      <c r="E1214" s="10"/>
      <c r="G1214" s="10"/>
    </row>
    <row r="1215" spans="1:7" x14ac:dyDescent="0.2">
      <c r="A1215" s="10"/>
      <c r="B1215" s="10"/>
      <c r="D1215" s="10"/>
      <c r="E1215" s="10"/>
      <c r="F1215" s="10"/>
    </row>
    <row r="1216" spans="1:7" x14ac:dyDescent="0.2">
      <c r="A1216" s="10"/>
      <c r="B1216" s="10"/>
    </row>
    <row r="1217" spans="1:7" x14ac:dyDescent="0.2">
      <c r="A1217" s="10"/>
    </row>
    <row r="1218" spans="1:7" x14ac:dyDescent="0.2">
      <c r="A1218" s="10"/>
    </row>
    <row r="1219" spans="1:7" x14ac:dyDescent="0.2">
      <c r="A1219" s="10"/>
      <c r="B1219" s="10"/>
      <c r="D1219" s="10"/>
      <c r="E1219" s="10"/>
      <c r="F1219" s="10"/>
    </row>
    <row r="1220" spans="1:7" x14ac:dyDescent="0.2">
      <c r="A1220" s="10"/>
      <c r="B1220" s="10"/>
      <c r="D1220" s="10"/>
      <c r="E1220" s="10"/>
      <c r="G1220" s="10"/>
    </row>
    <row r="1221" spans="1:7" x14ac:dyDescent="0.2">
      <c r="A1221" s="10"/>
    </row>
    <row r="1222" spans="1:7" x14ac:dyDescent="0.2">
      <c r="A1222" s="10"/>
    </row>
    <row r="1223" spans="1:7" x14ac:dyDescent="0.2">
      <c r="A1223" s="10"/>
      <c r="B1223" s="10"/>
    </row>
    <row r="1224" spans="1:7" x14ac:dyDescent="0.2">
      <c r="A1224" s="10"/>
      <c r="B1224" s="10"/>
      <c r="D1224" s="10"/>
      <c r="E1224" s="10"/>
      <c r="F1224" s="10"/>
    </row>
    <row r="1225" spans="1:7" x14ac:dyDescent="0.2">
      <c r="A1225" s="10"/>
      <c r="B1225" s="10"/>
      <c r="D1225" s="10"/>
      <c r="E1225" s="10"/>
      <c r="F1225" s="10"/>
    </row>
    <row r="1226" spans="1:7" x14ac:dyDescent="0.2">
      <c r="A1226" s="10"/>
      <c r="B1226" s="10"/>
      <c r="D1226" s="10"/>
      <c r="E1226" s="10"/>
      <c r="G1226" s="10"/>
    </row>
    <row r="1227" spans="1:7" x14ac:dyDescent="0.2">
      <c r="A1227" s="10"/>
      <c r="B1227" s="10"/>
      <c r="D1227" s="10"/>
      <c r="E1227" s="10"/>
      <c r="G1227" s="10"/>
    </row>
    <row r="1228" spans="1:7" x14ac:dyDescent="0.2">
      <c r="A1228" s="10"/>
      <c r="B1228" s="10"/>
      <c r="D1228" s="10"/>
      <c r="E1228" s="10"/>
      <c r="G1228" s="10"/>
    </row>
    <row r="1229" spans="1:7" x14ac:dyDescent="0.2">
      <c r="A1229" s="10"/>
      <c r="B1229" s="10"/>
      <c r="D1229" s="10"/>
      <c r="E1229" s="10"/>
      <c r="F1229" s="10"/>
    </row>
    <row r="1230" spans="1:7" x14ac:dyDescent="0.2">
      <c r="A1230" s="10"/>
      <c r="B1230" s="10"/>
      <c r="D1230" s="10"/>
      <c r="E1230" s="10"/>
      <c r="F1230" s="10"/>
    </row>
    <row r="1231" spans="1:7" x14ac:dyDescent="0.2">
      <c r="A1231" s="10"/>
      <c r="B1231" s="10"/>
    </row>
    <row r="1232" spans="1:7" x14ac:dyDescent="0.2">
      <c r="A1232" s="10"/>
    </row>
    <row r="1233" spans="1:7" x14ac:dyDescent="0.2">
      <c r="A1233" s="10"/>
    </row>
    <row r="1234" spans="1:7" x14ac:dyDescent="0.2">
      <c r="A1234" s="10"/>
      <c r="C1234" s="10"/>
    </row>
    <row r="1235" spans="1:7" x14ac:dyDescent="0.2">
      <c r="A1235" s="10"/>
    </row>
    <row r="1236" spans="1:7" x14ac:dyDescent="0.2">
      <c r="A1236" s="10"/>
    </row>
    <row r="1237" spans="1:7" x14ac:dyDescent="0.2">
      <c r="A1237" s="10"/>
      <c r="C1237" s="10"/>
    </row>
    <row r="1238" spans="1:7" x14ac:dyDescent="0.2">
      <c r="A1238" s="10"/>
    </row>
    <row r="1239" spans="1:7" x14ac:dyDescent="0.2">
      <c r="A1239" s="10"/>
    </row>
    <row r="1240" spans="1:7" x14ac:dyDescent="0.2">
      <c r="A1240" s="10"/>
      <c r="B1240" s="10"/>
      <c r="D1240" s="10"/>
      <c r="E1240" s="10"/>
      <c r="G1240" s="10"/>
    </row>
    <row r="1241" spans="1:7" x14ac:dyDescent="0.2">
      <c r="A1241" s="10"/>
      <c r="B1241" s="10"/>
      <c r="D1241" s="10"/>
      <c r="E1241" s="10"/>
      <c r="G1241" s="10"/>
    </row>
    <row r="1242" spans="1:7" x14ac:dyDescent="0.2">
      <c r="A1242" s="10"/>
      <c r="B1242" s="10"/>
      <c r="D1242" s="10"/>
      <c r="E1242" s="10"/>
      <c r="G1242" s="10"/>
    </row>
    <row r="1243" spans="1:7" x14ac:dyDescent="0.2">
      <c r="A1243" s="10"/>
      <c r="B1243" s="10"/>
      <c r="D1243" s="10"/>
      <c r="E1243" s="10"/>
      <c r="G1243" s="10"/>
    </row>
    <row r="1244" spans="1:7" x14ac:dyDescent="0.2">
      <c r="A1244" s="10"/>
      <c r="B1244" s="10"/>
      <c r="D1244" s="10"/>
      <c r="E1244" s="10"/>
      <c r="G1244" s="10"/>
    </row>
    <row r="1245" spans="1:7" x14ac:dyDescent="0.2">
      <c r="A1245" s="10"/>
      <c r="B1245" s="10"/>
      <c r="D1245" s="10"/>
      <c r="E1245" s="10"/>
      <c r="G1245" s="10"/>
    </row>
    <row r="1246" spans="1:7" x14ac:dyDescent="0.2">
      <c r="A1246" s="10"/>
    </row>
    <row r="1247" spans="1:7" x14ac:dyDescent="0.2">
      <c r="A1247" s="10"/>
    </row>
    <row r="1248" spans="1:7" x14ac:dyDescent="0.2">
      <c r="A1248" s="10"/>
    </row>
    <row r="1249" spans="1:7" x14ac:dyDescent="0.2">
      <c r="A1249" s="10"/>
      <c r="B1249" s="10"/>
      <c r="D1249" s="10"/>
      <c r="E1249" s="10"/>
      <c r="G1249" s="10"/>
    </row>
    <row r="1250" spans="1:7" x14ac:dyDescent="0.2">
      <c r="A1250" s="10"/>
      <c r="B1250" s="10"/>
      <c r="D1250" s="10"/>
      <c r="E1250" s="10"/>
      <c r="G1250" s="10"/>
    </row>
    <row r="1251" spans="1:7" x14ac:dyDescent="0.2">
      <c r="A1251" s="10"/>
    </row>
    <row r="1252" spans="1:7" x14ac:dyDescent="0.2">
      <c r="A1252" s="10"/>
    </row>
    <row r="1253" spans="1:7" x14ac:dyDescent="0.2">
      <c r="A1253" s="10"/>
    </row>
    <row r="1254" spans="1:7" x14ac:dyDescent="0.2">
      <c r="A1254" s="10"/>
      <c r="B1254" s="10"/>
      <c r="D1254" s="10"/>
      <c r="E1254" s="10"/>
      <c r="G1254" s="10"/>
    </row>
    <row r="1255" spans="1:7" x14ac:dyDescent="0.2">
      <c r="A1255" s="10"/>
      <c r="B1255" s="10"/>
      <c r="D1255" s="10"/>
      <c r="E1255" s="10"/>
      <c r="G1255" s="10"/>
    </row>
    <row r="1256" spans="1:7" x14ac:dyDescent="0.2">
      <c r="A1256" s="10"/>
      <c r="B1256" s="10"/>
      <c r="D1256" s="10"/>
      <c r="E1256" s="10"/>
      <c r="G1256" s="10"/>
    </row>
    <row r="1257" spans="1:7" x14ac:dyDescent="0.2">
      <c r="A1257" s="10"/>
      <c r="B1257" s="10"/>
      <c r="D1257" s="10"/>
      <c r="E1257" s="10"/>
      <c r="G1257" s="10"/>
    </row>
    <row r="1258" spans="1:7" x14ac:dyDescent="0.2">
      <c r="A1258" s="10"/>
      <c r="B1258" s="10"/>
      <c r="D1258" s="10"/>
      <c r="E1258" s="10"/>
      <c r="G1258" s="10"/>
    </row>
    <row r="1259" spans="1:7" x14ac:dyDescent="0.2">
      <c r="A1259" s="10"/>
      <c r="B1259" s="10"/>
      <c r="D1259" s="10"/>
      <c r="E1259" s="10"/>
      <c r="G1259" s="10"/>
    </row>
    <row r="1260" spans="1:7" x14ac:dyDescent="0.2">
      <c r="A1260" s="10"/>
      <c r="B1260" s="10"/>
      <c r="D1260" s="10"/>
      <c r="E1260" s="10"/>
      <c r="G1260" s="10"/>
    </row>
    <row r="1261" spans="1:7" x14ac:dyDescent="0.2">
      <c r="A1261" s="10"/>
      <c r="B1261" s="10"/>
      <c r="D1261" s="10"/>
      <c r="E1261" s="10"/>
      <c r="G1261" s="10"/>
    </row>
    <row r="1262" spans="1:7" x14ac:dyDescent="0.2">
      <c r="A1262" s="10"/>
      <c r="B1262" s="10"/>
      <c r="D1262" s="10"/>
      <c r="E1262" s="10"/>
      <c r="G1262" s="10"/>
    </row>
    <row r="1263" spans="1:7" x14ac:dyDescent="0.2">
      <c r="A1263" s="10"/>
      <c r="B1263" s="10"/>
      <c r="D1263" s="10"/>
      <c r="E1263" s="10"/>
      <c r="G1263" s="10"/>
    </row>
    <row r="1264" spans="1:7" x14ac:dyDescent="0.2">
      <c r="A1264" s="10"/>
      <c r="B1264" s="10"/>
      <c r="D1264" s="10"/>
      <c r="E1264" s="10"/>
      <c r="G1264" s="10"/>
    </row>
    <row r="1265" spans="1:7" x14ac:dyDescent="0.2">
      <c r="A1265" s="10"/>
      <c r="B1265" s="10"/>
      <c r="D1265" s="10"/>
      <c r="E1265" s="10"/>
      <c r="G1265" s="10"/>
    </row>
    <row r="1266" spans="1:7" x14ac:dyDescent="0.2">
      <c r="A1266" s="10"/>
    </row>
    <row r="1267" spans="1:7" x14ac:dyDescent="0.2">
      <c r="A1267" s="10"/>
    </row>
    <row r="1268" spans="1:7" x14ac:dyDescent="0.2">
      <c r="A1268" s="10"/>
    </row>
    <row r="1269" spans="1:7" x14ac:dyDescent="0.2">
      <c r="A1269" s="10"/>
      <c r="C1269" s="10"/>
    </row>
    <row r="1270" spans="1:7" x14ac:dyDescent="0.2">
      <c r="A1270" s="10"/>
    </row>
    <row r="1271" spans="1:7" x14ac:dyDescent="0.2">
      <c r="A1271" s="10"/>
    </row>
    <row r="1272" spans="1:7" x14ac:dyDescent="0.2">
      <c r="A1272" s="10"/>
      <c r="C1272" s="10"/>
    </row>
    <row r="1273" spans="1:7" x14ac:dyDescent="0.2">
      <c r="A1273" s="10"/>
    </row>
    <row r="1274" spans="1:7" x14ac:dyDescent="0.2">
      <c r="A1274" s="10"/>
    </row>
    <row r="1275" spans="1:7" x14ac:dyDescent="0.2">
      <c r="A1275" s="10"/>
      <c r="C1275" s="10"/>
    </row>
    <row r="1276" spans="1:7" x14ac:dyDescent="0.2">
      <c r="A1276" s="10"/>
    </row>
    <row r="1277" spans="1:7" x14ac:dyDescent="0.2">
      <c r="A1277" s="10"/>
    </row>
    <row r="1278" spans="1:7" x14ac:dyDescent="0.2">
      <c r="A1278" s="10"/>
      <c r="C1278" s="10"/>
    </row>
    <row r="1279" spans="1:7" x14ac:dyDescent="0.2">
      <c r="A1279" s="10"/>
    </row>
    <row r="1280" spans="1:7" x14ac:dyDescent="0.2">
      <c r="A1280" s="10"/>
    </row>
    <row r="1281" spans="1:3" x14ac:dyDescent="0.2">
      <c r="A1281" s="10"/>
      <c r="C1281" s="10"/>
    </row>
    <row r="1282" spans="1:3" x14ac:dyDescent="0.2">
      <c r="A1282" s="10"/>
    </row>
    <row r="1283" spans="1:3" x14ac:dyDescent="0.2">
      <c r="A1283" s="10"/>
    </row>
    <row r="1284" spans="1:3" x14ac:dyDescent="0.2">
      <c r="A1284" s="10"/>
      <c r="C1284" s="10"/>
    </row>
    <row r="1285" spans="1:3" x14ac:dyDescent="0.2">
      <c r="A1285" s="10"/>
    </row>
    <row r="1286" spans="1:3" x14ac:dyDescent="0.2">
      <c r="A1286" s="10"/>
    </row>
    <row r="1287" spans="1:3" x14ac:dyDescent="0.2">
      <c r="A1287" s="10"/>
      <c r="C1287" s="10"/>
    </row>
    <row r="1288" spans="1:3" x14ac:dyDescent="0.2">
      <c r="A1288" s="10"/>
    </row>
    <row r="1289" spans="1:3" x14ac:dyDescent="0.2">
      <c r="A1289" s="10"/>
    </row>
    <row r="1290" spans="1:3" x14ac:dyDescent="0.2">
      <c r="A1290" s="10"/>
      <c r="C1290" s="10"/>
    </row>
    <row r="1291" spans="1:3" x14ac:dyDescent="0.2">
      <c r="A1291" s="10"/>
    </row>
    <row r="1292" spans="1:3" x14ac:dyDescent="0.2">
      <c r="A1292" s="10"/>
    </row>
    <row r="1293" spans="1:3" x14ac:dyDescent="0.2">
      <c r="A1293" s="10"/>
      <c r="C1293" s="10"/>
    </row>
    <row r="1294" spans="1:3" x14ac:dyDescent="0.2">
      <c r="A1294" s="10"/>
    </row>
    <row r="1295" spans="1:3" x14ac:dyDescent="0.2">
      <c r="A1295" s="10"/>
      <c r="B1295" s="10"/>
    </row>
    <row r="1296" spans="1:3" x14ac:dyDescent="0.2">
      <c r="A1296" s="10"/>
      <c r="B1296" s="10"/>
    </row>
    <row r="1297" spans="1:3" x14ac:dyDescent="0.2">
      <c r="A1297" s="10"/>
    </row>
    <row r="1298" spans="1:3" x14ac:dyDescent="0.2">
      <c r="A1298" s="10"/>
    </row>
    <row r="1299" spans="1:3" x14ac:dyDescent="0.2">
      <c r="A1299" s="10"/>
      <c r="C1299" s="10"/>
    </row>
    <row r="1300" spans="1:3" x14ac:dyDescent="0.2">
      <c r="A1300" s="10"/>
    </row>
    <row r="1301" spans="1:3" x14ac:dyDescent="0.2">
      <c r="A1301" s="10"/>
    </row>
    <row r="1302" spans="1:3" x14ac:dyDescent="0.2">
      <c r="A1302" s="10"/>
      <c r="C1302" s="10"/>
    </row>
    <row r="1303" spans="1:3" x14ac:dyDescent="0.2">
      <c r="A1303" s="10"/>
    </row>
    <row r="1304" spans="1:3" x14ac:dyDescent="0.2">
      <c r="A1304" s="10"/>
      <c r="B1304" s="10"/>
    </row>
    <row r="1305" spans="1:3" x14ac:dyDescent="0.2">
      <c r="A1305" s="10"/>
      <c r="B1305" s="10"/>
    </row>
    <row r="1306" spans="1:3" x14ac:dyDescent="0.2">
      <c r="A1306" s="10"/>
    </row>
    <row r="1307" spans="1:3" x14ac:dyDescent="0.2">
      <c r="A1307" s="10"/>
    </row>
    <row r="1308" spans="1:3" x14ac:dyDescent="0.2">
      <c r="A1308" s="10"/>
      <c r="C1308" s="10"/>
    </row>
    <row r="1309" spans="1:3" x14ac:dyDescent="0.2">
      <c r="A1309" s="10"/>
    </row>
    <row r="1310" spans="1:3" x14ac:dyDescent="0.2">
      <c r="A1310" s="10"/>
    </row>
    <row r="1311" spans="1:3" x14ac:dyDescent="0.2">
      <c r="A1311" s="10"/>
      <c r="C1311" s="10"/>
    </row>
    <row r="1312" spans="1:3" x14ac:dyDescent="0.2">
      <c r="A1312" s="10"/>
    </row>
    <row r="1313" spans="1:7" x14ac:dyDescent="0.2">
      <c r="A1313" s="10"/>
    </row>
    <row r="1314" spans="1:7" x14ac:dyDescent="0.2">
      <c r="A1314" s="10"/>
      <c r="C1314" s="10"/>
    </row>
    <row r="1315" spans="1:7" x14ac:dyDescent="0.2">
      <c r="A1315" s="10"/>
    </row>
    <row r="1316" spans="1:7" x14ac:dyDescent="0.2">
      <c r="A1316" s="10"/>
    </row>
    <row r="1317" spans="1:7" x14ac:dyDescent="0.2">
      <c r="A1317" s="10"/>
      <c r="C1317" s="10"/>
    </row>
    <row r="1318" spans="1:7" x14ac:dyDescent="0.2">
      <c r="A1318" s="10"/>
    </row>
    <row r="1319" spans="1:7" x14ac:dyDescent="0.2">
      <c r="A1319" s="10"/>
    </row>
    <row r="1320" spans="1:7" x14ac:dyDescent="0.2">
      <c r="A1320" s="10"/>
      <c r="B1320" s="10"/>
      <c r="D1320" s="10"/>
      <c r="E1320" s="10"/>
      <c r="G1320" s="10"/>
    </row>
    <row r="1321" spans="1:7" x14ac:dyDescent="0.2">
      <c r="A1321" s="10"/>
      <c r="B1321" s="10"/>
      <c r="D1321" s="10"/>
      <c r="E1321" s="10"/>
      <c r="G1321" s="10"/>
    </row>
    <row r="1322" spans="1:7" x14ac:dyDescent="0.2">
      <c r="A1322" s="10"/>
      <c r="B1322" s="10"/>
      <c r="D1322" s="10"/>
      <c r="E1322" s="10"/>
      <c r="G1322" s="10"/>
    </row>
    <row r="1323" spans="1:7" x14ac:dyDescent="0.2">
      <c r="A1323" s="10"/>
      <c r="B1323" s="10"/>
      <c r="D1323" s="10"/>
      <c r="E1323" s="10"/>
      <c r="G1323" s="10"/>
    </row>
    <row r="1324" spans="1:7" x14ac:dyDescent="0.2">
      <c r="A1324" s="10"/>
      <c r="B1324" s="10"/>
      <c r="D1324" s="10"/>
      <c r="E1324" s="10"/>
      <c r="G1324" s="10"/>
    </row>
    <row r="1325" spans="1:7" x14ac:dyDescent="0.2">
      <c r="A1325" s="10"/>
      <c r="B1325" s="10"/>
      <c r="D1325" s="10"/>
      <c r="E1325" s="10"/>
      <c r="G1325" s="10"/>
    </row>
    <row r="1326" spans="1:7" x14ac:dyDescent="0.2">
      <c r="A1326" s="10"/>
    </row>
    <row r="1327" spans="1:7" x14ac:dyDescent="0.2">
      <c r="A1327" s="10"/>
    </row>
    <row r="1328" spans="1:7" x14ac:dyDescent="0.2">
      <c r="A1328" s="10"/>
    </row>
    <row r="1329" spans="1:3" x14ac:dyDescent="0.2">
      <c r="A1329" s="10"/>
      <c r="C1329" s="10"/>
    </row>
    <row r="1330" spans="1:3" x14ac:dyDescent="0.2">
      <c r="A1330" s="10"/>
    </row>
    <row r="1331" spans="1:3" x14ac:dyDescent="0.2">
      <c r="A1331" s="10"/>
    </row>
    <row r="1332" spans="1:3" x14ac:dyDescent="0.2">
      <c r="A1332" s="10"/>
      <c r="C1332" s="10"/>
    </row>
    <row r="1333" spans="1:3" x14ac:dyDescent="0.2">
      <c r="A1333" s="10"/>
    </row>
    <row r="1334" spans="1:3" x14ac:dyDescent="0.2">
      <c r="A1334" s="10"/>
    </row>
    <row r="1335" spans="1:3" x14ac:dyDescent="0.2">
      <c r="A1335" s="10"/>
      <c r="C1335" s="10"/>
    </row>
    <row r="1336" spans="1:3" x14ac:dyDescent="0.2">
      <c r="A1336" s="10"/>
    </row>
    <row r="1337" spans="1:3" x14ac:dyDescent="0.2">
      <c r="A1337" s="10"/>
    </row>
    <row r="1338" spans="1:3" x14ac:dyDescent="0.2">
      <c r="A1338" s="10"/>
      <c r="C1338" s="10"/>
    </row>
    <row r="1339" spans="1:3" x14ac:dyDescent="0.2">
      <c r="A1339" s="10"/>
    </row>
    <row r="1340" spans="1:3" x14ac:dyDescent="0.2">
      <c r="A1340" s="10"/>
    </row>
    <row r="1341" spans="1:3" x14ac:dyDescent="0.2">
      <c r="A1341" s="10"/>
      <c r="C1341" s="10"/>
    </row>
    <row r="1342" spans="1:3" x14ac:dyDescent="0.2">
      <c r="A1342" s="10"/>
    </row>
    <row r="1343" spans="1:3" x14ac:dyDescent="0.2">
      <c r="A1343" s="10"/>
      <c r="B1343" s="10"/>
    </row>
    <row r="1344" spans="1:3" x14ac:dyDescent="0.2">
      <c r="A1344" s="10"/>
      <c r="B1344" s="10"/>
    </row>
    <row r="1345" spans="1:15" x14ac:dyDescent="0.2">
      <c r="A1345" s="10"/>
    </row>
    <row r="1346" spans="1:15" x14ac:dyDescent="0.2">
      <c r="A1346" s="10"/>
      <c r="J1346" s="49"/>
      <c r="K1346" s="49"/>
      <c r="L1346" s="49"/>
      <c r="M1346" s="49"/>
      <c r="N1346" s="49"/>
      <c r="O1346" s="49"/>
    </row>
    <row r="1347" spans="1:15" x14ac:dyDescent="0.2">
      <c r="A1347" s="10"/>
      <c r="B1347" s="10"/>
      <c r="D1347" s="10"/>
      <c r="E1347" s="10"/>
      <c r="G1347" s="10"/>
    </row>
    <row r="1348" spans="1:15" x14ac:dyDescent="0.2">
      <c r="A1348" s="10"/>
      <c r="B1348" s="10"/>
      <c r="D1348" s="10"/>
      <c r="E1348" s="10"/>
      <c r="G1348" s="10"/>
    </row>
    <row r="1349" spans="1:15" x14ac:dyDescent="0.2">
      <c r="A1349" s="10"/>
      <c r="B1349" s="10"/>
      <c r="D1349" s="10"/>
      <c r="E1349" s="10"/>
      <c r="G1349" s="10"/>
    </row>
    <row r="1350" spans="1:15" x14ac:dyDescent="0.2">
      <c r="A1350" s="10"/>
      <c r="B1350" s="10"/>
      <c r="D1350" s="10"/>
      <c r="E1350" s="10"/>
      <c r="F1350" s="10"/>
    </row>
    <row r="1351" spans="1:15" x14ac:dyDescent="0.2">
      <c r="A1351" s="10"/>
      <c r="B1351" s="10"/>
      <c r="D1351" s="10"/>
      <c r="E1351" s="10"/>
      <c r="G1351" s="10"/>
    </row>
    <row r="1352" spans="1:15" x14ac:dyDescent="0.2">
      <c r="A1352" s="10"/>
      <c r="B1352" s="10"/>
      <c r="D1352" s="10"/>
      <c r="E1352" s="10"/>
      <c r="F1352" s="10"/>
    </row>
    <row r="1353" spans="1:15" x14ac:dyDescent="0.2">
      <c r="A1353" s="10"/>
      <c r="B1353" s="10"/>
      <c r="D1353" s="10"/>
      <c r="E1353" s="10"/>
      <c r="G1353" s="10"/>
    </row>
    <row r="1354" spans="1:15" x14ac:dyDescent="0.2">
      <c r="A1354" s="10"/>
      <c r="B1354" s="10"/>
      <c r="D1354" s="10"/>
      <c r="E1354" s="10"/>
      <c r="F1354" s="10"/>
    </row>
    <row r="1355" spans="1:15" x14ac:dyDescent="0.2">
      <c r="A1355" s="10"/>
      <c r="B1355" s="10"/>
      <c r="D1355" s="10"/>
      <c r="E1355" s="10"/>
      <c r="G1355" s="10"/>
    </row>
    <row r="1356" spans="1:15" x14ac:dyDescent="0.2">
      <c r="A1356" s="10"/>
      <c r="B1356" s="10"/>
      <c r="D1356" s="10"/>
      <c r="E1356" s="10"/>
      <c r="F1356" s="10"/>
    </row>
    <row r="1357" spans="1:15" x14ac:dyDescent="0.2">
      <c r="A1357" s="10"/>
      <c r="B1357" s="10"/>
      <c r="D1357" s="10"/>
      <c r="E1357" s="10"/>
      <c r="F1357" s="10"/>
    </row>
    <row r="1358" spans="1:15" x14ac:dyDescent="0.2">
      <c r="A1358" s="10"/>
      <c r="B1358" s="10"/>
      <c r="D1358" s="10"/>
      <c r="E1358" s="10"/>
      <c r="G1358" s="10"/>
    </row>
    <row r="1359" spans="1:15" x14ac:dyDescent="0.2">
      <c r="A1359" s="10"/>
      <c r="B1359" s="10"/>
      <c r="D1359" s="10"/>
      <c r="E1359" s="10"/>
      <c r="G1359" s="10"/>
    </row>
    <row r="1360" spans="1:15" x14ac:dyDescent="0.2">
      <c r="A1360" s="10"/>
      <c r="B1360" s="10"/>
      <c r="D1360" s="10"/>
      <c r="E1360" s="10"/>
      <c r="F1360" s="10"/>
    </row>
    <row r="1361" spans="1:14" x14ac:dyDescent="0.2">
      <c r="A1361" s="10"/>
      <c r="B1361" s="10"/>
      <c r="D1361" s="10"/>
      <c r="E1361" s="10"/>
      <c r="G1361" s="10"/>
    </row>
    <row r="1362" spans="1:14" x14ac:dyDescent="0.2">
      <c r="A1362" s="10"/>
      <c r="B1362" s="10"/>
      <c r="D1362" s="10"/>
      <c r="E1362" s="10"/>
      <c r="F1362" s="10"/>
    </row>
    <row r="1363" spans="1:14" x14ac:dyDescent="0.2">
      <c r="A1363" s="10"/>
      <c r="B1363" s="10"/>
      <c r="D1363" s="10"/>
      <c r="E1363" s="10"/>
      <c r="G1363" s="10"/>
    </row>
    <row r="1364" spans="1:14" x14ac:dyDescent="0.2">
      <c r="A1364" s="10"/>
      <c r="B1364" s="10"/>
      <c r="D1364" s="10"/>
      <c r="E1364" s="10"/>
      <c r="F1364" s="10"/>
    </row>
    <row r="1365" spans="1:14" x14ac:dyDescent="0.2">
      <c r="A1365" s="10"/>
      <c r="B1365" s="10"/>
      <c r="D1365" s="10"/>
      <c r="E1365" s="10"/>
      <c r="F1365" s="10"/>
    </row>
    <row r="1366" spans="1:14" x14ac:dyDescent="0.2">
      <c r="A1366" s="10"/>
      <c r="B1366" s="10"/>
      <c r="D1366" s="10"/>
      <c r="E1366" s="10"/>
      <c r="G1366" s="10"/>
    </row>
    <row r="1367" spans="1:14" x14ac:dyDescent="0.2">
      <c r="A1367" s="10"/>
      <c r="B1367" s="10"/>
      <c r="D1367" s="10"/>
      <c r="E1367" s="10"/>
      <c r="F1367" s="10"/>
    </row>
    <row r="1368" spans="1:14" x14ac:dyDescent="0.2">
      <c r="A1368" s="10"/>
      <c r="B1368" s="10"/>
      <c r="D1368" s="10"/>
      <c r="E1368" s="10"/>
      <c r="G1368" s="10"/>
    </row>
    <row r="1369" spans="1:14" x14ac:dyDescent="0.2">
      <c r="A1369" s="10"/>
      <c r="B1369" s="10"/>
      <c r="D1369" s="10"/>
      <c r="E1369" s="10"/>
      <c r="F1369" s="10"/>
    </row>
    <row r="1370" spans="1:14" x14ac:dyDescent="0.2">
      <c r="A1370" s="10"/>
    </row>
    <row r="1371" spans="1:14" x14ac:dyDescent="0.2">
      <c r="A1371" s="10"/>
    </row>
    <row r="1372" spans="1:14" x14ac:dyDescent="0.2">
      <c r="A1372" s="10"/>
    </row>
    <row r="1373" spans="1:14" x14ac:dyDescent="0.2">
      <c r="A1373" s="10"/>
      <c r="C1373" s="10"/>
      <c r="L1373" s="31"/>
      <c r="N1373" s="31"/>
    </row>
    <row r="1374" spans="1:14" x14ac:dyDescent="0.2">
      <c r="A1374" s="10"/>
    </row>
    <row r="1375" spans="1:14" x14ac:dyDescent="0.2">
      <c r="A1375" s="10"/>
      <c r="B1375" s="10"/>
    </row>
    <row r="1376" spans="1:14" x14ac:dyDescent="0.2">
      <c r="A1376" s="10"/>
      <c r="B1376" s="10"/>
    </row>
    <row r="1377" spans="1:3" x14ac:dyDescent="0.2">
      <c r="A1377" s="10"/>
    </row>
    <row r="1378" spans="1:3" x14ac:dyDescent="0.2">
      <c r="A1378" s="10"/>
      <c r="B1378" s="10"/>
    </row>
    <row r="1379" spans="1:3" x14ac:dyDescent="0.2">
      <c r="A1379" s="10"/>
      <c r="B1379" s="10"/>
    </row>
    <row r="1380" spans="1:3" x14ac:dyDescent="0.2">
      <c r="A1380" s="10"/>
    </row>
    <row r="1381" spans="1:3" x14ac:dyDescent="0.2">
      <c r="A1381" s="10"/>
      <c r="B1381" s="10"/>
    </row>
    <row r="1382" spans="1:3" x14ac:dyDescent="0.2">
      <c r="A1382" s="10"/>
      <c r="B1382" s="10"/>
    </row>
    <row r="1383" spans="1:3" x14ac:dyDescent="0.2">
      <c r="A1383" s="10"/>
    </row>
    <row r="1384" spans="1:3" x14ac:dyDescent="0.2">
      <c r="A1384" s="10"/>
    </row>
    <row r="1385" spans="1:3" x14ac:dyDescent="0.2">
      <c r="A1385" s="10"/>
      <c r="C1385" s="10"/>
    </row>
    <row r="1386" spans="1:3" x14ac:dyDescent="0.2">
      <c r="A1386" s="10"/>
    </row>
    <row r="1387" spans="1:3" x14ac:dyDescent="0.2">
      <c r="A1387" s="10"/>
      <c r="B1387" s="10"/>
    </row>
    <row r="1388" spans="1:3" x14ac:dyDescent="0.2">
      <c r="A1388" s="10"/>
      <c r="B1388" s="10"/>
    </row>
    <row r="1389" spans="1:3" x14ac:dyDescent="0.2">
      <c r="A1389" s="10"/>
    </row>
    <row r="1390" spans="1:3" x14ac:dyDescent="0.2">
      <c r="A1390" s="10"/>
      <c r="B1390" s="10"/>
    </row>
    <row r="1391" spans="1:3" x14ac:dyDescent="0.2">
      <c r="A1391" s="10"/>
      <c r="B1391" s="10"/>
    </row>
    <row r="1392" spans="1:3" x14ac:dyDescent="0.2">
      <c r="A1392" s="10"/>
    </row>
    <row r="1393" spans="1:7" x14ac:dyDescent="0.2">
      <c r="A1393" s="10"/>
    </row>
    <row r="1394" spans="1:7" x14ac:dyDescent="0.2">
      <c r="A1394" s="10"/>
      <c r="B1394" s="10"/>
      <c r="D1394" s="10"/>
      <c r="E1394" s="10"/>
      <c r="G1394" s="10"/>
    </row>
    <row r="1395" spans="1:7" x14ac:dyDescent="0.2">
      <c r="A1395" s="10"/>
      <c r="B1395" s="10"/>
      <c r="D1395" s="10"/>
      <c r="E1395" s="10"/>
      <c r="G1395" s="10"/>
    </row>
    <row r="1396" spans="1:7" x14ac:dyDescent="0.2">
      <c r="A1396" s="10"/>
      <c r="B1396" s="10"/>
      <c r="D1396" s="10"/>
      <c r="E1396" s="10"/>
      <c r="G1396" s="10"/>
    </row>
    <row r="1397" spans="1:7" x14ac:dyDescent="0.2">
      <c r="A1397" s="10"/>
      <c r="B1397" s="10"/>
      <c r="D1397" s="10"/>
      <c r="E1397" s="10"/>
      <c r="G1397" s="10"/>
    </row>
    <row r="1398" spans="1:7" x14ac:dyDescent="0.2">
      <c r="A1398" s="10"/>
      <c r="B1398" s="10"/>
      <c r="D1398" s="10"/>
      <c r="E1398" s="10"/>
      <c r="G1398" s="10"/>
    </row>
    <row r="1399" spans="1:7" x14ac:dyDescent="0.2">
      <c r="A1399" s="10"/>
      <c r="B1399" s="10"/>
      <c r="D1399" s="10"/>
      <c r="E1399" s="10"/>
      <c r="G1399" s="10"/>
    </row>
    <row r="1400" spans="1:7" x14ac:dyDescent="0.2">
      <c r="A1400" s="10"/>
      <c r="B1400" s="10"/>
      <c r="D1400" s="10"/>
      <c r="E1400" s="10"/>
      <c r="G1400" s="10"/>
    </row>
    <row r="1401" spans="1:7" x14ac:dyDescent="0.2">
      <c r="A1401" s="10"/>
      <c r="B1401" s="10"/>
      <c r="D1401" s="10"/>
      <c r="E1401" s="10"/>
      <c r="G1401" s="10"/>
    </row>
    <row r="1402" spans="1:7" x14ac:dyDescent="0.2">
      <c r="A1402" s="10"/>
      <c r="B1402" s="10"/>
      <c r="D1402" s="10"/>
      <c r="E1402" s="10"/>
      <c r="G1402" s="10"/>
    </row>
    <row r="1403" spans="1:7" x14ac:dyDescent="0.2">
      <c r="A1403" s="10"/>
      <c r="B1403" s="10"/>
      <c r="D1403" s="10"/>
      <c r="E1403" s="10"/>
      <c r="G1403" s="10"/>
    </row>
    <row r="1404" spans="1:7" x14ac:dyDescent="0.2">
      <c r="A1404" s="10"/>
      <c r="B1404" s="10"/>
      <c r="D1404" s="10"/>
      <c r="E1404" s="10"/>
      <c r="G1404" s="10"/>
    </row>
    <row r="1405" spans="1:7" x14ac:dyDescent="0.2">
      <c r="A1405" s="10"/>
      <c r="B1405" s="10"/>
      <c r="D1405" s="10"/>
      <c r="E1405" s="10"/>
      <c r="G1405" s="10"/>
    </row>
    <row r="1406" spans="1:7" x14ac:dyDescent="0.2">
      <c r="A1406" s="10"/>
    </row>
    <row r="1407" spans="1:7" x14ac:dyDescent="0.2">
      <c r="A1407" s="10"/>
    </row>
    <row r="1408" spans="1:7" x14ac:dyDescent="0.2">
      <c r="A1408" s="10"/>
    </row>
    <row r="1409" spans="1:7" x14ac:dyDescent="0.2">
      <c r="A1409" s="10"/>
      <c r="B1409" s="10"/>
      <c r="D1409" s="10"/>
      <c r="E1409" s="10"/>
      <c r="G1409" s="10"/>
    </row>
    <row r="1410" spans="1:7" x14ac:dyDescent="0.2">
      <c r="A1410" s="10"/>
      <c r="B1410" s="10"/>
      <c r="D1410" s="10"/>
      <c r="E1410" s="10"/>
      <c r="G1410" s="10"/>
    </row>
    <row r="1411" spans="1:7" x14ac:dyDescent="0.2">
      <c r="A1411" s="10"/>
      <c r="B1411" s="10"/>
      <c r="D1411" s="10"/>
      <c r="E1411" s="10"/>
      <c r="G1411" s="10"/>
    </row>
    <row r="1412" spans="1:7" x14ac:dyDescent="0.2">
      <c r="A1412" s="10"/>
      <c r="B1412" s="10"/>
      <c r="D1412" s="10"/>
      <c r="E1412" s="10"/>
      <c r="G1412" s="10"/>
    </row>
    <row r="1413" spans="1:7" x14ac:dyDescent="0.2">
      <c r="A1413" s="10"/>
      <c r="B1413" s="10"/>
      <c r="D1413" s="10"/>
      <c r="E1413" s="10"/>
      <c r="G1413" s="10"/>
    </row>
    <row r="1414" spans="1:7" x14ac:dyDescent="0.2">
      <c r="A1414" s="10"/>
      <c r="B1414" s="10"/>
      <c r="D1414" s="10"/>
      <c r="E1414" s="10"/>
      <c r="G1414" s="10"/>
    </row>
    <row r="1415" spans="1:7" x14ac:dyDescent="0.2">
      <c r="A1415" s="10"/>
      <c r="B1415" s="10"/>
      <c r="D1415" s="10"/>
      <c r="E1415" s="10"/>
      <c r="G1415" s="10"/>
    </row>
    <row r="1416" spans="1:7" x14ac:dyDescent="0.2">
      <c r="A1416" s="10"/>
      <c r="B1416" s="10"/>
      <c r="D1416" s="10"/>
      <c r="E1416" s="10"/>
      <c r="G1416" s="10"/>
    </row>
    <row r="1417" spans="1:7" x14ac:dyDescent="0.2">
      <c r="A1417" s="10"/>
      <c r="B1417" s="10"/>
      <c r="D1417" s="10"/>
      <c r="E1417" s="10"/>
      <c r="G1417" s="10"/>
    </row>
    <row r="1418" spans="1:7" x14ac:dyDescent="0.2">
      <c r="A1418" s="10"/>
      <c r="B1418" s="10"/>
      <c r="D1418" s="10"/>
      <c r="E1418" s="10"/>
      <c r="G1418" s="10"/>
    </row>
    <row r="1419" spans="1:7" x14ac:dyDescent="0.2">
      <c r="A1419" s="10"/>
      <c r="B1419" s="10"/>
      <c r="D1419" s="10"/>
      <c r="E1419" s="10"/>
      <c r="G1419" s="10"/>
    </row>
    <row r="1420" spans="1:7" x14ac:dyDescent="0.2">
      <c r="A1420" s="10"/>
      <c r="B1420" s="10"/>
      <c r="D1420" s="10"/>
      <c r="E1420" s="10"/>
      <c r="G1420" s="10"/>
    </row>
    <row r="1421" spans="1:7" x14ac:dyDescent="0.2">
      <c r="A1421" s="10"/>
    </row>
    <row r="1422" spans="1:7" x14ac:dyDescent="0.2">
      <c r="A1422" s="10"/>
    </row>
    <row r="1423" spans="1:7" x14ac:dyDescent="0.2">
      <c r="A1423" s="10"/>
    </row>
    <row r="1424" spans="1:7" x14ac:dyDescent="0.2">
      <c r="A1424" s="10"/>
      <c r="B1424" s="10"/>
      <c r="D1424" s="10"/>
      <c r="E1424" s="10"/>
      <c r="G1424" s="10"/>
    </row>
    <row r="1425" spans="1:7" x14ac:dyDescent="0.2">
      <c r="A1425" s="10"/>
      <c r="B1425" s="10"/>
      <c r="D1425" s="10"/>
      <c r="E1425" s="10"/>
      <c r="G1425" s="10"/>
    </row>
    <row r="1426" spans="1:7" x14ac:dyDescent="0.2">
      <c r="A1426" s="10"/>
      <c r="B1426" s="10"/>
      <c r="D1426" s="10"/>
      <c r="E1426" s="10"/>
      <c r="G1426" s="10"/>
    </row>
    <row r="1427" spans="1:7" x14ac:dyDescent="0.2">
      <c r="A1427" s="10"/>
      <c r="B1427" s="10"/>
      <c r="D1427" s="10"/>
      <c r="E1427" s="10"/>
      <c r="G1427" s="10"/>
    </row>
    <row r="1428" spans="1:7" x14ac:dyDescent="0.2">
      <c r="A1428" s="10"/>
      <c r="B1428" s="10"/>
      <c r="D1428" s="10"/>
      <c r="E1428" s="10"/>
      <c r="G1428" s="10"/>
    </row>
    <row r="1429" spans="1:7" x14ac:dyDescent="0.2">
      <c r="A1429" s="10"/>
      <c r="B1429" s="10"/>
      <c r="D1429" s="10"/>
      <c r="E1429" s="10"/>
      <c r="G1429" s="10"/>
    </row>
    <row r="1430" spans="1:7" x14ac:dyDescent="0.2">
      <c r="A1430" s="10"/>
      <c r="B1430" s="10"/>
      <c r="D1430" s="10"/>
      <c r="E1430" s="10"/>
      <c r="G1430" s="10"/>
    </row>
    <row r="1431" spans="1:7" x14ac:dyDescent="0.2">
      <c r="A1431" s="10"/>
      <c r="B1431" s="10"/>
      <c r="D1431" s="10"/>
      <c r="E1431" s="10"/>
      <c r="G1431" s="10"/>
    </row>
    <row r="1432" spans="1:7" x14ac:dyDescent="0.2">
      <c r="A1432" s="10"/>
      <c r="B1432" s="10"/>
      <c r="D1432" s="10"/>
      <c r="E1432" s="10"/>
      <c r="G1432" s="10"/>
    </row>
    <row r="1433" spans="1:7" x14ac:dyDescent="0.2">
      <c r="A1433" s="10"/>
      <c r="B1433" s="10"/>
      <c r="D1433" s="10"/>
      <c r="E1433" s="10"/>
      <c r="G1433" s="10"/>
    </row>
    <row r="1434" spans="1:7" x14ac:dyDescent="0.2">
      <c r="A1434" s="10"/>
      <c r="B1434" s="10"/>
      <c r="D1434" s="10"/>
      <c r="E1434" s="10"/>
      <c r="G1434" s="10"/>
    </row>
    <row r="1435" spans="1:7" x14ac:dyDescent="0.2">
      <c r="A1435" s="10"/>
      <c r="B1435" s="10"/>
      <c r="D1435" s="10"/>
      <c r="E1435" s="10"/>
      <c r="G1435" s="10"/>
    </row>
    <row r="1436" spans="1:7" x14ac:dyDescent="0.2">
      <c r="A1436" s="10"/>
    </row>
    <row r="1437" spans="1:7" x14ac:dyDescent="0.2">
      <c r="A1437" s="10"/>
    </row>
    <row r="1438" spans="1:7" x14ac:dyDescent="0.2">
      <c r="A1438" s="10"/>
      <c r="B1438" s="10"/>
    </row>
    <row r="1439" spans="1:7" x14ac:dyDescent="0.2">
      <c r="A1439" s="10"/>
      <c r="B1439" s="10"/>
    </row>
    <row r="1440" spans="1:7" x14ac:dyDescent="0.2">
      <c r="A1440" s="10"/>
    </row>
    <row r="1441" spans="1:6" x14ac:dyDescent="0.2">
      <c r="A1441" s="10"/>
      <c r="B1441" s="10"/>
    </row>
    <row r="1442" spans="1:6" x14ac:dyDescent="0.2">
      <c r="A1442" s="10"/>
      <c r="B1442" s="10"/>
    </row>
    <row r="1443" spans="1:6" x14ac:dyDescent="0.2">
      <c r="A1443" s="10"/>
    </row>
    <row r="1444" spans="1:6" x14ac:dyDescent="0.2">
      <c r="A1444" s="10"/>
      <c r="C1444" s="10"/>
    </row>
    <row r="1445" spans="1:6" x14ac:dyDescent="0.2">
      <c r="A1445" s="10"/>
    </row>
    <row r="1446" spans="1:6" x14ac:dyDescent="0.2">
      <c r="A1446" s="10"/>
    </row>
    <row r="1447" spans="1:6" x14ac:dyDescent="0.2">
      <c r="A1447" s="10"/>
      <c r="C1447" s="10"/>
    </row>
    <row r="1448" spans="1:6" x14ac:dyDescent="0.2">
      <c r="A1448" s="10"/>
    </row>
    <row r="1449" spans="1:6" x14ac:dyDescent="0.2">
      <c r="A1449" s="10"/>
    </row>
    <row r="1450" spans="1:6" x14ac:dyDescent="0.2">
      <c r="A1450" s="10"/>
      <c r="B1450" s="10"/>
      <c r="D1450" s="10"/>
      <c r="E1450" s="10"/>
      <c r="F1450" s="10"/>
    </row>
    <row r="1451" spans="1:6" x14ac:dyDescent="0.2">
      <c r="A1451" s="10"/>
      <c r="B1451" s="10"/>
      <c r="D1451" s="10"/>
      <c r="E1451" s="10"/>
      <c r="F1451" s="10"/>
    </row>
    <row r="1452" spans="1:6" x14ac:dyDescent="0.2">
      <c r="A1452" s="10"/>
      <c r="B1452" s="10"/>
      <c r="D1452" s="10"/>
      <c r="E1452" s="10"/>
      <c r="F1452" s="10"/>
    </row>
    <row r="1453" spans="1:6" x14ac:dyDescent="0.2">
      <c r="A1453" s="10"/>
      <c r="B1453" s="10"/>
      <c r="D1453" s="10"/>
      <c r="E1453" s="10"/>
      <c r="F1453" s="10"/>
    </row>
    <row r="1454" spans="1:6" x14ac:dyDescent="0.2">
      <c r="A1454" s="10"/>
      <c r="B1454" s="10"/>
      <c r="D1454" s="10"/>
      <c r="E1454" s="10"/>
      <c r="F1454" s="10"/>
    </row>
    <row r="1455" spans="1:6" x14ac:dyDescent="0.2">
      <c r="A1455" s="10"/>
      <c r="B1455" s="10"/>
      <c r="D1455" s="10"/>
      <c r="E1455" s="10"/>
      <c r="F1455" s="10"/>
    </row>
    <row r="1456" spans="1:6" x14ac:dyDescent="0.2">
      <c r="A1456" s="10"/>
      <c r="B1456" s="10"/>
      <c r="D1456" s="10"/>
      <c r="E1456" s="10"/>
      <c r="F1456" s="10"/>
    </row>
    <row r="1457" spans="1:7" x14ac:dyDescent="0.2">
      <c r="A1457" s="10"/>
      <c r="B1457" s="10"/>
      <c r="D1457" s="10"/>
      <c r="E1457" s="10"/>
      <c r="F1457" s="10"/>
    </row>
    <row r="1458" spans="1:7" x14ac:dyDescent="0.2">
      <c r="A1458" s="10"/>
      <c r="B1458" s="10"/>
      <c r="D1458" s="10"/>
      <c r="E1458" s="10"/>
      <c r="F1458" s="10"/>
    </row>
    <row r="1459" spans="1:7" x14ac:dyDescent="0.2">
      <c r="A1459" s="10"/>
      <c r="B1459" s="10"/>
      <c r="D1459" s="10"/>
      <c r="E1459" s="10"/>
      <c r="F1459" s="10"/>
    </row>
    <row r="1460" spans="1:7" x14ac:dyDescent="0.2">
      <c r="A1460" s="10"/>
      <c r="B1460" s="10"/>
      <c r="D1460" s="10"/>
      <c r="E1460" s="10"/>
      <c r="F1460" s="10"/>
    </row>
    <row r="1461" spans="1:7" x14ac:dyDescent="0.2">
      <c r="A1461" s="10"/>
      <c r="B1461" s="10"/>
      <c r="D1461" s="10"/>
      <c r="E1461" s="10"/>
      <c r="F1461" s="10"/>
    </row>
    <row r="1462" spans="1:7" x14ac:dyDescent="0.2">
      <c r="A1462" s="10"/>
      <c r="B1462" s="10"/>
      <c r="D1462" s="10"/>
      <c r="E1462" s="10"/>
      <c r="F1462" s="10"/>
    </row>
    <row r="1463" spans="1:7" x14ac:dyDescent="0.2">
      <c r="A1463" s="10"/>
      <c r="B1463" s="10"/>
      <c r="D1463" s="10"/>
      <c r="E1463" s="10"/>
      <c r="G1463" s="10"/>
    </row>
    <row r="1464" spans="1:7" x14ac:dyDescent="0.2">
      <c r="A1464" s="10"/>
      <c r="B1464" s="10"/>
      <c r="D1464" s="10"/>
      <c r="E1464" s="10"/>
      <c r="G1464" s="10"/>
    </row>
    <row r="1465" spans="1:7" x14ac:dyDescent="0.2">
      <c r="A1465" s="10"/>
      <c r="B1465" s="10"/>
      <c r="D1465" s="10"/>
      <c r="E1465" s="10"/>
      <c r="G1465" s="10"/>
    </row>
    <row r="1466" spans="1:7" x14ac:dyDescent="0.2">
      <c r="A1466" s="10"/>
      <c r="B1466" s="10"/>
      <c r="D1466" s="10"/>
      <c r="E1466" s="10"/>
      <c r="G1466" s="10"/>
    </row>
    <row r="1467" spans="1:7" x14ac:dyDescent="0.2">
      <c r="A1467" s="10"/>
      <c r="B1467" s="10"/>
      <c r="D1467" s="10"/>
      <c r="E1467" s="10"/>
      <c r="G1467" s="10"/>
    </row>
    <row r="1468" spans="1:7" x14ac:dyDescent="0.2">
      <c r="A1468" s="10"/>
      <c r="B1468" s="10"/>
      <c r="D1468" s="10"/>
      <c r="E1468" s="10"/>
      <c r="G1468" s="10"/>
    </row>
    <row r="1469" spans="1:7" x14ac:dyDescent="0.2">
      <c r="A1469" s="10"/>
      <c r="B1469" s="10"/>
      <c r="D1469" s="10"/>
      <c r="E1469" s="10"/>
      <c r="G1469" s="10"/>
    </row>
    <row r="1470" spans="1:7" x14ac:dyDescent="0.2">
      <c r="A1470" s="10"/>
      <c r="B1470" s="10"/>
      <c r="D1470" s="10"/>
      <c r="E1470" s="10"/>
      <c r="G1470" s="10"/>
    </row>
    <row r="1471" spans="1:7" x14ac:dyDescent="0.2">
      <c r="A1471" s="10"/>
      <c r="B1471" s="10"/>
      <c r="D1471" s="10"/>
      <c r="E1471" s="10"/>
      <c r="G1471" s="10"/>
    </row>
    <row r="1472" spans="1:7" x14ac:dyDescent="0.2">
      <c r="A1472" s="10"/>
      <c r="B1472" s="10"/>
      <c r="D1472" s="10"/>
      <c r="E1472" s="10"/>
      <c r="G1472" s="10"/>
    </row>
    <row r="1473" spans="1:7" x14ac:dyDescent="0.2">
      <c r="A1473" s="10"/>
      <c r="B1473" s="10"/>
      <c r="D1473" s="10"/>
      <c r="E1473" s="10"/>
      <c r="G1473" s="10"/>
    </row>
    <row r="1474" spans="1:7" x14ac:dyDescent="0.2">
      <c r="A1474" s="10"/>
      <c r="B1474" s="10"/>
      <c r="D1474" s="10"/>
      <c r="E1474" s="10"/>
      <c r="G1474" s="10"/>
    </row>
    <row r="1475" spans="1:7" x14ac:dyDescent="0.2">
      <c r="A1475" s="10"/>
      <c r="B1475" s="10"/>
      <c r="D1475" s="10"/>
      <c r="E1475" s="10"/>
      <c r="G1475" s="10"/>
    </row>
    <row r="1476" spans="1:7" x14ac:dyDescent="0.2">
      <c r="A1476" s="10"/>
      <c r="B1476" s="10"/>
      <c r="D1476" s="10"/>
      <c r="E1476" s="10"/>
      <c r="G1476" s="10"/>
    </row>
    <row r="1477" spans="1:7" x14ac:dyDescent="0.2">
      <c r="A1477" s="10"/>
      <c r="B1477" s="10"/>
      <c r="D1477" s="10"/>
      <c r="E1477" s="10"/>
      <c r="F1477" s="10"/>
    </row>
    <row r="1478" spans="1:7" x14ac:dyDescent="0.2">
      <c r="A1478" s="10"/>
      <c r="B1478" s="10"/>
      <c r="D1478" s="10"/>
      <c r="E1478" s="10"/>
      <c r="F1478" s="10"/>
    </row>
    <row r="1479" spans="1:7" x14ac:dyDescent="0.2">
      <c r="A1479" s="10"/>
      <c r="B1479" s="10"/>
      <c r="D1479" s="10"/>
      <c r="E1479" s="10"/>
      <c r="F1479" s="10"/>
    </row>
    <row r="1480" spans="1:7" x14ac:dyDescent="0.2">
      <c r="A1480" s="10"/>
      <c r="B1480" s="10"/>
      <c r="D1480" s="10"/>
      <c r="E1480" s="10"/>
      <c r="F1480" s="10"/>
    </row>
    <row r="1481" spans="1:7" x14ac:dyDescent="0.2">
      <c r="A1481" s="10"/>
      <c r="B1481" s="10"/>
      <c r="D1481" s="10"/>
      <c r="E1481" s="10"/>
      <c r="F1481" s="10"/>
    </row>
    <row r="1482" spans="1:7" x14ac:dyDescent="0.2">
      <c r="A1482" s="10"/>
      <c r="B1482" s="10"/>
      <c r="D1482" s="10"/>
      <c r="E1482" s="10"/>
      <c r="F1482" s="10"/>
    </row>
    <row r="1483" spans="1:7" x14ac:dyDescent="0.2">
      <c r="A1483" s="10"/>
      <c r="B1483" s="10"/>
      <c r="D1483" s="10"/>
      <c r="E1483" s="10"/>
      <c r="F1483" s="10"/>
    </row>
    <row r="1484" spans="1:7" x14ac:dyDescent="0.2">
      <c r="A1484" s="10"/>
      <c r="B1484" s="10"/>
      <c r="D1484" s="10"/>
      <c r="E1484" s="10"/>
      <c r="F1484" s="10"/>
    </row>
    <row r="1485" spans="1:7" x14ac:dyDescent="0.2">
      <c r="A1485" s="10"/>
      <c r="B1485" s="10"/>
      <c r="D1485" s="10"/>
      <c r="E1485" s="10"/>
      <c r="F1485" s="10"/>
    </row>
    <row r="1486" spans="1:7" x14ac:dyDescent="0.2">
      <c r="A1486" s="10"/>
      <c r="B1486" s="10"/>
      <c r="D1486" s="10"/>
      <c r="E1486" s="10"/>
      <c r="F1486" s="10"/>
    </row>
    <row r="1487" spans="1:7" x14ac:dyDescent="0.2">
      <c r="A1487" s="10"/>
      <c r="B1487" s="10"/>
      <c r="D1487" s="10"/>
      <c r="E1487" s="10"/>
      <c r="F1487" s="10"/>
    </row>
    <row r="1488" spans="1:7" x14ac:dyDescent="0.2">
      <c r="A1488" s="10"/>
      <c r="B1488" s="10"/>
      <c r="D1488" s="10"/>
      <c r="E1488" s="10"/>
      <c r="F1488" s="10"/>
    </row>
    <row r="1489" spans="1:7" x14ac:dyDescent="0.2">
      <c r="A1489" s="10"/>
      <c r="B1489" s="10"/>
      <c r="D1489" s="10"/>
      <c r="E1489" s="10"/>
      <c r="F1489" s="10"/>
    </row>
    <row r="1490" spans="1:7" x14ac:dyDescent="0.2">
      <c r="A1490" s="10"/>
      <c r="B1490" s="10"/>
      <c r="D1490" s="10"/>
      <c r="E1490" s="10"/>
      <c r="F1490" s="10"/>
    </row>
    <row r="1491" spans="1:7" x14ac:dyDescent="0.2">
      <c r="A1491" s="10"/>
      <c r="B1491" s="10"/>
      <c r="D1491" s="10"/>
      <c r="E1491" s="10"/>
      <c r="F1491" s="10"/>
    </row>
    <row r="1492" spans="1:7" x14ac:dyDescent="0.2">
      <c r="A1492" s="10"/>
      <c r="B1492" s="10"/>
      <c r="D1492" s="10"/>
      <c r="E1492" s="10"/>
      <c r="F1492" s="10"/>
    </row>
    <row r="1493" spans="1:7" x14ac:dyDescent="0.2">
      <c r="A1493" s="10"/>
      <c r="B1493" s="10"/>
      <c r="D1493" s="10"/>
      <c r="E1493" s="10"/>
      <c r="F1493" s="10"/>
    </row>
    <row r="1494" spans="1:7" x14ac:dyDescent="0.2">
      <c r="A1494" s="10"/>
      <c r="B1494" s="10"/>
      <c r="D1494" s="10"/>
      <c r="E1494" s="10"/>
      <c r="F1494" s="10"/>
    </row>
    <row r="1495" spans="1:7" x14ac:dyDescent="0.2">
      <c r="A1495" s="10"/>
      <c r="B1495" s="10"/>
      <c r="D1495" s="10"/>
      <c r="E1495" s="10"/>
      <c r="G1495" s="10"/>
    </row>
    <row r="1496" spans="1:7" x14ac:dyDescent="0.2">
      <c r="A1496" s="10"/>
      <c r="B1496" s="10"/>
      <c r="D1496" s="10"/>
      <c r="E1496" s="10"/>
      <c r="G1496" s="10"/>
    </row>
    <row r="1497" spans="1:7" x14ac:dyDescent="0.2">
      <c r="A1497" s="10"/>
      <c r="B1497" s="10"/>
      <c r="D1497" s="10"/>
      <c r="E1497" s="10"/>
      <c r="G1497" s="10"/>
    </row>
    <row r="1498" spans="1:7" x14ac:dyDescent="0.2">
      <c r="A1498" s="10"/>
      <c r="B1498" s="10"/>
      <c r="D1498" s="10"/>
      <c r="E1498" s="10"/>
      <c r="G1498" s="10"/>
    </row>
    <row r="1499" spans="1:7" x14ac:dyDescent="0.2">
      <c r="A1499" s="10"/>
      <c r="B1499" s="10"/>
      <c r="D1499" s="10"/>
      <c r="E1499" s="10"/>
      <c r="G1499" s="10"/>
    </row>
    <row r="1500" spans="1:7" x14ac:dyDescent="0.2">
      <c r="A1500" s="10"/>
      <c r="B1500" s="10"/>
      <c r="D1500" s="10"/>
      <c r="E1500" s="10"/>
      <c r="G1500" s="10"/>
    </row>
    <row r="1501" spans="1:7" x14ac:dyDescent="0.2">
      <c r="A1501" s="10"/>
      <c r="B1501" s="10"/>
      <c r="D1501" s="10"/>
      <c r="E1501" s="10"/>
      <c r="G1501" s="10"/>
    </row>
    <row r="1502" spans="1:7" x14ac:dyDescent="0.2">
      <c r="A1502" s="10"/>
      <c r="B1502" s="10"/>
      <c r="D1502" s="10"/>
      <c r="E1502" s="10"/>
      <c r="F1502" s="10"/>
    </row>
    <row r="1503" spans="1:7" x14ac:dyDescent="0.2">
      <c r="A1503" s="10"/>
      <c r="B1503" s="10"/>
      <c r="D1503" s="10"/>
      <c r="E1503" s="10"/>
      <c r="F1503" s="10"/>
    </row>
    <row r="1504" spans="1:7" x14ac:dyDescent="0.2">
      <c r="A1504" s="10"/>
      <c r="B1504" s="10"/>
      <c r="D1504" s="10"/>
      <c r="E1504" s="10"/>
      <c r="F1504" s="10"/>
    </row>
    <row r="1505" spans="1:7" x14ac:dyDescent="0.2">
      <c r="A1505" s="10"/>
      <c r="B1505" s="10"/>
      <c r="D1505" s="10"/>
      <c r="E1505" s="10"/>
      <c r="F1505" s="10"/>
    </row>
    <row r="1506" spans="1:7" x14ac:dyDescent="0.2">
      <c r="A1506" s="10"/>
      <c r="B1506" s="10"/>
      <c r="D1506" s="10"/>
      <c r="E1506" s="10"/>
      <c r="F1506" s="10"/>
    </row>
    <row r="1507" spans="1:7" x14ac:dyDescent="0.2">
      <c r="A1507" s="10"/>
      <c r="B1507" s="10"/>
      <c r="D1507" s="10"/>
      <c r="E1507" s="10"/>
      <c r="F1507" s="10"/>
    </row>
    <row r="1508" spans="1:7" x14ac:dyDescent="0.2">
      <c r="A1508" s="10"/>
      <c r="B1508" s="10"/>
      <c r="D1508" s="10"/>
      <c r="E1508" s="10"/>
      <c r="F1508" s="10"/>
    </row>
    <row r="1509" spans="1:7" x14ac:dyDescent="0.2">
      <c r="A1509" s="10"/>
      <c r="B1509" s="10"/>
      <c r="D1509" s="10"/>
      <c r="E1509" s="10"/>
      <c r="F1509" s="10"/>
    </row>
    <row r="1510" spans="1:7" x14ac:dyDescent="0.2">
      <c r="A1510" s="10"/>
      <c r="B1510" s="10"/>
      <c r="D1510" s="10"/>
      <c r="E1510" s="10"/>
      <c r="F1510" s="10"/>
    </row>
    <row r="1511" spans="1:7" x14ac:dyDescent="0.2">
      <c r="A1511" s="10"/>
      <c r="B1511" s="10"/>
      <c r="D1511" s="10"/>
      <c r="E1511" s="10"/>
      <c r="F1511" s="10"/>
    </row>
    <row r="1512" spans="1:7" x14ac:dyDescent="0.2">
      <c r="A1512" s="10"/>
      <c r="B1512" s="10"/>
      <c r="D1512" s="10"/>
      <c r="E1512" s="10"/>
      <c r="F1512" s="10"/>
    </row>
    <row r="1513" spans="1:7" x14ac:dyDescent="0.2">
      <c r="A1513" s="10"/>
      <c r="B1513" s="10"/>
      <c r="D1513" s="10"/>
      <c r="E1513" s="10"/>
      <c r="F1513" s="10"/>
    </row>
    <row r="1514" spans="1:7" x14ac:dyDescent="0.2">
      <c r="A1514" s="10"/>
      <c r="B1514" s="10"/>
      <c r="D1514" s="10"/>
      <c r="E1514" s="10"/>
      <c r="F1514" s="10"/>
    </row>
    <row r="1515" spans="1:7" x14ac:dyDescent="0.2">
      <c r="A1515" s="10"/>
      <c r="B1515" s="10"/>
      <c r="D1515" s="10"/>
      <c r="E1515" s="10"/>
      <c r="F1515" s="10"/>
    </row>
    <row r="1516" spans="1:7" x14ac:dyDescent="0.2">
      <c r="A1516" s="10"/>
      <c r="B1516" s="10"/>
      <c r="D1516" s="10"/>
      <c r="E1516" s="10"/>
      <c r="G1516" s="10"/>
    </row>
    <row r="1517" spans="1:7" x14ac:dyDescent="0.2">
      <c r="A1517" s="10"/>
      <c r="B1517" s="10"/>
      <c r="D1517" s="10"/>
      <c r="E1517" s="10"/>
      <c r="G1517" s="10"/>
    </row>
    <row r="1518" spans="1:7" x14ac:dyDescent="0.2">
      <c r="A1518" s="10"/>
      <c r="B1518" s="10"/>
      <c r="D1518" s="10"/>
      <c r="E1518" s="10"/>
      <c r="G1518" s="10"/>
    </row>
    <row r="1519" spans="1:7" x14ac:dyDescent="0.2">
      <c r="A1519" s="10"/>
      <c r="B1519" s="10"/>
      <c r="D1519" s="10"/>
      <c r="E1519" s="10"/>
      <c r="G1519" s="10"/>
    </row>
    <row r="1520" spans="1:7" x14ac:dyDescent="0.2">
      <c r="A1520" s="10"/>
      <c r="B1520" s="10"/>
      <c r="D1520" s="10"/>
      <c r="E1520" s="10"/>
      <c r="G1520" s="10"/>
    </row>
    <row r="1521" spans="1:7" x14ac:dyDescent="0.2">
      <c r="A1521" s="10"/>
      <c r="B1521" s="10"/>
      <c r="D1521" s="10"/>
      <c r="E1521" s="10"/>
      <c r="G1521" s="10"/>
    </row>
    <row r="1522" spans="1:7" x14ac:dyDescent="0.2">
      <c r="A1522" s="10"/>
      <c r="B1522" s="10"/>
      <c r="D1522" s="10"/>
      <c r="E1522" s="10"/>
      <c r="G1522" s="10"/>
    </row>
    <row r="1523" spans="1:7" x14ac:dyDescent="0.2">
      <c r="A1523" s="10"/>
      <c r="B1523" s="10"/>
      <c r="D1523" s="10"/>
      <c r="E1523" s="10"/>
      <c r="G1523" s="10"/>
    </row>
    <row r="1524" spans="1:7" x14ac:dyDescent="0.2">
      <c r="A1524" s="10"/>
      <c r="B1524" s="10"/>
      <c r="D1524" s="10"/>
      <c r="E1524" s="10"/>
      <c r="G1524" s="10"/>
    </row>
    <row r="1525" spans="1:7" x14ac:dyDescent="0.2">
      <c r="A1525" s="10"/>
      <c r="B1525" s="10"/>
      <c r="D1525" s="10"/>
      <c r="E1525" s="10"/>
      <c r="G1525" s="10"/>
    </row>
    <row r="1526" spans="1:7" x14ac:dyDescent="0.2">
      <c r="A1526" s="10"/>
      <c r="B1526" s="10"/>
      <c r="D1526" s="10"/>
      <c r="E1526" s="10"/>
      <c r="G1526" s="10"/>
    </row>
    <row r="1527" spans="1:7" x14ac:dyDescent="0.2">
      <c r="A1527" s="10"/>
      <c r="B1527" s="10"/>
      <c r="D1527" s="10"/>
      <c r="E1527" s="10"/>
      <c r="G1527" s="10"/>
    </row>
    <row r="1528" spans="1:7" x14ac:dyDescent="0.2">
      <c r="A1528" s="10"/>
      <c r="B1528" s="10"/>
      <c r="D1528" s="10"/>
      <c r="E1528" s="10"/>
      <c r="G1528" s="10"/>
    </row>
    <row r="1529" spans="1:7" x14ac:dyDescent="0.2">
      <c r="A1529" s="10"/>
      <c r="B1529" s="10"/>
      <c r="D1529" s="10"/>
      <c r="E1529" s="10"/>
      <c r="G1529" s="10"/>
    </row>
    <row r="1530" spans="1:7" x14ac:dyDescent="0.2">
      <c r="A1530" s="10"/>
      <c r="B1530" s="10"/>
      <c r="D1530" s="10"/>
      <c r="E1530" s="10"/>
      <c r="G1530" s="10"/>
    </row>
    <row r="1531" spans="1:7" x14ac:dyDescent="0.2">
      <c r="A1531" s="10"/>
      <c r="B1531" s="10"/>
      <c r="D1531" s="10"/>
      <c r="E1531" s="10"/>
      <c r="G1531" s="10"/>
    </row>
    <row r="1532" spans="1:7" x14ac:dyDescent="0.2">
      <c r="A1532" s="10"/>
      <c r="B1532" s="10"/>
      <c r="D1532" s="10"/>
      <c r="E1532" s="10"/>
      <c r="G1532" s="10"/>
    </row>
    <row r="1533" spans="1:7" x14ac:dyDescent="0.2">
      <c r="A1533" s="10"/>
      <c r="B1533" s="10"/>
      <c r="D1533" s="10"/>
      <c r="E1533" s="10"/>
      <c r="F1533" s="10"/>
    </row>
    <row r="1534" spans="1:7" x14ac:dyDescent="0.2">
      <c r="A1534" s="10"/>
      <c r="B1534" s="10"/>
      <c r="D1534" s="10"/>
      <c r="E1534" s="10"/>
      <c r="F1534" s="10"/>
    </row>
    <row r="1535" spans="1:7" x14ac:dyDescent="0.2">
      <c r="A1535" s="10"/>
      <c r="B1535" s="10"/>
      <c r="D1535" s="10"/>
      <c r="E1535" s="10"/>
      <c r="F1535" s="10"/>
    </row>
    <row r="1536" spans="1:7" x14ac:dyDescent="0.2">
      <c r="A1536" s="10"/>
      <c r="B1536" s="10"/>
      <c r="D1536" s="10"/>
      <c r="E1536" s="10"/>
      <c r="F1536" s="10"/>
    </row>
    <row r="1537" spans="1:7" x14ac:dyDescent="0.2">
      <c r="A1537" s="10"/>
      <c r="B1537" s="10"/>
      <c r="D1537" s="10"/>
      <c r="E1537" s="10"/>
      <c r="F1537" s="10"/>
    </row>
    <row r="1538" spans="1:7" x14ac:dyDescent="0.2">
      <c r="A1538" s="10"/>
      <c r="B1538" s="10"/>
      <c r="D1538" s="10"/>
      <c r="E1538" s="10"/>
      <c r="F1538" s="10"/>
    </row>
    <row r="1539" spans="1:7" x14ac:dyDescent="0.2">
      <c r="A1539" s="10"/>
      <c r="B1539" s="10"/>
      <c r="D1539" s="10"/>
      <c r="E1539" s="10"/>
      <c r="F1539" s="10"/>
    </row>
    <row r="1540" spans="1:7" x14ac:dyDescent="0.2">
      <c r="A1540" s="10"/>
      <c r="B1540" s="10"/>
      <c r="D1540" s="10"/>
      <c r="E1540" s="10"/>
      <c r="F1540" s="10"/>
    </row>
    <row r="1541" spans="1:7" x14ac:dyDescent="0.2">
      <c r="A1541" s="10"/>
      <c r="B1541" s="10"/>
      <c r="D1541" s="10"/>
      <c r="E1541" s="10"/>
      <c r="F1541" s="10"/>
    </row>
    <row r="1542" spans="1:7" x14ac:dyDescent="0.2">
      <c r="A1542" s="10"/>
      <c r="B1542" s="10"/>
      <c r="D1542" s="10"/>
      <c r="E1542" s="10"/>
      <c r="F1542" s="10"/>
    </row>
    <row r="1543" spans="1:7" x14ac:dyDescent="0.2">
      <c r="A1543" s="10"/>
      <c r="B1543" s="10"/>
      <c r="D1543" s="10"/>
      <c r="E1543" s="10"/>
      <c r="F1543" s="10"/>
    </row>
    <row r="1544" spans="1:7" x14ac:dyDescent="0.2">
      <c r="A1544" s="10"/>
      <c r="B1544" s="10"/>
      <c r="D1544" s="10"/>
      <c r="E1544" s="10"/>
      <c r="F1544" s="10"/>
    </row>
    <row r="1545" spans="1:7" x14ac:dyDescent="0.2">
      <c r="A1545" s="10"/>
      <c r="B1545" s="10"/>
      <c r="D1545" s="10"/>
      <c r="E1545" s="10"/>
      <c r="F1545" s="10"/>
    </row>
    <row r="1546" spans="1:7" x14ac:dyDescent="0.2">
      <c r="A1546" s="10"/>
      <c r="B1546" s="10"/>
      <c r="D1546" s="10"/>
      <c r="E1546" s="10"/>
      <c r="F1546" s="10"/>
    </row>
    <row r="1547" spans="1:7" x14ac:dyDescent="0.2">
      <c r="A1547" s="10"/>
      <c r="B1547" s="10"/>
      <c r="D1547" s="10"/>
      <c r="E1547" s="10"/>
      <c r="F1547" s="10"/>
    </row>
    <row r="1548" spans="1:7" x14ac:dyDescent="0.2">
      <c r="A1548" s="10"/>
      <c r="B1548" s="10"/>
      <c r="D1548" s="10"/>
      <c r="E1548" s="10"/>
      <c r="F1548" s="10"/>
    </row>
    <row r="1549" spans="1:7" x14ac:dyDescent="0.2">
      <c r="A1549" s="10"/>
      <c r="B1549" s="10"/>
      <c r="D1549" s="10"/>
      <c r="E1549" s="10"/>
      <c r="F1549" s="10"/>
    </row>
    <row r="1550" spans="1:7" x14ac:dyDescent="0.2">
      <c r="A1550" s="10"/>
      <c r="B1550" s="10"/>
      <c r="D1550" s="10"/>
      <c r="E1550" s="10"/>
      <c r="F1550" s="10"/>
    </row>
    <row r="1551" spans="1:7" x14ac:dyDescent="0.2">
      <c r="A1551" s="10"/>
      <c r="B1551" s="10"/>
      <c r="D1551" s="10"/>
      <c r="E1551" s="10"/>
      <c r="F1551" s="10"/>
    </row>
    <row r="1552" spans="1:7" x14ac:dyDescent="0.2">
      <c r="A1552" s="10"/>
      <c r="B1552" s="10"/>
      <c r="D1552" s="10"/>
      <c r="E1552" s="10"/>
      <c r="G1552" s="10"/>
    </row>
    <row r="1553" spans="1:7" x14ac:dyDescent="0.2">
      <c r="A1553" s="10"/>
      <c r="B1553" s="10"/>
      <c r="D1553" s="10"/>
      <c r="E1553" s="10"/>
      <c r="G1553" s="10"/>
    </row>
    <row r="1554" spans="1:7" x14ac:dyDescent="0.2">
      <c r="A1554" s="10"/>
      <c r="B1554" s="10"/>
      <c r="D1554" s="10"/>
      <c r="E1554" s="10"/>
      <c r="G1554" s="10"/>
    </row>
    <row r="1555" spans="1:7" x14ac:dyDescent="0.2">
      <c r="A1555" s="10"/>
      <c r="B1555" s="10"/>
      <c r="D1555" s="10"/>
      <c r="E1555" s="10"/>
      <c r="G1555" s="10"/>
    </row>
    <row r="1556" spans="1:7" x14ac:dyDescent="0.2">
      <c r="A1556" s="10"/>
      <c r="B1556" s="10"/>
      <c r="D1556" s="10"/>
      <c r="E1556" s="10"/>
      <c r="G1556" s="10"/>
    </row>
    <row r="1557" spans="1:7" x14ac:dyDescent="0.2">
      <c r="A1557" s="10"/>
      <c r="B1557" s="10"/>
      <c r="D1557" s="10"/>
      <c r="E1557" s="10"/>
      <c r="G1557" s="10"/>
    </row>
    <row r="1558" spans="1:7" x14ac:dyDescent="0.2">
      <c r="A1558" s="10"/>
      <c r="B1558" s="10"/>
      <c r="D1558" s="10"/>
      <c r="E1558" s="10"/>
      <c r="G1558" s="10"/>
    </row>
    <row r="1559" spans="1:7" x14ac:dyDescent="0.2">
      <c r="A1559" s="10"/>
      <c r="B1559" s="10"/>
      <c r="D1559" s="10"/>
      <c r="E1559" s="10"/>
      <c r="F1559" s="10"/>
    </row>
    <row r="1560" spans="1:7" x14ac:dyDescent="0.2">
      <c r="A1560" s="10"/>
      <c r="B1560" s="10"/>
      <c r="D1560" s="10"/>
      <c r="E1560" s="10"/>
      <c r="F1560" s="10"/>
    </row>
    <row r="1561" spans="1:7" x14ac:dyDescent="0.2">
      <c r="A1561" s="10"/>
      <c r="B1561" s="10"/>
      <c r="D1561" s="10"/>
      <c r="E1561" s="10"/>
      <c r="F1561" s="10"/>
    </row>
    <row r="1562" spans="1:7" x14ac:dyDescent="0.2">
      <c r="A1562" s="10"/>
      <c r="B1562" s="10"/>
      <c r="D1562" s="10"/>
      <c r="E1562" s="10"/>
      <c r="F1562" s="10"/>
    </row>
    <row r="1563" spans="1:7" x14ac:dyDescent="0.2">
      <c r="A1563" s="10"/>
      <c r="B1563" s="10"/>
      <c r="D1563" s="10"/>
      <c r="E1563" s="10"/>
      <c r="F1563" s="10"/>
    </row>
    <row r="1564" spans="1:7" x14ac:dyDescent="0.2">
      <c r="A1564" s="10"/>
      <c r="B1564" s="10"/>
      <c r="D1564" s="10"/>
      <c r="E1564" s="10"/>
      <c r="F1564" s="10"/>
    </row>
    <row r="1565" spans="1:7" x14ac:dyDescent="0.2">
      <c r="A1565" s="10"/>
      <c r="B1565" s="10"/>
      <c r="D1565" s="10"/>
      <c r="E1565" s="10"/>
      <c r="F1565" s="10"/>
    </row>
    <row r="1566" spans="1:7" x14ac:dyDescent="0.2">
      <c r="A1566" s="10"/>
      <c r="B1566" s="10"/>
      <c r="D1566" s="10"/>
      <c r="E1566" s="10"/>
      <c r="G1566" s="10"/>
    </row>
    <row r="1567" spans="1:7" x14ac:dyDescent="0.2">
      <c r="A1567" s="10"/>
      <c r="B1567" s="10"/>
      <c r="D1567" s="10"/>
      <c r="E1567" s="10"/>
      <c r="G1567" s="10"/>
    </row>
    <row r="1568" spans="1:7" x14ac:dyDescent="0.2">
      <c r="A1568" s="10"/>
      <c r="B1568" s="10"/>
      <c r="D1568" s="10"/>
      <c r="E1568" s="10"/>
      <c r="G1568" s="10"/>
    </row>
    <row r="1569" spans="1:7" x14ac:dyDescent="0.2">
      <c r="A1569" s="10"/>
      <c r="B1569" s="10"/>
      <c r="D1569" s="10"/>
      <c r="E1569" s="10"/>
      <c r="G1569" s="10"/>
    </row>
    <row r="1570" spans="1:7" x14ac:dyDescent="0.2">
      <c r="A1570" s="10"/>
      <c r="B1570" s="10"/>
      <c r="D1570" s="10"/>
      <c r="E1570" s="10"/>
      <c r="G1570" s="10"/>
    </row>
    <row r="1571" spans="1:7" x14ac:dyDescent="0.2">
      <c r="A1571" s="10"/>
      <c r="B1571" s="10"/>
      <c r="D1571" s="10"/>
      <c r="E1571" s="10"/>
      <c r="G1571" s="10"/>
    </row>
    <row r="1572" spans="1:7" x14ac:dyDescent="0.2">
      <c r="A1572" s="10"/>
      <c r="B1572" s="10"/>
      <c r="D1572" s="10"/>
      <c r="E1572" s="10"/>
      <c r="F1572" s="10"/>
    </row>
    <row r="1573" spans="1:7" x14ac:dyDescent="0.2">
      <c r="A1573" s="10"/>
      <c r="B1573" s="10"/>
      <c r="D1573" s="10"/>
      <c r="E1573" s="10"/>
      <c r="F1573" s="10"/>
    </row>
    <row r="1574" spans="1:7" x14ac:dyDescent="0.2">
      <c r="A1574" s="10"/>
      <c r="B1574" s="10"/>
      <c r="D1574" s="10"/>
      <c r="E1574" s="10"/>
      <c r="F1574" s="10"/>
    </row>
    <row r="1575" spans="1:7" x14ac:dyDescent="0.2">
      <c r="A1575" s="10"/>
      <c r="B1575" s="10"/>
      <c r="D1575" s="10"/>
      <c r="E1575" s="10"/>
      <c r="F1575" s="10"/>
    </row>
    <row r="1576" spans="1:7" x14ac:dyDescent="0.2">
      <c r="A1576" s="10"/>
      <c r="B1576" s="10"/>
      <c r="D1576" s="10"/>
      <c r="E1576" s="10"/>
      <c r="F1576" s="10"/>
    </row>
    <row r="1577" spans="1:7" x14ac:dyDescent="0.2">
      <c r="A1577" s="10"/>
      <c r="B1577" s="10"/>
      <c r="D1577" s="10"/>
      <c r="E1577" s="10"/>
      <c r="F1577" s="10"/>
    </row>
    <row r="1578" spans="1:7" x14ac:dyDescent="0.2">
      <c r="A1578" s="10"/>
      <c r="B1578" s="10"/>
      <c r="D1578" s="10"/>
      <c r="E1578" s="10"/>
      <c r="F1578" s="10"/>
    </row>
    <row r="1579" spans="1:7" x14ac:dyDescent="0.2">
      <c r="A1579" s="10"/>
      <c r="B1579" s="10"/>
      <c r="D1579" s="10"/>
      <c r="E1579" s="10"/>
      <c r="F1579" s="10"/>
    </row>
    <row r="1580" spans="1:7" x14ac:dyDescent="0.2">
      <c r="A1580" s="10"/>
      <c r="B1580" s="10"/>
      <c r="D1580" s="10"/>
      <c r="E1580" s="10"/>
      <c r="G1580" s="10"/>
    </row>
    <row r="1581" spans="1:7" x14ac:dyDescent="0.2">
      <c r="A1581" s="10"/>
      <c r="B1581" s="10"/>
      <c r="D1581" s="10"/>
      <c r="E1581" s="10"/>
      <c r="G1581" s="10"/>
    </row>
    <row r="1582" spans="1:7" x14ac:dyDescent="0.2">
      <c r="A1582" s="10"/>
      <c r="B1582" s="10"/>
      <c r="D1582" s="10"/>
      <c r="E1582" s="10"/>
      <c r="G1582" s="10"/>
    </row>
    <row r="1583" spans="1:7" x14ac:dyDescent="0.2">
      <c r="A1583" s="10"/>
      <c r="B1583" s="10"/>
      <c r="D1583" s="10"/>
      <c r="E1583" s="10"/>
      <c r="G1583" s="10"/>
    </row>
    <row r="1584" spans="1:7" x14ac:dyDescent="0.2">
      <c r="A1584" s="10"/>
      <c r="B1584" s="10"/>
      <c r="D1584" s="10"/>
      <c r="E1584" s="10"/>
      <c r="G1584" s="10"/>
    </row>
    <row r="1585" spans="1:7" x14ac:dyDescent="0.2">
      <c r="A1585" s="10"/>
      <c r="B1585" s="10"/>
      <c r="D1585" s="10"/>
      <c r="E1585" s="10"/>
      <c r="F1585" s="10"/>
    </row>
    <row r="1586" spans="1:7" x14ac:dyDescent="0.2">
      <c r="A1586" s="10"/>
      <c r="B1586" s="10"/>
      <c r="D1586" s="10"/>
      <c r="E1586" s="10"/>
      <c r="F1586" s="10"/>
    </row>
    <row r="1587" spans="1:7" x14ac:dyDescent="0.2">
      <c r="A1587" s="10"/>
      <c r="B1587" s="10"/>
      <c r="D1587" s="10"/>
      <c r="E1587" s="10"/>
      <c r="F1587" s="10"/>
    </row>
    <row r="1588" spans="1:7" x14ac:dyDescent="0.2">
      <c r="A1588" s="10"/>
      <c r="B1588" s="10"/>
      <c r="D1588" s="10"/>
      <c r="E1588" s="10"/>
      <c r="F1588" s="10"/>
    </row>
    <row r="1589" spans="1:7" x14ac:dyDescent="0.2">
      <c r="A1589" s="10"/>
      <c r="B1589" s="10"/>
      <c r="D1589" s="10"/>
      <c r="E1589" s="10"/>
      <c r="F1589" s="10"/>
    </row>
    <row r="1590" spans="1:7" x14ac:dyDescent="0.2">
      <c r="A1590" s="10"/>
      <c r="B1590" s="10"/>
      <c r="D1590" s="10"/>
      <c r="E1590" s="10"/>
      <c r="F1590" s="10"/>
    </row>
    <row r="1591" spans="1:7" x14ac:dyDescent="0.2">
      <c r="A1591" s="10"/>
      <c r="B1591" s="10"/>
      <c r="D1591" s="10"/>
      <c r="E1591" s="10"/>
      <c r="G1591" s="10"/>
    </row>
    <row r="1592" spans="1:7" x14ac:dyDescent="0.2">
      <c r="A1592" s="10"/>
      <c r="B1592" s="10"/>
      <c r="D1592" s="10"/>
      <c r="E1592" s="10"/>
      <c r="G1592" s="10"/>
    </row>
    <row r="1593" spans="1:7" x14ac:dyDescent="0.2">
      <c r="A1593" s="10"/>
      <c r="B1593" s="10"/>
      <c r="D1593" s="10"/>
      <c r="E1593" s="10"/>
      <c r="G1593" s="10"/>
    </row>
    <row r="1594" spans="1:7" x14ac:dyDescent="0.2">
      <c r="A1594" s="10"/>
      <c r="B1594" s="10"/>
      <c r="D1594" s="10"/>
      <c r="E1594" s="10"/>
      <c r="G1594" s="10"/>
    </row>
    <row r="1595" spans="1:7" x14ac:dyDescent="0.2">
      <c r="A1595" s="10"/>
      <c r="B1595" s="10"/>
      <c r="D1595" s="10"/>
      <c r="E1595" s="10"/>
      <c r="G1595" s="10"/>
    </row>
    <row r="1596" spans="1:7" x14ac:dyDescent="0.2">
      <c r="A1596" s="10"/>
      <c r="B1596" s="10"/>
      <c r="D1596" s="10"/>
      <c r="E1596" s="10"/>
      <c r="G1596" s="10"/>
    </row>
    <row r="1597" spans="1:7" x14ac:dyDescent="0.2">
      <c r="A1597" s="10"/>
      <c r="B1597" s="10"/>
      <c r="D1597" s="10"/>
      <c r="E1597" s="10"/>
      <c r="F1597" s="10"/>
    </row>
    <row r="1598" spans="1:7" x14ac:dyDescent="0.2">
      <c r="A1598" s="10"/>
      <c r="B1598" s="10"/>
      <c r="D1598" s="10"/>
      <c r="E1598" s="10"/>
      <c r="F1598" s="10"/>
    </row>
    <row r="1599" spans="1:7" x14ac:dyDescent="0.2">
      <c r="A1599" s="10"/>
      <c r="B1599" s="10"/>
      <c r="D1599" s="10"/>
      <c r="E1599" s="10"/>
      <c r="F1599" s="10"/>
    </row>
    <row r="1600" spans="1:7" x14ac:dyDescent="0.2">
      <c r="A1600" s="10"/>
      <c r="B1600" s="10"/>
      <c r="D1600" s="10"/>
      <c r="E1600" s="10"/>
      <c r="F1600" s="10"/>
    </row>
    <row r="1601" spans="1:7" x14ac:dyDescent="0.2">
      <c r="A1601" s="10"/>
      <c r="B1601" s="10"/>
      <c r="D1601" s="10"/>
      <c r="E1601" s="10"/>
      <c r="F1601" s="10"/>
    </row>
    <row r="1602" spans="1:7" x14ac:dyDescent="0.2">
      <c r="A1602" s="10"/>
      <c r="B1602" s="10"/>
      <c r="D1602" s="10"/>
      <c r="E1602" s="10"/>
      <c r="F1602" s="10"/>
    </row>
    <row r="1603" spans="1:7" x14ac:dyDescent="0.2">
      <c r="A1603" s="10"/>
      <c r="B1603" s="10"/>
      <c r="D1603" s="10"/>
      <c r="E1603" s="10"/>
      <c r="G1603" s="10"/>
    </row>
    <row r="1604" spans="1:7" x14ac:dyDescent="0.2">
      <c r="A1604" s="10"/>
      <c r="B1604" s="10"/>
      <c r="D1604" s="10"/>
      <c r="E1604" s="10"/>
      <c r="F1604" s="10"/>
    </row>
    <row r="1605" spans="1:7" x14ac:dyDescent="0.2">
      <c r="A1605" s="10"/>
      <c r="B1605" s="10"/>
      <c r="D1605" s="10"/>
      <c r="E1605" s="10"/>
      <c r="F1605" s="10"/>
    </row>
    <row r="1606" spans="1:7" x14ac:dyDescent="0.2">
      <c r="A1606" s="10"/>
      <c r="B1606" s="10"/>
      <c r="D1606" s="10"/>
      <c r="E1606" s="10"/>
      <c r="F1606" s="10"/>
    </row>
    <row r="1607" spans="1:7" x14ac:dyDescent="0.2">
      <c r="A1607" s="10"/>
      <c r="B1607" s="10"/>
      <c r="D1607" s="10"/>
      <c r="E1607" s="10"/>
      <c r="F1607" s="10"/>
    </row>
    <row r="1608" spans="1:7" x14ac:dyDescent="0.2">
      <c r="A1608" s="10"/>
      <c r="B1608" s="10"/>
      <c r="D1608" s="10"/>
      <c r="E1608" s="10"/>
      <c r="F1608" s="10"/>
    </row>
    <row r="1609" spans="1:7" x14ac:dyDescent="0.2">
      <c r="A1609" s="10"/>
      <c r="B1609" s="10"/>
      <c r="D1609" s="10"/>
      <c r="E1609" s="10"/>
      <c r="F1609" s="10"/>
    </row>
    <row r="1610" spans="1:7" x14ac:dyDescent="0.2">
      <c r="A1610" s="10"/>
      <c r="B1610" s="10"/>
      <c r="D1610" s="10"/>
      <c r="E1610" s="10"/>
      <c r="G1610" s="10"/>
    </row>
    <row r="1611" spans="1:7" x14ac:dyDescent="0.2">
      <c r="A1611" s="10"/>
      <c r="B1611" s="10"/>
      <c r="D1611" s="10"/>
      <c r="E1611" s="10"/>
      <c r="G1611" s="10"/>
    </row>
    <row r="1612" spans="1:7" x14ac:dyDescent="0.2">
      <c r="A1612" s="10"/>
      <c r="B1612" s="10"/>
      <c r="D1612" s="10"/>
      <c r="E1612" s="10"/>
      <c r="G1612" s="10"/>
    </row>
    <row r="1613" spans="1:7" x14ac:dyDescent="0.2">
      <c r="A1613" s="10"/>
      <c r="B1613" s="10"/>
      <c r="D1613" s="10"/>
      <c r="E1613" s="10"/>
      <c r="G1613" s="10"/>
    </row>
    <row r="1614" spans="1:7" x14ac:dyDescent="0.2">
      <c r="A1614" s="10"/>
      <c r="B1614" s="10"/>
      <c r="D1614" s="10"/>
      <c r="E1614" s="10"/>
      <c r="G1614" s="10"/>
    </row>
    <row r="1615" spans="1:7" x14ac:dyDescent="0.2">
      <c r="A1615" s="10"/>
      <c r="B1615" s="10"/>
      <c r="D1615" s="10"/>
      <c r="E1615" s="10"/>
      <c r="G1615" s="10"/>
    </row>
    <row r="1616" spans="1:7" x14ac:dyDescent="0.2">
      <c r="A1616" s="10"/>
      <c r="B1616" s="10"/>
      <c r="D1616" s="10"/>
      <c r="E1616" s="10"/>
      <c r="G1616" s="10"/>
    </row>
    <row r="1617" spans="1:7" x14ac:dyDescent="0.2">
      <c r="A1617" s="10"/>
      <c r="B1617" s="10"/>
      <c r="D1617" s="10"/>
      <c r="E1617" s="10"/>
      <c r="F1617" s="10"/>
    </row>
    <row r="1618" spans="1:7" x14ac:dyDescent="0.2">
      <c r="A1618" s="10"/>
      <c r="B1618" s="10"/>
      <c r="D1618" s="10"/>
      <c r="E1618" s="10"/>
      <c r="F1618" s="10"/>
    </row>
    <row r="1619" spans="1:7" x14ac:dyDescent="0.2">
      <c r="A1619" s="10"/>
      <c r="B1619" s="10"/>
      <c r="D1619" s="10"/>
      <c r="E1619" s="10"/>
      <c r="F1619" s="10"/>
    </row>
    <row r="1620" spans="1:7" x14ac:dyDescent="0.2">
      <c r="A1620" s="10"/>
      <c r="B1620" s="10"/>
      <c r="D1620" s="10"/>
      <c r="E1620" s="10"/>
      <c r="F1620" s="10"/>
    </row>
    <row r="1621" spans="1:7" x14ac:dyDescent="0.2">
      <c r="A1621" s="10"/>
      <c r="B1621" s="10"/>
      <c r="D1621" s="10"/>
      <c r="E1621" s="10"/>
      <c r="F1621" s="10"/>
    </row>
    <row r="1622" spans="1:7" x14ac:dyDescent="0.2">
      <c r="A1622" s="10"/>
      <c r="B1622" s="10"/>
      <c r="D1622" s="10"/>
      <c r="E1622" s="10"/>
      <c r="G1622" s="10"/>
    </row>
    <row r="1623" spans="1:7" x14ac:dyDescent="0.2">
      <c r="A1623" s="10"/>
      <c r="B1623" s="10"/>
      <c r="D1623" s="10"/>
      <c r="E1623" s="10"/>
      <c r="G1623" s="10"/>
    </row>
    <row r="1624" spans="1:7" x14ac:dyDescent="0.2">
      <c r="A1624" s="10"/>
      <c r="B1624" s="10"/>
      <c r="D1624" s="10"/>
      <c r="E1624" s="10"/>
      <c r="F1624" s="10"/>
    </row>
    <row r="1625" spans="1:7" x14ac:dyDescent="0.2">
      <c r="A1625" s="10"/>
      <c r="B1625" s="10"/>
      <c r="D1625" s="10"/>
      <c r="E1625" s="10"/>
      <c r="F1625" s="10"/>
    </row>
    <row r="1626" spans="1:7" x14ac:dyDescent="0.2">
      <c r="A1626" s="10"/>
      <c r="B1626" s="10"/>
      <c r="D1626" s="10"/>
      <c r="E1626" s="10"/>
      <c r="F1626" s="10"/>
    </row>
    <row r="1627" spans="1:7" x14ac:dyDescent="0.2">
      <c r="A1627" s="10"/>
      <c r="B1627" s="10"/>
      <c r="D1627" s="10"/>
      <c r="E1627" s="10"/>
      <c r="F1627" s="10"/>
    </row>
    <row r="1628" spans="1:7" x14ac:dyDescent="0.2">
      <c r="A1628" s="10"/>
      <c r="B1628" s="10"/>
      <c r="D1628" s="10"/>
      <c r="E1628" s="10"/>
      <c r="G1628" s="10"/>
    </row>
    <row r="1629" spans="1:7" x14ac:dyDescent="0.2">
      <c r="A1629" s="10"/>
      <c r="B1629" s="10"/>
      <c r="D1629" s="10"/>
      <c r="E1629" s="10"/>
      <c r="G1629" s="10"/>
    </row>
    <row r="1630" spans="1:7" x14ac:dyDescent="0.2">
      <c r="A1630" s="10"/>
      <c r="B1630" s="10"/>
      <c r="D1630" s="10"/>
      <c r="E1630" s="10"/>
      <c r="F1630" s="10"/>
    </row>
    <row r="1631" spans="1:7" x14ac:dyDescent="0.2">
      <c r="A1631" s="10"/>
      <c r="B1631" s="10"/>
      <c r="D1631" s="10"/>
      <c r="E1631" s="10"/>
      <c r="F1631" s="10"/>
    </row>
    <row r="1632" spans="1:7" x14ac:dyDescent="0.2">
      <c r="A1632" s="10"/>
      <c r="B1632" s="10"/>
      <c r="D1632" s="10"/>
      <c r="E1632" s="10"/>
      <c r="F1632" s="10"/>
    </row>
    <row r="1633" spans="1:7" x14ac:dyDescent="0.2">
      <c r="A1633" s="10"/>
      <c r="B1633" s="10"/>
      <c r="D1633" s="10"/>
      <c r="E1633" s="10"/>
      <c r="G1633" s="10"/>
    </row>
    <row r="1634" spans="1:7" x14ac:dyDescent="0.2">
      <c r="A1634" s="10"/>
      <c r="B1634" s="10"/>
      <c r="D1634" s="10"/>
      <c r="E1634" s="10"/>
      <c r="G1634" s="10"/>
    </row>
    <row r="1635" spans="1:7" x14ac:dyDescent="0.2">
      <c r="A1635" s="10"/>
      <c r="B1635" s="10"/>
      <c r="D1635" s="10"/>
      <c r="E1635" s="10"/>
      <c r="G1635" s="10"/>
    </row>
    <row r="1636" spans="1:7" x14ac:dyDescent="0.2">
      <c r="A1636" s="10"/>
      <c r="B1636" s="10"/>
      <c r="D1636" s="10"/>
      <c r="E1636" s="10"/>
      <c r="G1636" s="10"/>
    </row>
    <row r="1637" spans="1:7" x14ac:dyDescent="0.2">
      <c r="A1637" s="10"/>
      <c r="B1637" s="10"/>
      <c r="D1637" s="10"/>
      <c r="E1637" s="10"/>
      <c r="F1637" s="10"/>
    </row>
    <row r="1638" spans="1:7" x14ac:dyDescent="0.2">
      <c r="A1638" s="10"/>
      <c r="B1638" s="10"/>
      <c r="D1638" s="10"/>
      <c r="E1638" s="10"/>
      <c r="F1638" s="10"/>
    </row>
    <row r="1639" spans="1:7" x14ac:dyDescent="0.2">
      <c r="A1639" s="10"/>
      <c r="B1639" s="10"/>
      <c r="D1639" s="10"/>
      <c r="E1639" s="10"/>
      <c r="F1639" s="10"/>
    </row>
    <row r="1640" spans="1:7" x14ac:dyDescent="0.2">
      <c r="A1640" s="10"/>
      <c r="B1640" s="10"/>
      <c r="D1640" s="10"/>
      <c r="E1640" s="10"/>
      <c r="G1640" s="10"/>
    </row>
    <row r="1641" spans="1:7" x14ac:dyDescent="0.2">
      <c r="A1641" s="10"/>
      <c r="B1641" s="10"/>
      <c r="D1641" s="10"/>
      <c r="E1641" s="10"/>
      <c r="G1641" s="10"/>
    </row>
    <row r="1642" spans="1:7" x14ac:dyDescent="0.2">
      <c r="A1642" s="10"/>
      <c r="B1642" s="10"/>
      <c r="D1642" s="10"/>
      <c r="E1642" s="10"/>
      <c r="G1642" s="10"/>
    </row>
    <row r="1643" spans="1:7" x14ac:dyDescent="0.2">
      <c r="A1643" s="10"/>
      <c r="B1643" s="10"/>
      <c r="D1643" s="10"/>
      <c r="E1643" s="10"/>
      <c r="F1643" s="10"/>
    </row>
    <row r="1644" spans="1:7" x14ac:dyDescent="0.2">
      <c r="A1644" s="10"/>
      <c r="B1644" s="10"/>
      <c r="D1644" s="10"/>
      <c r="E1644" s="10"/>
      <c r="F1644" s="10"/>
    </row>
    <row r="1645" spans="1:7" x14ac:dyDescent="0.2">
      <c r="A1645" s="10"/>
      <c r="B1645" s="10"/>
      <c r="D1645" s="10"/>
      <c r="E1645" s="10"/>
      <c r="G1645" s="10"/>
    </row>
    <row r="1646" spans="1:7" x14ac:dyDescent="0.2">
      <c r="A1646" s="10"/>
      <c r="B1646" s="10"/>
      <c r="D1646" s="10"/>
      <c r="E1646" s="10"/>
      <c r="F1646" s="10"/>
    </row>
    <row r="1647" spans="1:7" x14ac:dyDescent="0.2">
      <c r="A1647" s="10"/>
      <c r="B1647" s="10"/>
      <c r="D1647" s="10"/>
      <c r="E1647" s="10"/>
      <c r="F1647" s="10"/>
    </row>
    <row r="1648" spans="1:7" x14ac:dyDescent="0.2">
      <c r="A1648" s="10"/>
      <c r="B1648" s="10"/>
      <c r="D1648" s="10"/>
      <c r="E1648" s="10"/>
      <c r="G1648" s="10"/>
    </row>
    <row r="1649" spans="1:7" x14ac:dyDescent="0.2">
      <c r="A1649" s="10"/>
      <c r="B1649" s="10"/>
      <c r="D1649" s="10"/>
      <c r="E1649" s="10"/>
      <c r="G1649" s="10"/>
    </row>
    <row r="1650" spans="1:7" x14ac:dyDescent="0.2">
      <c r="A1650" s="10"/>
      <c r="B1650" s="10"/>
      <c r="D1650" s="10"/>
      <c r="E1650" s="10"/>
      <c r="F1650" s="10"/>
    </row>
    <row r="1651" spans="1:7" x14ac:dyDescent="0.2">
      <c r="A1651" s="10"/>
      <c r="B1651" s="10"/>
      <c r="D1651" s="10"/>
      <c r="E1651" s="10"/>
      <c r="F1651" s="10"/>
    </row>
    <row r="1652" spans="1:7" x14ac:dyDescent="0.2">
      <c r="A1652" s="10"/>
      <c r="B1652" s="10"/>
      <c r="D1652" s="10"/>
      <c r="E1652" s="10"/>
      <c r="F1652" s="10"/>
    </row>
    <row r="1653" spans="1:7" x14ac:dyDescent="0.2">
      <c r="A1653" s="10"/>
      <c r="B1653" s="10"/>
      <c r="D1653" s="10"/>
      <c r="E1653" s="10"/>
      <c r="F1653" s="10"/>
    </row>
    <row r="1654" spans="1:7" x14ac:dyDescent="0.2">
      <c r="A1654" s="10"/>
      <c r="B1654" s="10"/>
      <c r="D1654" s="10"/>
      <c r="E1654" s="10"/>
      <c r="G1654" s="10"/>
    </row>
    <row r="1655" spans="1:7" x14ac:dyDescent="0.2">
      <c r="A1655" s="10"/>
      <c r="B1655" s="10"/>
      <c r="D1655" s="10"/>
      <c r="E1655" s="10"/>
      <c r="G1655" s="10"/>
    </row>
    <row r="1656" spans="1:7" x14ac:dyDescent="0.2">
      <c r="A1656" s="10"/>
      <c r="B1656" s="10"/>
      <c r="D1656" s="10"/>
      <c r="E1656" s="10"/>
      <c r="G1656" s="10"/>
    </row>
    <row r="1657" spans="1:7" x14ac:dyDescent="0.2">
      <c r="A1657" s="10"/>
      <c r="B1657" s="10"/>
      <c r="D1657" s="10"/>
      <c r="E1657" s="10"/>
      <c r="G1657" s="10"/>
    </row>
    <row r="1658" spans="1:7" x14ac:dyDescent="0.2">
      <c r="A1658" s="10"/>
      <c r="B1658" s="10"/>
      <c r="D1658" s="10"/>
      <c r="E1658" s="10"/>
      <c r="G1658" s="10"/>
    </row>
    <row r="1659" spans="1:7" x14ac:dyDescent="0.2">
      <c r="A1659" s="10"/>
      <c r="B1659" s="10"/>
      <c r="D1659" s="10"/>
      <c r="E1659" s="10"/>
      <c r="F1659" s="10"/>
    </row>
    <row r="1660" spans="1:7" x14ac:dyDescent="0.2">
      <c r="A1660" s="10"/>
      <c r="B1660" s="10"/>
      <c r="D1660" s="10"/>
      <c r="E1660" s="10"/>
      <c r="F1660" s="10"/>
    </row>
    <row r="1661" spans="1:7" x14ac:dyDescent="0.2">
      <c r="A1661" s="10"/>
      <c r="B1661" s="10"/>
      <c r="D1661" s="10"/>
      <c r="E1661" s="10"/>
      <c r="F1661" s="10"/>
    </row>
    <row r="1662" spans="1:7" x14ac:dyDescent="0.2">
      <c r="A1662" s="10"/>
      <c r="B1662" s="10"/>
      <c r="D1662" s="10"/>
      <c r="E1662" s="10"/>
      <c r="F1662" s="10"/>
    </row>
    <row r="1663" spans="1:7" x14ac:dyDescent="0.2">
      <c r="A1663" s="10"/>
      <c r="B1663" s="10"/>
      <c r="D1663" s="10"/>
      <c r="E1663" s="10"/>
      <c r="F1663" s="10"/>
    </row>
    <row r="1664" spans="1:7" x14ac:dyDescent="0.2">
      <c r="A1664" s="10"/>
      <c r="B1664" s="10"/>
      <c r="D1664" s="10"/>
      <c r="E1664" s="10"/>
      <c r="G1664" s="10"/>
    </row>
    <row r="1665" spans="1:7" x14ac:dyDescent="0.2">
      <c r="A1665" s="10"/>
      <c r="B1665" s="10"/>
      <c r="D1665" s="10"/>
      <c r="E1665" s="10"/>
      <c r="F1665" s="10"/>
    </row>
    <row r="1666" spans="1:7" x14ac:dyDescent="0.2">
      <c r="A1666" s="10"/>
      <c r="B1666" s="10"/>
      <c r="D1666" s="10"/>
      <c r="E1666" s="10"/>
      <c r="F1666" s="10"/>
    </row>
    <row r="1667" spans="1:7" x14ac:dyDescent="0.2">
      <c r="A1667" s="10"/>
      <c r="B1667" s="10"/>
      <c r="D1667" s="10"/>
      <c r="E1667" s="10"/>
      <c r="G1667" s="10"/>
    </row>
    <row r="1668" spans="1:7" x14ac:dyDescent="0.2">
      <c r="A1668" s="10"/>
      <c r="B1668" s="10"/>
      <c r="D1668" s="10"/>
      <c r="E1668" s="10"/>
      <c r="G1668" s="10"/>
    </row>
    <row r="1669" spans="1:7" x14ac:dyDescent="0.2">
      <c r="A1669" s="10"/>
      <c r="B1669" s="10"/>
      <c r="D1669" s="10"/>
      <c r="E1669" s="10"/>
      <c r="G1669" s="10"/>
    </row>
    <row r="1670" spans="1:7" x14ac:dyDescent="0.2">
      <c r="A1670" s="10"/>
      <c r="B1670" s="10"/>
      <c r="D1670" s="10"/>
      <c r="E1670" s="10"/>
      <c r="F1670" s="10"/>
    </row>
    <row r="1671" spans="1:7" x14ac:dyDescent="0.2">
      <c r="A1671" s="10"/>
      <c r="B1671" s="10"/>
      <c r="D1671" s="10"/>
      <c r="E1671" s="10"/>
      <c r="F1671" s="10"/>
    </row>
    <row r="1672" spans="1:7" x14ac:dyDescent="0.2">
      <c r="A1672" s="10"/>
      <c r="B1672" s="10"/>
      <c r="D1672" s="10"/>
      <c r="E1672" s="10"/>
      <c r="F1672" s="10"/>
    </row>
    <row r="1673" spans="1:7" x14ac:dyDescent="0.2">
      <c r="A1673" s="10"/>
      <c r="B1673" s="10"/>
      <c r="D1673" s="10"/>
      <c r="E1673" s="10"/>
      <c r="F1673" s="10"/>
    </row>
    <row r="1674" spans="1:7" x14ac:dyDescent="0.2">
      <c r="A1674" s="10"/>
      <c r="B1674" s="10"/>
      <c r="D1674" s="10"/>
      <c r="E1674" s="10"/>
      <c r="F1674" s="10"/>
    </row>
    <row r="1675" spans="1:7" x14ac:dyDescent="0.2">
      <c r="A1675" s="10"/>
      <c r="B1675" s="10"/>
      <c r="D1675" s="10"/>
      <c r="E1675" s="10"/>
      <c r="F1675" s="10"/>
    </row>
    <row r="1676" spans="1:7" x14ac:dyDescent="0.2">
      <c r="A1676" s="10"/>
      <c r="B1676" s="10"/>
      <c r="D1676" s="10"/>
      <c r="E1676" s="10"/>
      <c r="F1676" s="10"/>
    </row>
    <row r="1677" spans="1:7" x14ac:dyDescent="0.2">
      <c r="A1677" s="10"/>
      <c r="B1677" s="10"/>
      <c r="D1677" s="10"/>
      <c r="E1677" s="10"/>
      <c r="F1677" s="10"/>
    </row>
    <row r="1678" spans="1:7" x14ac:dyDescent="0.2">
      <c r="A1678" s="10"/>
      <c r="B1678" s="10"/>
      <c r="D1678" s="10"/>
      <c r="E1678" s="10"/>
      <c r="F1678" s="10"/>
    </row>
    <row r="1679" spans="1:7" x14ac:dyDescent="0.2">
      <c r="A1679" s="10"/>
      <c r="B1679" s="10"/>
      <c r="D1679" s="10"/>
      <c r="E1679" s="10"/>
      <c r="F1679" s="10"/>
    </row>
    <row r="1680" spans="1:7" x14ac:dyDescent="0.2">
      <c r="A1680" s="10"/>
      <c r="B1680" s="10"/>
      <c r="D1680" s="10"/>
      <c r="E1680" s="10"/>
      <c r="F1680" s="10"/>
    </row>
    <row r="1681" spans="1:7" x14ac:dyDescent="0.2">
      <c r="A1681" s="10"/>
      <c r="B1681" s="10"/>
      <c r="D1681" s="10"/>
      <c r="E1681" s="10"/>
      <c r="F1681" s="10"/>
    </row>
    <row r="1682" spans="1:7" x14ac:dyDescent="0.2">
      <c r="A1682" s="10"/>
      <c r="B1682" s="10"/>
      <c r="D1682" s="10"/>
      <c r="E1682" s="10"/>
      <c r="G1682" s="10"/>
    </row>
    <row r="1683" spans="1:7" x14ac:dyDescent="0.2">
      <c r="A1683" s="10"/>
      <c r="B1683" s="10"/>
      <c r="D1683" s="10"/>
      <c r="E1683" s="10"/>
      <c r="G1683" s="10"/>
    </row>
    <row r="1684" spans="1:7" x14ac:dyDescent="0.2">
      <c r="A1684" s="10"/>
      <c r="B1684" s="10"/>
      <c r="D1684" s="10"/>
      <c r="E1684" s="10"/>
      <c r="G1684" s="10"/>
    </row>
    <row r="1685" spans="1:7" x14ac:dyDescent="0.2">
      <c r="A1685" s="10"/>
      <c r="B1685" s="10"/>
      <c r="D1685" s="10"/>
      <c r="E1685" s="10"/>
      <c r="G1685" s="10"/>
    </row>
    <row r="1686" spans="1:7" x14ac:dyDescent="0.2">
      <c r="A1686" s="10"/>
      <c r="B1686" s="10"/>
      <c r="D1686" s="10"/>
      <c r="E1686" s="10"/>
      <c r="G1686" s="10"/>
    </row>
    <row r="1687" spans="1:7" x14ac:dyDescent="0.2">
      <c r="A1687" s="10"/>
      <c r="B1687" s="10"/>
      <c r="D1687" s="10"/>
      <c r="E1687" s="10"/>
      <c r="G1687" s="10"/>
    </row>
    <row r="1688" spans="1:7" x14ac:dyDescent="0.2">
      <c r="A1688" s="10"/>
      <c r="B1688" s="10"/>
      <c r="D1688" s="10"/>
      <c r="E1688" s="10"/>
      <c r="F1688" s="10"/>
    </row>
    <row r="1689" spans="1:7" x14ac:dyDescent="0.2">
      <c r="A1689" s="10"/>
      <c r="B1689" s="10"/>
      <c r="D1689" s="10"/>
      <c r="E1689" s="10"/>
      <c r="F1689" s="10"/>
    </row>
    <row r="1690" spans="1:7" x14ac:dyDescent="0.2">
      <c r="A1690" s="10"/>
      <c r="B1690" s="10"/>
      <c r="D1690" s="10"/>
      <c r="E1690" s="10"/>
      <c r="F1690" s="10"/>
    </row>
    <row r="1691" spans="1:7" x14ac:dyDescent="0.2">
      <c r="A1691" s="10"/>
      <c r="B1691" s="10"/>
      <c r="D1691" s="10"/>
      <c r="E1691" s="10"/>
      <c r="G1691" s="10"/>
    </row>
    <row r="1692" spans="1:7" x14ac:dyDescent="0.2">
      <c r="A1692" s="10"/>
      <c r="B1692" s="10"/>
      <c r="D1692" s="10"/>
      <c r="E1692" s="10"/>
      <c r="G1692" s="10"/>
    </row>
    <row r="1693" spans="1:7" x14ac:dyDescent="0.2">
      <c r="A1693" s="10"/>
      <c r="B1693" s="10"/>
      <c r="D1693" s="10"/>
      <c r="E1693" s="10"/>
      <c r="G1693" s="10"/>
    </row>
    <row r="1694" spans="1:7" x14ac:dyDescent="0.2">
      <c r="A1694" s="10"/>
      <c r="B1694" s="10"/>
      <c r="D1694" s="10"/>
      <c r="E1694" s="10"/>
      <c r="G1694" s="10"/>
    </row>
    <row r="1695" spans="1:7" x14ac:dyDescent="0.2">
      <c r="A1695" s="10"/>
      <c r="B1695" s="10"/>
      <c r="D1695" s="10"/>
      <c r="E1695" s="10"/>
      <c r="G1695" s="10"/>
    </row>
    <row r="1696" spans="1:7" x14ac:dyDescent="0.2">
      <c r="A1696" s="10"/>
      <c r="B1696" s="10"/>
      <c r="D1696" s="10"/>
      <c r="E1696" s="10"/>
      <c r="G1696" s="10"/>
    </row>
    <row r="1697" spans="1:7" x14ac:dyDescent="0.2">
      <c r="A1697" s="10"/>
      <c r="B1697" s="10"/>
      <c r="D1697" s="10"/>
      <c r="E1697" s="10"/>
      <c r="F1697" s="10"/>
    </row>
    <row r="1698" spans="1:7" x14ac:dyDescent="0.2">
      <c r="A1698" s="10"/>
      <c r="B1698" s="10"/>
      <c r="D1698" s="10"/>
      <c r="E1698" s="10"/>
      <c r="F1698" s="10"/>
    </row>
    <row r="1699" spans="1:7" x14ac:dyDescent="0.2">
      <c r="A1699" s="10"/>
      <c r="B1699" s="10"/>
      <c r="D1699" s="10"/>
      <c r="E1699" s="10"/>
      <c r="F1699" s="10"/>
    </row>
    <row r="1700" spans="1:7" x14ac:dyDescent="0.2">
      <c r="A1700" s="10"/>
      <c r="B1700" s="10"/>
      <c r="D1700" s="10"/>
      <c r="E1700" s="10"/>
      <c r="F1700" s="10"/>
    </row>
    <row r="1701" spans="1:7" x14ac:dyDescent="0.2">
      <c r="A1701" s="10"/>
      <c r="B1701" s="10"/>
      <c r="D1701" s="10"/>
      <c r="E1701" s="10"/>
      <c r="F1701" s="10"/>
    </row>
    <row r="1702" spans="1:7" x14ac:dyDescent="0.2">
      <c r="A1702" s="10"/>
      <c r="B1702" s="10"/>
      <c r="D1702" s="10"/>
      <c r="E1702" s="10"/>
      <c r="F1702" s="10"/>
    </row>
    <row r="1703" spans="1:7" x14ac:dyDescent="0.2">
      <c r="A1703" s="10"/>
      <c r="B1703" s="10"/>
      <c r="D1703" s="10"/>
      <c r="E1703" s="10"/>
      <c r="F1703" s="10"/>
    </row>
    <row r="1704" spans="1:7" x14ac:dyDescent="0.2">
      <c r="A1704" s="10"/>
      <c r="B1704" s="10"/>
      <c r="D1704" s="10"/>
      <c r="E1704" s="10"/>
      <c r="F1704" s="10"/>
    </row>
    <row r="1705" spans="1:7" x14ac:dyDescent="0.2">
      <c r="A1705" s="10"/>
      <c r="B1705" s="10"/>
      <c r="D1705" s="10"/>
      <c r="E1705" s="10"/>
      <c r="F1705" s="10"/>
    </row>
    <row r="1706" spans="1:7" x14ac:dyDescent="0.2">
      <c r="A1706" s="10"/>
      <c r="B1706" s="10"/>
      <c r="D1706" s="10"/>
      <c r="E1706" s="10"/>
      <c r="F1706" s="10"/>
    </row>
    <row r="1707" spans="1:7" x14ac:dyDescent="0.2">
      <c r="A1707" s="10"/>
      <c r="B1707" s="10"/>
      <c r="D1707" s="10"/>
      <c r="E1707" s="10"/>
      <c r="F1707" s="10"/>
    </row>
    <row r="1708" spans="1:7" x14ac:dyDescent="0.2">
      <c r="A1708" s="10"/>
      <c r="B1708" s="10"/>
      <c r="D1708" s="10"/>
      <c r="E1708" s="10"/>
      <c r="G1708" s="10"/>
    </row>
    <row r="1709" spans="1:7" x14ac:dyDescent="0.2">
      <c r="A1709" s="10"/>
      <c r="B1709" s="10"/>
      <c r="D1709" s="10"/>
      <c r="E1709" s="10"/>
      <c r="G1709" s="10"/>
    </row>
    <row r="1710" spans="1:7" x14ac:dyDescent="0.2">
      <c r="A1710" s="10"/>
      <c r="B1710" s="10"/>
      <c r="D1710" s="10"/>
      <c r="E1710" s="10"/>
      <c r="G1710" s="10"/>
    </row>
    <row r="1711" spans="1:7" x14ac:dyDescent="0.2">
      <c r="A1711" s="10"/>
      <c r="B1711" s="10"/>
      <c r="D1711" s="10"/>
      <c r="E1711" s="10"/>
      <c r="G1711" s="10"/>
    </row>
    <row r="1712" spans="1:7" x14ac:dyDescent="0.2">
      <c r="A1712" s="10"/>
      <c r="B1712" s="10"/>
      <c r="D1712" s="10"/>
      <c r="E1712" s="10"/>
      <c r="G1712" s="10"/>
    </row>
    <row r="1713" spans="1:7" x14ac:dyDescent="0.2">
      <c r="A1713" s="10"/>
      <c r="B1713" s="10"/>
      <c r="D1713" s="10"/>
      <c r="E1713" s="10"/>
      <c r="G1713" s="10"/>
    </row>
    <row r="1714" spans="1:7" x14ac:dyDescent="0.2">
      <c r="A1714" s="10"/>
      <c r="B1714" s="10"/>
      <c r="D1714" s="10"/>
      <c r="E1714" s="10"/>
      <c r="F1714" s="10"/>
    </row>
    <row r="1715" spans="1:7" x14ac:dyDescent="0.2">
      <c r="A1715" s="10"/>
      <c r="B1715" s="10"/>
      <c r="D1715" s="10"/>
      <c r="E1715" s="10"/>
      <c r="F1715" s="10"/>
    </row>
    <row r="1716" spans="1:7" x14ac:dyDescent="0.2">
      <c r="A1716" s="10"/>
      <c r="B1716" s="10"/>
      <c r="D1716" s="10"/>
      <c r="E1716" s="10"/>
      <c r="F1716" s="10"/>
    </row>
    <row r="1717" spans="1:7" x14ac:dyDescent="0.2">
      <c r="A1717" s="10"/>
      <c r="B1717" s="10"/>
      <c r="D1717" s="10"/>
      <c r="E1717" s="10"/>
      <c r="F1717" s="10"/>
    </row>
    <row r="1718" spans="1:7" x14ac:dyDescent="0.2">
      <c r="A1718" s="10"/>
      <c r="B1718" s="10"/>
      <c r="D1718" s="10"/>
      <c r="E1718" s="10"/>
      <c r="F1718" s="10"/>
    </row>
    <row r="1719" spans="1:7" x14ac:dyDescent="0.2">
      <c r="A1719" s="10"/>
      <c r="B1719" s="10"/>
      <c r="D1719" s="10"/>
      <c r="E1719" s="10"/>
      <c r="F1719" s="10"/>
    </row>
    <row r="1720" spans="1:7" x14ac:dyDescent="0.2">
      <c r="A1720" s="10"/>
      <c r="B1720" s="10"/>
      <c r="D1720" s="10"/>
      <c r="E1720" s="10"/>
      <c r="G1720" s="10"/>
    </row>
    <row r="1721" spans="1:7" x14ac:dyDescent="0.2">
      <c r="A1721" s="10"/>
      <c r="B1721" s="10"/>
      <c r="D1721" s="10"/>
      <c r="E1721" s="10"/>
      <c r="G1721" s="10"/>
    </row>
    <row r="1722" spans="1:7" x14ac:dyDescent="0.2">
      <c r="A1722" s="10"/>
      <c r="B1722" s="10"/>
      <c r="D1722" s="10"/>
      <c r="E1722" s="10"/>
      <c r="G1722" s="10"/>
    </row>
    <row r="1723" spans="1:7" x14ac:dyDescent="0.2">
      <c r="A1723" s="10"/>
      <c r="B1723" s="10"/>
      <c r="D1723" s="10"/>
      <c r="E1723" s="10"/>
      <c r="F1723" s="10"/>
    </row>
    <row r="1724" spans="1:7" x14ac:dyDescent="0.2">
      <c r="A1724" s="10"/>
      <c r="B1724" s="10"/>
      <c r="D1724" s="10"/>
      <c r="E1724" s="10"/>
      <c r="G1724" s="10"/>
    </row>
    <row r="1725" spans="1:7" x14ac:dyDescent="0.2">
      <c r="A1725" s="10"/>
      <c r="B1725" s="10"/>
      <c r="D1725" s="10"/>
      <c r="E1725" s="10"/>
      <c r="G1725" s="10"/>
    </row>
    <row r="1726" spans="1:7" x14ac:dyDescent="0.2">
      <c r="A1726" s="10"/>
      <c r="B1726" s="10"/>
      <c r="D1726" s="10"/>
      <c r="E1726" s="10"/>
      <c r="G1726" s="10"/>
    </row>
    <row r="1727" spans="1:7" x14ac:dyDescent="0.2">
      <c r="A1727" s="10"/>
      <c r="B1727" s="10"/>
      <c r="D1727" s="10"/>
      <c r="E1727" s="10"/>
      <c r="F1727" s="10"/>
    </row>
    <row r="1728" spans="1:7" x14ac:dyDescent="0.2">
      <c r="A1728" s="10"/>
      <c r="B1728" s="10"/>
      <c r="D1728" s="10"/>
      <c r="E1728" s="10"/>
      <c r="F1728" s="10"/>
    </row>
    <row r="1729" spans="1:7" x14ac:dyDescent="0.2">
      <c r="A1729" s="10"/>
      <c r="B1729" s="10"/>
      <c r="D1729" s="10"/>
      <c r="E1729" s="10"/>
      <c r="F1729" s="10"/>
    </row>
    <row r="1730" spans="1:7" x14ac:dyDescent="0.2">
      <c r="A1730" s="10"/>
      <c r="B1730" s="10"/>
      <c r="D1730" s="10"/>
      <c r="E1730" s="10"/>
      <c r="F1730" s="10"/>
    </row>
    <row r="1731" spans="1:7" x14ac:dyDescent="0.2">
      <c r="A1731" s="10"/>
      <c r="B1731" s="10"/>
      <c r="D1731" s="10"/>
      <c r="E1731" s="10"/>
      <c r="G1731" s="10"/>
    </row>
    <row r="1732" spans="1:7" x14ac:dyDescent="0.2">
      <c r="A1732" s="10"/>
      <c r="B1732" s="10"/>
      <c r="D1732" s="10"/>
      <c r="E1732" s="10"/>
      <c r="F1732" s="10"/>
    </row>
    <row r="1733" spans="1:7" x14ac:dyDescent="0.2">
      <c r="A1733" s="10"/>
      <c r="B1733" s="10"/>
      <c r="D1733" s="10"/>
      <c r="E1733" s="10"/>
      <c r="G1733" s="10"/>
    </row>
    <row r="1734" spans="1:7" x14ac:dyDescent="0.2">
      <c r="A1734" s="10"/>
      <c r="B1734" s="10"/>
      <c r="D1734" s="10"/>
      <c r="E1734" s="10"/>
      <c r="G1734" s="10"/>
    </row>
    <row r="1735" spans="1:7" x14ac:dyDescent="0.2">
      <c r="A1735" s="10"/>
      <c r="B1735" s="10"/>
      <c r="D1735" s="10"/>
      <c r="E1735" s="10"/>
      <c r="F1735" s="10"/>
    </row>
    <row r="1736" spans="1:7" x14ac:dyDescent="0.2">
      <c r="A1736" s="10"/>
      <c r="B1736" s="10"/>
      <c r="D1736" s="10"/>
      <c r="E1736" s="10"/>
      <c r="F1736" s="10"/>
    </row>
    <row r="1737" spans="1:7" x14ac:dyDescent="0.2">
      <c r="A1737" s="10"/>
      <c r="B1737" s="10"/>
      <c r="D1737" s="10"/>
      <c r="E1737" s="10"/>
      <c r="F1737" s="10"/>
    </row>
    <row r="1738" spans="1:7" x14ac:dyDescent="0.2">
      <c r="A1738" s="10"/>
      <c r="B1738" s="10"/>
      <c r="D1738" s="10"/>
      <c r="E1738" s="10"/>
      <c r="F1738" s="10"/>
    </row>
    <row r="1739" spans="1:7" x14ac:dyDescent="0.2">
      <c r="A1739" s="10"/>
      <c r="B1739" s="10"/>
      <c r="D1739" s="10"/>
      <c r="E1739" s="10"/>
      <c r="F1739" s="10"/>
    </row>
    <row r="1740" spans="1:7" x14ac:dyDescent="0.2">
      <c r="A1740" s="10"/>
      <c r="B1740" s="10"/>
      <c r="D1740" s="10"/>
      <c r="E1740" s="10"/>
      <c r="G1740" s="10"/>
    </row>
    <row r="1741" spans="1:7" x14ac:dyDescent="0.2">
      <c r="A1741" s="10"/>
      <c r="B1741" s="10"/>
      <c r="D1741" s="10"/>
      <c r="E1741" s="10"/>
      <c r="G1741" s="10"/>
    </row>
    <row r="1742" spans="1:7" x14ac:dyDescent="0.2">
      <c r="A1742" s="10"/>
      <c r="B1742" s="10"/>
      <c r="D1742" s="10"/>
      <c r="E1742" s="10"/>
      <c r="G1742" s="10"/>
    </row>
    <row r="1743" spans="1:7" x14ac:dyDescent="0.2">
      <c r="A1743" s="10"/>
      <c r="B1743" s="10"/>
      <c r="D1743" s="10"/>
      <c r="E1743" s="10"/>
      <c r="F1743" s="10"/>
    </row>
    <row r="1744" spans="1:7" x14ac:dyDescent="0.2">
      <c r="A1744" s="10"/>
      <c r="B1744" s="10"/>
      <c r="D1744" s="10"/>
      <c r="E1744" s="10"/>
      <c r="G1744" s="10"/>
    </row>
    <row r="1745" spans="1:7" x14ac:dyDescent="0.2">
      <c r="A1745" s="10"/>
      <c r="B1745" s="10"/>
      <c r="D1745" s="10"/>
      <c r="E1745" s="10"/>
      <c r="F1745" s="10"/>
    </row>
    <row r="1746" spans="1:7" x14ac:dyDescent="0.2">
      <c r="A1746" s="10"/>
      <c r="B1746" s="10"/>
      <c r="D1746" s="10"/>
      <c r="E1746" s="10"/>
      <c r="F1746" s="10"/>
    </row>
    <row r="1747" spans="1:7" x14ac:dyDescent="0.2">
      <c r="A1747" s="10"/>
      <c r="B1747" s="10"/>
      <c r="D1747" s="10"/>
      <c r="E1747" s="10"/>
      <c r="F1747" s="10"/>
    </row>
    <row r="1748" spans="1:7" x14ac:dyDescent="0.2">
      <c r="A1748" s="10"/>
      <c r="B1748" s="10"/>
      <c r="D1748" s="10"/>
      <c r="E1748" s="10"/>
      <c r="F1748" s="10"/>
    </row>
    <row r="1749" spans="1:7" x14ac:dyDescent="0.2">
      <c r="A1749" s="10"/>
      <c r="B1749" s="10"/>
      <c r="D1749" s="10"/>
      <c r="E1749" s="10"/>
      <c r="F1749" s="10"/>
    </row>
    <row r="1750" spans="1:7" x14ac:dyDescent="0.2">
      <c r="A1750" s="10"/>
      <c r="B1750" s="10"/>
      <c r="D1750" s="10"/>
      <c r="E1750" s="10"/>
      <c r="F1750" s="10"/>
    </row>
    <row r="1751" spans="1:7" x14ac:dyDescent="0.2">
      <c r="A1751" s="10"/>
      <c r="B1751" s="10"/>
      <c r="D1751" s="10"/>
      <c r="E1751" s="10"/>
      <c r="G1751" s="10"/>
    </row>
    <row r="1752" spans="1:7" x14ac:dyDescent="0.2">
      <c r="A1752" s="10"/>
      <c r="B1752" s="10"/>
      <c r="D1752" s="10"/>
      <c r="E1752" s="10"/>
      <c r="G1752" s="10"/>
    </row>
    <row r="1753" spans="1:7" x14ac:dyDescent="0.2">
      <c r="A1753" s="10"/>
      <c r="B1753" s="10"/>
      <c r="D1753" s="10"/>
      <c r="E1753" s="10"/>
      <c r="G1753" s="10"/>
    </row>
    <row r="1754" spans="1:7" x14ac:dyDescent="0.2">
      <c r="A1754" s="10"/>
      <c r="B1754" s="10"/>
      <c r="D1754" s="10"/>
      <c r="E1754" s="10"/>
      <c r="G1754" s="10"/>
    </row>
    <row r="1755" spans="1:7" x14ac:dyDescent="0.2">
      <c r="A1755" s="10"/>
      <c r="B1755" s="10"/>
      <c r="D1755" s="10"/>
      <c r="E1755" s="10"/>
      <c r="G1755" s="10"/>
    </row>
    <row r="1756" spans="1:7" x14ac:dyDescent="0.2">
      <c r="A1756" s="10"/>
      <c r="B1756" s="10"/>
      <c r="D1756" s="10"/>
      <c r="E1756" s="10"/>
      <c r="F1756" s="10"/>
    </row>
    <row r="1757" spans="1:7" x14ac:dyDescent="0.2">
      <c r="A1757" s="10"/>
      <c r="B1757" s="10"/>
      <c r="D1757" s="10"/>
      <c r="E1757" s="10"/>
      <c r="F1757" s="10"/>
    </row>
    <row r="1758" spans="1:7" x14ac:dyDescent="0.2">
      <c r="A1758" s="10"/>
      <c r="B1758" s="10"/>
      <c r="D1758" s="10"/>
      <c r="E1758" s="10"/>
      <c r="F1758" s="10"/>
    </row>
    <row r="1759" spans="1:7" x14ac:dyDescent="0.2">
      <c r="A1759" s="10"/>
      <c r="B1759" s="10"/>
      <c r="D1759" s="10"/>
      <c r="E1759" s="10"/>
      <c r="F1759" s="10"/>
    </row>
    <row r="1760" spans="1:7" x14ac:dyDescent="0.2">
      <c r="A1760" s="10"/>
      <c r="B1760" s="10"/>
      <c r="D1760" s="10"/>
      <c r="E1760" s="10"/>
      <c r="G1760" s="10"/>
    </row>
    <row r="1761" spans="1:7" x14ac:dyDescent="0.2">
      <c r="A1761" s="10"/>
      <c r="B1761" s="10"/>
      <c r="D1761" s="10"/>
      <c r="E1761" s="10"/>
      <c r="F1761" s="10"/>
    </row>
    <row r="1762" spans="1:7" x14ac:dyDescent="0.2">
      <c r="A1762" s="10"/>
      <c r="B1762" s="10"/>
      <c r="D1762" s="10"/>
      <c r="E1762" s="10"/>
      <c r="F1762" s="10"/>
    </row>
    <row r="1763" spans="1:7" x14ac:dyDescent="0.2">
      <c r="A1763" s="10"/>
      <c r="B1763" s="10"/>
      <c r="D1763" s="10"/>
      <c r="E1763" s="10"/>
      <c r="G1763" s="10"/>
    </row>
    <row r="1764" spans="1:7" x14ac:dyDescent="0.2">
      <c r="A1764" s="10"/>
      <c r="B1764" s="10"/>
      <c r="D1764" s="10"/>
      <c r="E1764" s="10"/>
      <c r="F1764" s="10"/>
    </row>
    <row r="1765" spans="1:7" x14ac:dyDescent="0.2">
      <c r="A1765" s="10"/>
      <c r="B1765" s="10"/>
      <c r="D1765" s="10"/>
      <c r="E1765" s="10"/>
      <c r="F1765" s="10"/>
    </row>
    <row r="1766" spans="1:7" x14ac:dyDescent="0.2">
      <c r="A1766" s="10"/>
      <c r="B1766" s="10"/>
      <c r="D1766" s="10"/>
      <c r="E1766" s="10"/>
      <c r="F1766" s="10"/>
    </row>
    <row r="1767" spans="1:7" x14ac:dyDescent="0.2">
      <c r="A1767" s="10"/>
      <c r="B1767" s="10"/>
      <c r="D1767" s="10"/>
      <c r="E1767" s="10"/>
      <c r="F1767" s="10"/>
    </row>
    <row r="1768" spans="1:7" x14ac:dyDescent="0.2">
      <c r="A1768" s="10"/>
      <c r="B1768" s="10"/>
      <c r="D1768" s="10"/>
      <c r="E1768" s="10"/>
      <c r="F1768" s="10"/>
    </row>
    <row r="1769" spans="1:7" x14ac:dyDescent="0.2">
      <c r="A1769" s="10"/>
      <c r="B1769" s="10"/>
      <c r="D1769" s="10"/>
      <c r="E1769" s="10"/>
      <c r="F1769" s="10"/>
    </row>
    <row r="1770" spans="1:7" x14ac:dyDescent="0.2">
      <c r="A1770" s="10"/>
      <c r="B1770" s="10"/>
      <c r="D1770" s="10"/>
      <c r="E1770" s="10"/>
      <c r="F1770" s="10"/>
    </row>
    <row r="1771" spans="1:7" x14ac:dyDescent="0.2">
      <c r="A1771" s="10"/>
      <c r="B1771" s="10"/>
      <c r="D1771" s="10"/>
      <c r="E1771" s="10"/>
      <c r="F1771" s="10"/>
    </row>
    <row r="1772" spans="1:7" x14ac:dyDescent="0.2">
      <c r="A1772" s="10"/>
      <c r="B1772" s="10"/>
      <c r="D1772" s="10"/>
      <c r="E1772" s="10"/>
      <c r="G1772" s="10"/>
    </row>
    <row r="1773" spans="1:7" x14ac:dyDescent="0.2">
      <c r="A1773" s="10"/>
      <c r="B1773" s="10"/>
      <c r="D1773" s="10"/>
      <c r="E1773" s="10"/>
      <c r="F1773" s="10"/>
    </row>
    <row r="1774" spans="1:7" x14ac:dyDescent="0.2">
      <c r="A1774" s="10"/>
      <c r="B1774" s="10"/>
      <c r="D1774" s="10"/>
      <c r="E1774" s="10"/>
      <c r="G1774" s="10"/>
    </row>
    <row r="1775" spans="1:7" x14ac:dyDescent="0.2">
      <c r="A1775" s="10"/>
      <c r="B1775" s="10"/>
      <c r="D1775" s="10"/>
      <c r="E1775" s="10"/>
      <c r="G1775" s="10"/>
    </row>
    <row r="1776" spans="1:7" x14ac:dyDescent="0.2">
      <c r="A1776" s="10"/>
      <c r="B1776" s="10"/>
      <c r="D1776" s="10"/>
      <c r="E1776" s="10"/>
      <c r="G1776" s="10"/>
    </row>
    <row r="1777" spans="1:7" x14ac:dyDescent="0.2">
      <c r="A1777" s="10"/>
      <c r="B1777" s="10"/>
      <c r="D1777" s="10"/>
      <c r="E1777" s="10"/>
      <c r="G1777" s="10"/>
    </row>
    <row r="1778" spans="1:7" x14ac:dyDescent="0.2">
      <c r="A1778" s="10"/>
      <c r="B1778" s="10"/>
      <c r="D1778" s="10"/>
      <c r="E1778" s="10"/>
      <c r="F1778" s="10"/>
    </row>
    <row r="1779" spans="1:7" x14ac:dyDescent="0.2">
      <c r="A1779" s="10"/>
      <c r="B1779" s="10"/>
      <c r="D1779" s="10"/>
      <c r="E1779" s="10"/>
      <c r="F1779" s="10"/>
    </row>
    <row r="1780" spans="1:7" x14ac:dyDescent="0.2">
      <c r="A1780" s="10"/>
      <c r="B1780" s="10"/>
      <c r="D1780" s="10"/>
      <c r="E1780" s="10"/>
      <c r="F1780" s="10"/>
    </row>
    <row r="1781" spans="1:7" x14ac:dyDescent="0.2">
      <c r="A1781" s="10"/>
      <c r="B1781" s="10"/>
      <c r="D1781" s="10"/>
      <c r="E1781" s="10"/>
      <c r="F1781" s="10"/>
    </row>
    <row r="1782" spans="1:7" x14ac:dyDescent="0.2">
      <c r="A1782" s="10"/>
      <c r="B1782" s="10"/>
      <c r="D1782" s="10"/>
      <c r="E1782" s="10"/>
      <c r="F1782" s="10"/>
    </row>
    <row r="1783" spans="1:7" x14ac:dyDescent="0.2">
      <c r="A1783" s="10"/>
      <c r="B1783" s="10"/>
      <c r="D1783" s="10"/>
      <c r="E1783" s="10"/>
      <c r="F1783" s="10"/>
    </row>
    <row r="1784" spans="1:7" x14ac:dyDescent="0.2">
      <c r="A1784" s="10"/>
      <c r="B1784" s="10"/>
      <c r="D1784" s="10"/>
      <c r="E1784" s="10"/>
      <c r="F1784" s="10"/>
    </row>
    <row r="1785" spans="1:7" x14ac:dyDescent="0.2">
      <c r="A1785" s="10"/>
      <c r="B1785" s="10"/>
      <c r="D1785" s="10"/>
      <c r="E1785" s="10"/>
      <c r="F1785" s="10"/>
    </row>
    <row r="1786" spans="1:7" x14ac:dyDescent="0.2">
      <c r="A1786" s="10"/>
      <c r="B1786" s="10"/>
      <c r="D1786" s="10"/>
      <c r="E1786" s="10"/>
      <c r="G1786" s="10"/>
    </row>
    <row r="1787" spans="1:7" x14ac:dyDescent="0.2">
      <c r="A1787" s="10"/>
      <c r="B1787" s="10"/>
      <c r="D1787" s="10"/>
      <c r="E1787" s="10"/>
      <c r="F1787" s="10"/>
    </row>
    <row r="1788" spans="1:7" x14ac:dyDescent="0.2">
      <c r="A1788" s="10"/>
      <c r="B1788" s="10"/>
      <c r="D1788" s="10"/>
      <c r="E1788" s="10"/>
      <c r="G1788" s="10"/>
    </row>
    <row r="1789" spans="1:7" x14ac:dyDescent="0.2">
      <c r="A1789" s="10"/>
      <c r="B1789" s="10"/>
      <c r="D1789" s="10"/>
      <c r="E1789" s="10"/>
      <c r="G1789" s="10"/>
    </row>
    <row r="1790" spans="1:7" x14ac:dyDescent="0.2">
      <c r="A1790" s="10"/>
      <c r="B1790" s="10"/>
      <c r="D1790" s="10"/>
      <c r="E1790" s="10"/>
      <c r="F1790" s="10"/>
    </row>
    <row r="1791" spans="1:7" x14ac:dyDescent="0.2">
      <c r="A1791" s="10"/>
      <c r="B1791" s="10"/>
      <c r="D1791" s="10"/>
      <c r="E1791" s="10"/>
      <c r="G1791" s="10"/>
    </row>
    <row r="1792" spans="1:7" x14ac:dyDescent="0.2">
      <c r="A1792" s="10"/>
      <c r="B1792" s="10"/>
      <c r="D1792" s="10"/>
      <c r="E1792" s="10"/>
      <c r="F1792" s="10"/>
    </row>
    <row r="1793" spans="1:7" x14ac:dyDescent="0.2">
      <c r="A1793" s="10"/>
      <c r="B1793" s="10"/>
      <c r="D1793" s="10"/>
      <c r="E1793" s="10"/>
      <c r="F1793" s="10"/>
    </row>
    <row r="1794" spans="1:7" x14ac:dyDescent="0.2">
      <c r="A1794" s="10"/>
      <c r="B1794" s="10"/>
      <c r="D1794" s="10"/>
      <c r="E1794" s="10"/>
      <c r="F1794" s="10"/>
    </row>
    <row r="1795" spans="1:7" x14ac:dyDescent="0.2">
      <c r="A1795" s="10"/>
      <c r="B1795" s="10"/>
      <c r="D1795" s="10"/>
      <c r="E1795" s="10"/>
      <c r="G1795" s="10"/>
    </row>
    <row r="1796" spans="1:7" x14ac:dyDescent="0.2">
      <c r="A1796" s="10"/>
      <c r="B1796" s="10"/>
      <c r="D1796" s="10"/>
      <c r="E1796" s="10"/>
      <c r="F1796" s="10"/>
    </row>
    <row r="1797" spans="1:7" x14ac:dyDescent="0.2">
      <c r="A1797" s="10"/>
      <c r="B1797" s="10"/>
      <c r="D1797" s="10"/>
      <c r="E1797" s="10"/>
      <c r="F1797" s="10"/>
    </row>
    <row r="1798" spans="1:7" x14ac:dyDescent="0.2">
      <c r="A1798" s="10"/>
      <c r="B1798" s="10"/>
      <c r="D1798" s="10"/>
      <c r="E1798" s="10"/>
      <c r="G1798" s="10"/>
    </row>
    <row r="1799" spans="1:7" x14ac:dyDescent="0.2">
      <c r="A1799" s="10"/>
      <c r="B1799" s="10"/>
      <c r="D1799" s="10"/>
      <c r="E1799" s="10"/>
      <c r="F1799" s="10"/>
    </row>
    <row r="1800" spans="1:7" x14ac:dyDescent="0.2">
      <c r="A1800" s="10"/>
      <c r="B1800" s="10"/>
      <c r="D1800" s="10"/>
      <c r="E1800" s="10"/>
      <c r="F1800" s="10"/>
    </row>
    <row r="1801" spans="1:7" x14ac:dyDescent="0.2">
      <c r="A1801" s="10"/>
      <c r="B1801" s="10"/>
      <c r="D1801" s="10"/>
      <c r="E1801" s="10"/>
      <c r="G1801" s="10"/>
    </row>
    <row r="1802" spans="1:7" x14ac:dyDescent="0.2">
      <c r="A1802" s="10"/>
      <c r="B1802" s="10"/>
      <c r="D1802" s="10"/>
      <c r="E1802" s="10"/>
      <c r="G1802" s="10"/>
    </row>
    <row r="1803" spans="1:7" x14ac:dyDescent="0.2">
      <c r="A1803" s="10"/>
      <c r="B1803" s="10"/>
      <c r="D1803" s="10"/>
      <c r="E1803" s="10"/>
      <c r="G1803" s="10"/>
    </row>
    <row r="1804" spans="1:7" x14ac:dyDescent="0.2">
      <c r="A1804" s="10"/>
      <c r="B1804" s="10"/>
      <c r="D1804" s="10"/>
      <c r="E1804" s="10"/>
      <c r="G1804" s="10"/>
    </row>
    <row r="1805" spans="1:7" x14ac:dyDescent="0.2">
      <c r="A1805" s="10"/>
      <c r="B1805" s="10"/>
      <c r="D1805" s="10"/>
      <c r="E1805" s="10"/>
      <c r="G1805" s="10"/>
    </row>
    <row r="1806" spans="1:7" x14ac:dyDescent="0.2">
      <c r="A1806" s="10"/>
      <c r="B1806" s="10"/>
      <c r="D1806" s="10"/>
      <c r="E1806" s="10"/>
      <c r="F1806" s="10"/>
    </row>
    <row r="1807" spans="1:7" x14ac:dyDescent="0.2">
      <c r="A1807" s="10"/>
      <c r="B1807" s="10"/>
      <c r="D1807" s="10"/>
      <c r="E1807" s="10"/>
      <c r="F1807" s="10"/>
    </row>
    <row r="1808" spans="1:7" x14ac:dyDescent="0.2">
      <c r="A1808" s="10"/>
      <c r="B1808" s="10"/>
      <c r="D1808" s="10"/>
      <c r="E1808" s="10"/>
      <c r="F1808" s="10"/>
    </row>
    <row r="1809" spans="1:7" x14ac:dyDescent="0.2">
      <c r="A1809" s="10"/>
      <c r="B1809" s="10"/>
      <c r="D1809" s="10"/>
      <c r="E1809" s="10"/>
      <c r="G1809" s="10"/>
    </row>
    <row r="1810" spans="1:7" x14ac:dyDescent="0.2">
      <c r="A1810" s="10"/>
      <c r="B1810" s="10"/>
      <c r="D1810" s="10"/>
      <c r="E1810" s="10"/>
      <c r="G1810" s="10"/>
    </row>
    <row r="1811" spans="1:7" x14ac:dyDescent="0.2">
      <c r="A1811" s="10"/>
      <c r="B1811" s="10"/>
      <c r="D1811" s="10"/>
      <c r="E1811" s="10"/>
      <c r="G1811" s="10"/>
    </row>
    <row r="1812" spans="1:7" x14ac:dyDescent="0.2">
      <c r="A1812" s="10"/>
      <c r="B1812" s="10"/>
      <c r="D1812" s="10"/>
      <c r="E1812" s="10"/>
      <c r="F1812" s="10"/>
    </row>
    <row r="1813" spans="1:7" x14ac:dyDescent="0.2">
      <c r="A1813" s="10"/>
      <c r="B1813" s="10"/>
      <c r="D1813" s="10"/>
      <c r="E1813" s="10"/>
      <c r="F1813" s="10"/>
    </row>
    <row r="1814" spans="1:7" x14ac:dyDescent="0.2">
      <c r="A1814" s="10"/>
      <c r="B1814" s="10"/>
      <c r="D1814" s="10"/>
      <c r="E1814" s="10"/>
      <c r="F1814" s="10"/>
    </row>
    <row r="1815" spans="1:7" x14ac:dyDescent="0.2">
      <c r="A1815" s="10"/>
      <c r="B1815" s="10"/>
      <c r="D1815" s="10"/>
      <c r="E1815" s="10"/>
      <c r="F1815" s="10"/>
    </row>
    <row r="1816" spans="1:7" x14ac:dyDescent="0.2">
      <c r="A1816" s="10"/>
      <c r="B1816" s="10"/>
      <c r="D1816" s="10"/>
      <c r="E1816" s="10"/>
      <c r="G1816" s="10"/>
    </row>
    <row r="1817" spans="1:7" x14ac:dyDescent="0.2">
      <c r="A1817" s="10"/>
      <c r="B1817" s="10"/>
      <c r="D1817" s="10"/>
      <c r="E1817" s="10"/>
      <c r="G1817" s="10"/>
    </row>
    <row r="1818" spans="1:7" x14ac:dyDescent="0.2">
      <c r="A1818" s="10"/>
      <c r="B1818" s="10"/>
      <c r="D1818" s="10"/>
      <c r="E1818" s="10"/>
      <c r="G1818" s="10"/>
    </row>
    <row r="1819" spans="1:7" x14ac:dyDescent="0.2">
      <c r="A1819" s="10"/>
      <c r="B1819" s="10"/>
      <c r="D1819" s="10"/>
      <c r="E1819" s="10"/>
      <c r="G1819" s="10"/>
    </row>
    <row r="1820" spans="1:7" x14ac:dyDescent="0.2">
      <c r="A1820" s="10"/>
      <c r="B1820" s="10"/>
      <c r="D1820" s="10"/>
      <c r="E1820" s="10"/>
      <c r="F1820" s="10"/>
    </row>
    <row r="1821" spans="1:7" x14ac:dyDescent="0.2">
      <c r="A1821" s="10"/>
      <c r="B1821" s="10"/>
      <c r="D1821" s="10"/>
      <c r="E1821" s="10"/>
      <c r="F1821" s="10"/>
    </row>
    <row r="1822" spans="1:7" x14ac:dyDescent="0.2">
      <c r="A1822" s="10"/>
      <c r="B1822" s="10"/>
      <c r="D1822" s="10"/>
      <c r="E1822" s="10"/>
      <c r="F1822" s="10"/>
    </row>
    <row r="1823" spans="1:7" x14ac:dyDescent="0.2">
      <c r="A1823" s="10"/>
      <c r="B1823" s="10"/>
      <c r="D1823" s="10"/>
      <c r="E1823" s="10"/>
      <c r="G1823" s="10"/>
    </row>
    <row r="1824" spans="1:7" x14ac:dyDescent="0.2">
      <c r="A1824" s="10"/>
      <c r="B1824" s="10"/>
      <c r="D1824" s="10"/>
      <c r="E1824" s="10"/>
      <c r="F1824" s="10"/>
    </row>
    <row r="1825" spans="1:7" x14ac:dyDescent="0.2">
      <c r="A1825" s="10"/>
      <c r="B1825" s="10"/>
      <c r="D1825" s="10"/>
      <c r="E1825" s="10"/>
      <c r="F1825" s="10"/>
    </row>
    <row r="1826" spans="1:7" x14ac:dyDescent="0.2">
      <c r="A1826" s="10"/>
      <c r="B1826" s="10"/>
      <c r="D1826" s="10"/>
      <c r="E1826" s="10"/>
      <c r="G1826" s="10"/>
    </row>
    <row r="1827" spans="1:7" x14ac:dyDescent="0.2">
      <c r="A1827" s="10"/>
      <c r="B1827" s="10"/>
      <c r="D1827" s="10"/>
      <c r="E1827" s="10"/>
      <c r="F1827" s="10"/>
    </row>
    <row r="1828" spans="1:7" x14ac:dyDescent="0.2">
      <c r="A1828" s="10"/>
      <c r="B1828" s="10"/>
      <c r="D1828" s="10"/>
      <c r="E1828" s="10"/>
      <c r="F1828" s="10"/>
    </row>
    <row r="1829" spans="1:7" x14ac:dyDescent="0.2">
      <c r="A1829" s="10"/>
      <c r="B1829" s="10"/>
      <c r="D1829" s="10"/>
      <c r="E1829" s="10"/>
      <c r="F1829" s="10"/>
    </row>
    <row r="1830" spans="1:7" x14ac:dyDescent="0.2">
      <c r="A1830" s="10"/>
      <c r="B1830" s="10"/>
      <c r="D1830" s="10"/>
      <c r="E1830" s="10"/>
      <c r="F1830" s="10"/>
    </row>
    <row r="1831" spans="1:7" x14ac:dyDescent="0.2">
      <c r="A1831" s="10"/>
      <c r="B1831" s="10"/>
      <c r="D1831" s="10"/>
      <c r="E1831" s="10"/>
      <c r="F1831" s="10"/>
    </row>
    <row r="1832" spans="1:7" x14ac:dyDescent="0.2">
      <c r="A1832" s="10"/>
      <c r="B1832" s="10"/>
      <c r="D1832" s="10"/>
      <c r="E1832" s="10"/>
      <c r="F1832" s="10"/>
    </row>
    <row r="1833" spans="1:7" x14ac:dyDescent="0.2">
      <c r="A1833" s="10"/>
      <c r="B1833" s="10"/>
      <c r="D1833" s="10"/>
      <c r="E1833" s="10"/>
      <c r="F1833" s="10"/>
    </row>
    <row r="1834" spans="1:7" x14ac:dyDescent="0.2">
      <c r="A1834" s="10"/>
      <c r="B1834" s="10"/>
      <c r="D1834" s="10"/>
      <c r="E1834" s="10"/>
      <c r="G1834" s="10"/>
    </row>
    <row r="1835" spans="1:7" x14ac:dyDescent="0.2">
      <c r="A1835" s="10"/>
      <c r="B1835" s="10"/>
      <c r="D1835" s="10"/>
      <c r="E1835" s="10"/>
      <c r="G1835" s="10"/>
    </row>
    <row r="1836" spans="1:7" x14ac:dyDescent="0.2">
      <c r="A1836" s="10"/>
      <c r="B1836" s="10"/>
      <c r="D1836" s="10"/>
      <c r="E1836" s="10"/>
      <c r="G1836" s="10"/>
    </row>
    <row r="1837" spans="1:7" x14ac:dyDescent="0.2">
      <c r="A1837" s="10"/>
      <c r="B1837" s="10"/>
      <c r="D1837" s="10"/>
      <c r="E1837" s="10"/>
      <c r="F1837" s="10"/>
    </row>
    <row r="1838" spans="1:7" x14ac:dyDescent="0.2">
      <c r="A1838" s="10"/>
      <c r="B1838" s="10"/>
      <c r="D1838" s="10"/>
      <c r="E1838" s="10"/>
      <c r="F1838" s="10"/>
    </row>
    <row r="1839" spans="1:7" x14ac:dyDescent="0.2">
      <c r="A1839" s="10"/>
      <c r="B1839" s="10"/>
      <c r="D1839" s="10"/>
      <c r="E1839" s="10"/>
      <c r="G1839" s="10"/>
    </row>
    <row r="1840" spans="1:7" x14ac:dyDescent="0.2">
      <c r="A1840" s="10"/>
      <c r="B1840" s="10"/>
      <c r="D1840" s="10"/>
      <c r="E1840" s="10"/>
      <c r="G1840" s="10"/>
    </row>
    <row r="1841" spans="1:7" x14ac:dyDescent="0.2">
      <c r="A1841" s="10"/>
      <c r="B1841" s="10"/>
      <c r="D1841" s="10"/>
      <c r="E1841" s="10"/>
      <c r="G1841" s="10"/>
    </row>
    <row r="1842" spans="1:7" x14ac:dyDescent="0.2">
      <c r="A1842" s="10"/>
      <c r="B1842" s="10"/>
      <c r="D1842" s="10"/>
      <c r="E1842" s="10"/>
      <c r="F1842" s="10"/>
    </row>
    <row r="1843" spans="1:7" x14ac:dyDescent="0.2">
      <c r="A1843" s="10"/>
      <c r="B1843" s="10"/>
      <c r="D1843" s="10"/>
      <c r="E1843" s="10"/>
      <c r="F1843" s="10"/>
    </row>
    <row r="1844" spans="1:7" x14ac:dyDescent="0.2">
      <c r="A1844" s="10"/>
      <c r="B1844" s="10"/>
      <c r="D1844" s="10"/>
      <c r="E1844" s="10"/>
      <c r="F1844" s="10"/>
    </row>
    <row r="1845" spans="1:7" x14ac:dyDescent="0.2">
      <c r="A1845" s="10"/>
      <c r="B1845" s="10"/>
      <c r="D1845" s="10"/>
      <c r="E1845" s="10"/>
      <c r="G1845" s="10"/>
    </row>
    <row r="1846" spans="1:7" x14ac:dyDescent="0.2">
      <c r="A1846" s="10"/>
      <c r="B1846" s="10"/>
      <c r="D1846" s="10"/>
      <c r="E1846" s="10"/>
      <c r="G1846" s="10"/>
    </row>
    <row r="1847" spans="1:7" x14ac:dyDescent="0.2">
      <c r="A1847" s="10"/>
      <c r="B1847" s="10"/>
      <c r="D1847" s="10"/>
      <c r="E1847" s="10"/>
      <c r="G1847" s="10"/>
    </row>
    <row r="1848" spans="1:7" x14ac:dyDescent="0.2">
      <c r="A1848" s="10"/>
      <c r="B1848" s="10"/>
      <c r="D1848" s="10"/>
      <c r="E1848" s="10"/>
      <c r="G1848" s="10"/>
    </row>
    <row r="1849" spans="1:7" x14ac:dyDescent="0.2">
      <c r="A1849" s="10"/>
      <c r="B1849" s="10"/>
      <c r="D1849" s="10"/>
      <c r="E1849" s="10"/>
      <c r="G1849" s="10"/>
    </row>
    <row r="1850" spans="1:7" x14ac:dyDescent="0.2">
      <c r="A1850" s="10"/>
      <c r="B1850" s="10"/>
      <c r="D1850" s="10"/>
      <c r="E1850" s="10"/>
      <c r="G1850" s="10"/>
    </row>
    <row r="1851" spans="1:7" x14ac:dyDescent="0.2">
      <c r="A1851" s="10"/>
      <c r="B1851" s="10"/>
      <c r="D1851" s="10"/>
      <c r="E1851" s="10"/>
      <c r="G1851" s="10"/>
    </row>
    <row r="1852" spans="1:7" x14ac:dyDescent="0.2">
      <c r="A1852" s="10"/>
      <c r="B1852" s="10"/>
      <c r="D1852" s="10"/>
      <c r="E1852" s="10"/>
      <c r="F1852" s="10"/>
    </row>
    <row r="1853" spans="1:7" x14ac:dyDescent="0.2">
      <c r="A1853" s="10"/>
      <c r="B1853" s="10"/>
      <c r="D1853" s="10"/>
      <c r="E1853" s="10"/>
      <c r="F1853" s="10"/>
    </row>
    <row r="1854" spans="1:7" x14ac:dyDescent="0.2">
      <c r="A1854" s="10"/>
      <c r="B1854" s="10"/>
      <c r="D1854" s="10"/>
      <c r="E1854" s="10"/>
      <c r="F1854" s="10"/>
    </row>
    <row r="1855" spans="1:7" x14ac:dyDescent="0.2">
      <c r="A1855" s="10"/>
      <c r="B1855" s="10"/>
      <c r="D1855" s="10"/>
      <c r="E1855" s="10"/>
      <c r="F1855" s="10"/>
    </row>
    <row r="1856" spans="1:7" x14ac:dyDescent="0.2">
      <c r="A1856" s="10"/>
      <c r="B1856" s="10"/>
      <c r="D1856" s="10"/>
      <c r="E1856" s="10"/>
      <c r="F1856" s="10"/>
    </row>
    <row r="1857" spans="1:7" x14ac:dyDescent="0.2">
      <c r="A1857" s="10"/>
      <c r="B1857" s="10"/>
      <c r="D1857" s="10"/>
      <c r="E1857" s="10"/>
      <c r="F1857" s="10"/>
    </row>
    <row r="1858" spans="1:7" x14ac:dyDescent="0.2">
      <c r="A1858" s="10"/>
      <c r="B1858" s="10"/>
      <c r="D1858" s="10"/>
      <c r="E1858" s="10"/>
      <c r="F1858" s="10"/>
    </row>
    <row r="1859" spans="1:7" x14ac:dyDescent="0.2">
      <c r="A1859" s="10"/>
      <c r="B1859" s="10"/>
      <c r="D1859" s="10"/>
      <c r="E1859" s="10"/>
      <c r="F1859" s="10"/>
    </row>
    <row r="1860" spans="1:7" x14ac:dyDescent="0.2">
      <c r="A1860" s="10"/>
      <c r="B1860" s="10"/>
      <c r="D1860" s="10"/>
      <c r="E1860" s="10"/>
      <c r="F1860" s="10"/>
    </row>
    <row r="1861" spans="1:7" x14ac:dyDescent="0.2">
      <c r="A1861" s="10"/>
      <c r="B1861" s="10"/>
      <c r="D1861" s="10"/>
      <c r="E1861" s="10"/>
      <c r="F1861" s="10"/>
    </row>
    <row r="1862" spans="1:7" x14ac:dyDescent="0.2">
      <c r="A1862" s="10"/>
      <c r="B1862" s="10"/>
      <c r="D1862" s="10"/>
      <c r="E1862" s="10"/>
      <c r="F1862" s="10"/>
    </row>
    <row r="1863" spans="1:7" x14ac:dyDescent="0.2">
      <c r="A1863" s="10"/>
      <c r="B1863" s="10"/>
      <c r="D1863" s="10"/>
      <c r="E1863" s="10"/>
      <c r="F1863" s="10"/>
    </row>
    <row r="1864" spans="1:7" x14ac:dyDescent="0.2">
      <c r="A1864" s="10"/>
      <c r="B1864" s="10"/>
      <c r="D1864" s="10"/>
      <c r="E1864" s="10"/>
      <c r="G1864" s="10"/>
    </row>
    <row r="1865" spans="1:7" x14ac:dyDescent="0.2">
      <c r="A1865" s="10"/>
      <c r="B1865" s="10"/>
      <c r="D1865" s="10"/>
      <c r="E1865" s="10"/>
      <c r="G1865" s="10"/>
    </row>
    <row r="1866" spans="1:7" x14ac:dyDescent="0.2">
      <c r="A1866" s="10"/>
      <c r="B1866" s="10"/>
      <c r="D1866" s="10"/>
      <c r="E1866" s="10"/>
      <c r="G1866" s="10"/>
    </row>
    <row r="1867" spans="1:7" x14ac:dyDescent="0.2">
      <c r="A1867" s="10"/>
      <c r="B1867" s="10"/>
      <c r="D1867" s="10"/>
      <c r="E1867" s="10"/>
      <c r="F1867" s="10"/>
    </row>
    <row r="1868" spans="1:7" x14ac:dyDescent="0.2">
      <c r="A1868" s="10"/>
      <c r="B1868" s="10"/>
      <c r="D1868" s="10"/>
      <c r="E1868" s="10"/>
      <c r="F1868" s="10"/>
    </row>
    <row r="1869" spans="1:7" x14ac:dyDescent="0.2">
      <c r="A1869" s="10"/>
      <c r="B1869" s="10"/>
      <c r="D1869" s="10"/>
      <c r="E1869" s="10"/>
      <c r="G1869" s="10"/>
    </row>
    <row r="1870" spans="1:7" x14ac:dyDescent="0.2">
      <c r="A1870" s="10"/>
      <c r="B1870" s="10"/>
      <c r="D1870" s="10"/>
      <c r="E1870" s="10"/>
      <c r="F1870" s="10"/>
    </row>
    <row r="1871" spans="1:7" x14ac:dyDescent="0.2">
      <c r="A1871" s="10"/>
      <c r="B1871" s="10"/>
      <c r="D1871" s="10"/>
      <c r="E1871" s="10"/>
      <c r="F1871" s="10"/>
    </row>
    <row r="1872" spans="1:7" x14ac:dyDescent="0.2">
      <c r="A1872" s="10"/>
      <c r="B1872" s="10"/>
      <c r="D1872" s="10"/>
      <c r="E1872" s="10"/>
      <c r="G1872" s="10"/>
    </row>
    <row r="1873" spans="1:7" x14ac:dyDescent="0.2">
      <c r="A1873" s="10"/>
      <c r="B1873" s="10"/>
      <c r="D1873" s="10"/>
      <c r="E1873" s="10"/>
      <c r="F1873" s="10"/>
    </row>
    <row r="1874" spans="1:7" x14ac:dyDescent="0.2">
      <c r="A1874" s="10"/>
      <c r="B1874" s="10"/>
      <c r="D1874" s="10"/>
      <c r="E1874" s="10"/>
      <c r="F1874" s="10"/>
    </row>
    <row r="1875" spans="1:7" x14ac:dyDescent="0.2">
      <c r="A1875" s="10"/>
      <c r="B1875" s="10"/>
      <c r="D1875" s="10"/>
      <c r="E1875" s="10"/>
      <c r="F1875" s="10"/>
    </row>
    <row r="1876" spans="1:7" x14ac:dyDescent="0.2">
      <c r="A1876" s="10"/>
      <c r="B1876" s="10"/>
      <c r="D1876" s="10"/>
      <c r="E1876" s="10"/>
      <c r="F1876" s="10"/>
    </row>
    <row r="1877" spans="1:7" x14ac:dyDescent="0.2">
      <c r="A1877" s="10"/>
      <c r="B1877" s="10"/>
      <c r="D1877" s="10"/>
      <c r="E1877" s="10"/>
      <c r="G1877" s="10"/>
    </row>
    <row r="1878" spans="1:7" x14ac:dyDescent="0.2">
      <c r="A1878" s="10"/>
      <c r="B1878" s="10"/>
      <c r="D1878" s="10"/>
      <c r="E1878" s="10"/>
      <c r="G1878" s="10"/>
    </row>
    <row r="1879" spans="1:7" x14ac:dyDescent="0.2">
      <c r="A1879" s="10"/>
      <c r="B1879" s="10"/>
      <c r="D1879" s="10"/>
      <c r="E1879" s="10"/>
      <c r="G1879" s="10"/>
    </row>
    <row r="1880" spans="1:7" x14ac:dyDescent="0.2">
      <c r="A1880" s="10"/>
      <c r="B1880" s="10"/>
      <c r="D1880" s="10"/>
      <c r="E1880" s="10"/>
      <c r="F1880" s="10"/>
    </row>
    <row r="1881" spans="1:7" x14ac:dyDescent="0.2">
      <c r="A1881" s="10"/>
      <c r="B1881" s="10"/>
      <c r="D1881" s="10"/>
      <c r="E1881" s="10"/>
      <c r="F1881" s="10"/>
    </row>
    <row r="1882" spans="1:7" x14ac:dyDescent="0.2">
      <c r="A1882" s="10"/>
      <c r="B1882" s="10"/>
      <c r="D1882" s="10"/>
      <c r="E1882" s="10"/>
      <c r="F1882" s="10"/>
    </row>
    <row r="1883" spans="1:7" x14ac:dyDescent="0.2">
      <c r="A1883" s="10"/>
      <c r="B1883" s="10"/>
      <c r="D1883" s="10"/>
      <c r="E1883" s="10"/>
      <c r="F1883" s="10"/>
    </row>
    <row r="1884" spans="1:7" x14ac:dyDescent="0.2">
      <c r="A1884" s="10"/>
      <c r="B1884" s="10"/>
      <c r="D1884" s="10"/>
      <c r="E1884" s="10"/>
      <c r="F1884" s="10"/>
    </row>
    <row r="1885" spans="1:7" x14ac:dyDescent="0.2">
      <c r="A1885" s="10"/>
      <c r="B1885" s="10"/>
      <c r="D1885" s="10"/>
      <c r="E1885" s="10"/>
      <c r="F1885" s="10"/>
    </row>
    <row r="1886" spans="1:7" x14ac:dyDescent="0.2">
      <c r="A1886" s="10"/>
      <c r="B1886" s="10"/>
      <c r="D1886" s="10"/>
      <c r="E1886" s="10"/>
      <c r="G1886" s="10"/>
    </row>
    <row r="1887" spans="1:7" x14ac:dyDescent="0.2">
      <c r="A1887" s="10"/>
      <c r="B1887" s="10"/>
      <c r="D1887" s="10"/>
      <c r="E1887" s="10"/>
      <c r="G1887" s="10"/>
    </row>
    <row r="1888" spans="1:7" x14ac:dyDescent="0.2">
      <c r="A1888" s="10"/>
      <c r="B1888" s="10"/>
      <c r="D1888" s="10"/>
      <c r="E1888" s="10"/>
      <c r="G1888" s="10"/>
    </row>
    <row r="1889" spans="1:7" x14ac:dyDescent="0.2">
      <c r="A1889" s="10"/>
      <c r="B1889" s="10"/>
      <c r="D1889" s="10"/>
      <c r="E1889" s="10"/>
      <c r="G1889" s="10"/>
    </row>
    <row r="1890" spans="1:7" x14ac:dyDescent="0.2">
      <c r="A1890" s="10"/>
      <c r="B1890" s="10"/>
      <c r="D1890" s="10"/>
      <c r="E1890" s="10"/>
      <c r="G1890" s="10"/>
    </row>
    <row r="1891" spans="1:7" x14ac:dyDescent="0.2">
      <c r="A1891" s="10"/>
      <c r="B1891" s="10"/>
      <c r="D1891" s="10"/>
      <c r="E1891" s="10"/>
      <c r="F1891" s="10"/>
    </row>
    <row r="1892" spans="1:7" x14ac:dyDescent="0.2">
      <c r="A1892" s="10"/>
      <c r="B1892" s="10"/>
      <c r="D1892" s="10"/>
      <c r="E1892" s="10"/>
      <c r="F1892" s="10"/>
    </row>
    <row r="1893" spans="1:7" x14ac:dyDescent="0.2">
      <c r="A1893" s="10"/>
      <c r="B1893" s="10"/>
      <c r="D1893" s="10"/>
      <c r="E1893" s="10"/>
      <c r="F1893" s="10"/>
    </row>
    <row r="1894" spans="1:7" x14ac:dyDescent="0.2">
      <c r="A1894" s="10"/>
      <c r="B1894" s="10"/>
      <c r="D1894" s="10"/>
      <c r="E1894" s="10"/>
      <c r="F1894" s="10"/>
    </row>
    <row r="1895" spans="1:7" x14ac:dyDescent="0.2">
      <c r="A1895" s="10"/>
      <c r="B1895" s="10"/>
      <c r="D1895" s="10"/>
      <c r="E1895" s="10"/>
      <c r="G1895" s="10"/>
    </row>
    <row r="1896" spans="1:7" x14ac:dyDescent="0.2">
      <c r="A1896" s="10"/>
      <c r="B1896" s="10"/>
      <c r="D1896" s="10"/>
      <c r="E1896" s="10"/>
      <c r="G1896" s="10"/>
    </row>
    <row r="1897" spans="1:7" x14ac:dyDescent="0.2">
      <c r="A1897" s="10"/>
      <c r="B1897" s="10"/>
      <c r="D1897" s="10"/>
      <c r="E1897" s="10"/>
      <c r="G1897" s="10"/>
    </row>
    <row r="1898" spans="1:7" x14ac:dyDescent="0.2">
      <c r="A1898" s="10"/>
      <c r="B1898" s="10"/>
      <c r="D1898" s="10"/>
      <c r="E1898" s="10"/>
      <c r="G1898" s="10"/>
    </row>
    <row r="1899" spans="1:7" x14ac:dyDescent="0.2">
      <c r="A1899" s="10"/>
      <c r="B1899" s="10"/>
      <c r="D1899" s="10"/>
      <c r="E1899" s="10"/>
      <c r="G1899" s="10"/>
    </row>
    <row r="1900" spans="1:7" x14ac:dyDescent="0.2">
      <c r="A1900" s="10"/>
      <c r="B1900" s="10"/>
      <c r="D1900" s="10"/>
      <c r="E1900" s="10"/>
      <c r="F1900" s="10"/>
    </row>
    <row r="1901" spans="1:7" x14ac:dyDescent="0.2">
      <c r="A1901" s="10"/>
      <c r="B1901" s="10"/>
      <c r="D1901" s="10"/>
      <c r="E1901" s="10"/>
      <c r="F1901" s="10"/>
    </row>
    <row r="1902" spans="1:7" x14ac:dyDescent="0.2">
      <c r="A1902" s="10"/>
      <c r="B1902" s="10"/>
      <c r="D1902" s="10"/>
      <c r="E1902" s="10"/>
      <c r="F1902" s="10"/>
    </row>
    <row r="1903" spans="1:7" x14ac:dyDescent="0.2">
      <c r="A1903" s="10"/>
      <c r="B1903" s="10"/>
      <c r="D1903" s="10"/>
      <c r="E1903" s="10"/>
      <c r="F1903" s="10"/>
    </row>
    <row r="1904" spans="1:7" x14ac:dyDescent="0.2">
      <c r="A1904" s="10"/>
      <c r="B1904" s="10"/>
      <c r="D1904" s="10"/>
      <c r="E1904" s="10"/>
      <c r="G1904" s="10"/>
    </row>
    <row r="1905" spans="1:7" x14ac:dyDescent="0.2">
      <c r="A1905" s="10"/>
      <c r="B1905" s="10"/>
      <c r="D1905" s="10"/>
      <c r="E1905" s="10"/>
      <c r="G1905" s="10"/>
    </row>
    <row r="1906" spans="1:7" x14ac:dyDescent="0.2">
      <c r="A1906" s="10"/>
      <c r="B1906" s="10"/>
      <c r="D1906" s="10"/>
      <c r="E1906" s="10"/>
      <c r="G1906" s="10"/>
    </row>
    <row r="1907" spans="1:7" x14ac:dyDescent="0.2">
      <c r="A1907" s="10"/>
      <c r="B1907" s="10"/>
      <c r="D1907" s="10"/>
      <c r="E1907" s="10"/>
      <c r="G1907" s="10"/>
    </row>
    <row r="1908" spans="1:7" x14ac:dyDescent="0.2">
      <c r="A1908" s="10"/>
      <c r="B1908" s="10"/>
      <c r="D1908" s="10"/>
      <c r="E1908" s="10"/>
      <c r="G1908" s="10"/>
    </row>
    <row r="1909" spans="1:7" x14ac:dyDescent="0.2">
      <c r="A1909" s="10"/>
      <c r="B1909" s="10"/>
      <c r="D1909" s="10"/>
      <c r="E1909" s="10"/>
      <c r="F1909" s="10"/>
    </row>
    <row r="1910" spans="1:7" x14ac:dyDescent="0.2">
      <c r="A1910" s="10"/>
      <c r="B1910" s="10"/>
      <c r="D1910" s="10"/>
      <c r="E1910" s="10"/>
      <c r="F1910" s="10"/>
    </row>
    <row r="1911" spans="1:7" x14ac:dyDescent="0.2">
      <c r="A1911" s="10"/>
      <c r="B1911" s="10"/>
      <c r="D1911" s="10"/>
      <c r="E1911" s="10"/>
      <c r="F1911" s="10"/>
    </row>
    <row r="1912" spans="1:7" x14ac:dyDescent="0.2">
      <c r="A1912" s="10"/>
      <c r="B1912" s="10"/>
      <c r="D1912" s="10"/>
      <c r="E1912" s="10"/>
      <c r="F1912" s="10"/>
    </row>
    <row r="1913" spans="1:7" x14ac:dyDescent="0.2">
      <c r="A1913" s="10"/>
      <c r="B1913" s="10"/>
      <c r="D1913" s="10"/>
      <c r="E1913" s="10"/>
      <c r="G1913" s="10"/>
    </row>
    <row r="1914" spans="1:7" x14ac:dyDescent="0.2">
      <c r="A1914" s="10"/>
      <c r="B1914" s="10"/>
      <c r="D1914" s="10"/>
      <c r="E1914" s="10"/>
      <c r="G1914" s="10"/>
    </row>
    <row r="1915" spans="1:7" x14ac:dyDescent="0.2">
      <c r="A1915" s="10"/>
      <c r="B1915" s="10"/>
      <c r="D1915" s="10"/>
      <c r="E1915" s="10"/>
      <c r="F1915" s="10"/>
    </row>
    <row r="1916" spans="1:7" x14ac:dyDescent="0.2">
      <c r="A1916" s="10"/>
      <c r="B1916" s="10"/>
      <c r="D1916" s="10"/>
      <c r="E1916" s="10"/>
      <c r="F1916" s="10"/>
    </row>
    <row r="1917" spans="1:7" x14ac:dyDescent="0.2">
      <c r="A1917" s="10"/>
      <c r="B1917" s="10"/>
      <c r="D1917" s="10"/>
      <c r="E1917" s="10"/>
      <c r="F1917" s="10"/>
    </row>
    <row r="1918" spans="1:7" x14ac:dyDescent="0.2">
      <c r="A1918" s="10"/>
      <c r="B1918" s="10"/>
      <c r="D1918" s="10"/>
      <c r="E1918" s="10"/>
      <c r="F1918" s="10"/>
    </row>
    <row r="1919" spans="1:7" x14ac:dyDescent="0.2">
      <c r="A1919" s="10"/>
      <c r="B1919" s="10"/>
      <c r="D1919" s="10"/>
      <c r="E1919" s="10"/>
      <c r="F1919" s="10"/>
    </row>
    <row r="1920" spans="1:7" x14ac:dyDescent="0.2">
      <c r="A1920" s="10"/>
      <c r="B1920" s="10"/>
      <c r="D1920" s="10"/>
      <c r="E1920" s="10"/>
      <c r="G1920" s="10"/>
    </row>
    <row r="1921" spans="1:7" x14ac:dyDescent="0.2">
      <c r="A1921" s="10"/>
      <c r="B1921" s="10"/>
      <c r="D1921" s="10"/>
      <c r="E1921" s="10"/>
      <c r="G1921" s="10"/>
    </row>
    <row r="1922" spans="1:7" x14ac:dyDescent="0.2">
      <c r="A1922" s="10"/>
      <c r="B1922" s="10"/>
      <c r="D1922" s="10"/>
      <c r="E1922" s="10"/>
      <c r="G1922" s="10"/>
    </row>
    <row r="1923" spans="1:7" x14ac:dyDescent="0.2">
      <c r="A1923" s="10"/>
      <c r="B1923" s="10"/>
      <c r="D1923" s="10"/>
      <c r="E1923" s="10"/>
      <c r="F1923" s="10"/>
    </row>
    <row r="1924" spans="1:7" x14ac:dyDescent="0.2">
      <c r="A1924" s="10"/>
      <c r="B1924" s="10"/>
      <c r="D1924" s="10"/>
      <c r="E1924" s="10"/>
      <c r="F1924" s="10"/>
    </row>
    <row r="1925" spans="1:7" x14ac:dyDescent="0.2">
      <c r="A1925" s="10"/>
      <c r="B1925" s="10"/>
      <c r="D1925" s="10"/>
      <c r="E1925" s="10"/>
      <c r="F1925" s="10"/>
    </row>
    <row r="1926" spans="1:7" x14ac:dyDescent="0.2">
      <c r="A1926" s="10"/>
      <c r="B1926" s="10"/>
      <c r="D1926" s="10"/>
      <c r="E1926" s="10"/>
      <c r="F1926" s="10"/>
    </row>
    <row r="1927" spans="1:7" x14ac:dyDescent="0.2">
      <c r="A1927" s="10"/>
      <c r="B1927" s="10"/>
      <c r="D1927" s="10"/>
      <c r="E1927" s="10"/>
      <c r="F1927" s="10"/>
    </row>
    <row r="1928" spans="1:7" x14ac:dyDescent="0.2">
      <c r="A1928" s="10"/>
      <c r="B1928" s="10"/>
      <c r="D1928" s="10"/>
      <c r="E1928" s="10"/>
      <c r="F1928" s="10"/>
    </row>
    <row r="1929" spans="1:7" x14ac:dyDescent="0.2">
      <c r="A1929" s="10"/>
      <c r="B1929" s="10"/>
      <c r="D1929" s="10"/>
      <c r="E1929" s="10"/>
      <c r="F1929" s="10"/>
    </row>
    <row r="1930" spans="1:7" x14ac:dyDescent="0.2">
      <c r="A1930" s="10"/>
      <c r="B1930" s="10"/>
      <c r="D1930" s="10"/>
      <c r="E1930" s="10"/>
      <c r="F1930" s="10"/>
    </row>
    <row r="1931" spans="1:7" x14ac:dyDescent="0.2">
      <c r="A1931" s="10"/>
      <c r="B1931" s="10"/>
      <c r="D1931" s="10"/>
      <c r="E1931" s="10"/>
      <c r="F1931" s="10"/>
    </row>
    <row r="1932" spans="1:7" x14ac:dyDescent="0.2">
      <c r="A1932" s="10"/>
      <c r="B1932" s="10"/>
      <c r="D1932" s="10"/>
      <c r="E1932" s="10"/>
      <c r="F1932" s="10"/>
    </row>
    <row r="1933" spans="1:7" x14ac:dyDescent="0.2">
      <c r="A1933" s="10"/>
      <c r="B1933" s="10"/>
      <c r="D1933" s="10"/>
      <c r="E1933" s="10"/>
      <c r="F1933" s="10"/>
    </row>
    <row r="1934" spans="1:7" x14ac:dyDescent="0.2">
      <c r="A1934" s="10"/>
      <c r="B1934" s="10"/>
      <c r="D1934" s="10"/>
      <c r="E1934" s="10"/>
      <c r="F1934" s="10"/>
    </row>
    <row r="1935" spans="1:7" x14ac:dyDescent="0.2">
      <c r="A1935" s="10"/>
      <c r="B1935" s="10"/>
      <c r="D1935" s="10"/>
      <c r="E1935" s="10"/>
      <c r="G1935" s="10"/>
    </row>
    <row r="1936" spans="1:7" x14ac:dyDescent="0.2">
      <c r="A1936" s="10"/>
      <c r="B1936" s="10"/>
      <c r="D1936" s="10"/>
      <c r="E1936" s="10"/>
      <c r="F1936" s="10"/>
    </row>
    <row r="1937" spans="1:7" x14ac:dyDescent="0.2">
      <c r="A1937" s="10"/>
      <c r="B1937" s="10"/>
      <c r="D1937" s="10"/>
      <c r="E1937" s="10"/>
      <c r="G1937" s="10"/>
    </row>
    <row r="1938" spans="1:7" x14ac:dyDescent="0.2">
      <c r="A1938" s="10"/>
      <c r="B1938" s="10"/>
      <c r="D1938" s="10"/>
      <c r="E1938" s="10"/>
      <c r="G1938" s="10"/>
    </row>
    <row r="1939" spans="1:7" x14ac:dyDescent="0.2">
      <c r="A1939" s="10"/>
      <c r="B1939" s="10"/>
      <c r="D1939" s="10"/>
      <c r="E1939" s="10"/>
      <c r="G1939" s="10"/>
    </row>
    <row r="1940" spans="1:7" x14ac:dyDescent="0.2">
      <c r="A1940" s="10"/>
      <c r="B1940" s="10"/>
      <c r="D1940" s="10"/>
      <c r="E1940" s="10"/>
      <c r="G1940" s="10"/>
    </row>
    <row r="1941" spans="1:7" x14ac:dyDescent="0.2">
      <c r="A1941" s="10"/>
      <c r="B1941" s="10"/>
      <c r="D1941" s="10"/>
      <c r="E1941" s="10"/>
      <c r="F1941" s="10"/>
    </row>
    <row r="1942" spans="1:7" x14ac:dyDescent="0.2">
      <c r="A1942" s="10"/>
      <c r="B1942" s="10"/>
      <c r="D1942" s="10"/>
      <c r="E1942" s="10"/>
      <c r="F1942" s="10"/>
    </row>
    <row r="1943" spans="1:7" x14ac:dyDescent="0.2">
      <c r="A1943" s="10"/>
      <c r="B1943" s="10"/>
      <c r="D1943" s="10"/>
      <c r="E1943" s="10"/>
      <c r="F1943" s="10"/>
    </row>
    <row r="1944" spans="1:7" x14ac:dyDescent="0.2">
      <c r="A1944" s="10"/>
      <c r="B1944" s="10"/>
      <c r="D1944" s="10"/>
      <c r="E1944" s="10"/>
      <c r="F1944" s="10"/>
    </row>
    <row r="1945" spans="1:7" x14ac:dyDescent="0.2">
      <c r="A1945" s="10"/>
      <c r="B1945" s="10"/>
      <c r="D1945" s="10"/>
      <c r="E1945" s="10"/>
      <c r="G1945" s="10"/>
    </row>
    <row r="1946" spans="1:7" x14ac:dyDescent="0.2">
      <c r="A1946" s="10"/>
      <c r="B1946" s="10"/>
      <c r="D1946" s="10"/>
      <c r="E1946" s="10"/>
      <c r="F1946" s="10"/>
    </row>
    <row r="1947" spans="1:7" x14ac:dyDescent="0.2">
      <c r="A1947" s="10"/>
      <c r="B1947" s="10"/>
      <c r="D1947" s="10"/>
      <c r="E1947" s="10"/>
      <c r="F1947" s="10"/>
    </row>
    <row r="1948" spans="1:7" x14ac:dyDescent="0.2">
      <c r="A1948" s="10"/>
      <c r="B1948" s="10"/>
      <c r="D1948" s="10"/>
      <c r="E1948" s="10"/>
      <c r="G1948" s="10"/>
    </row>
    <row r="1949" spans="1:7" x14ac:dyDescent="0.2">
      <c r="A1949" s="10"/>
      <c r="B1949" s="10"/>
      <c r="D1949" s="10"/>
      <c r="E1949" s="10"/>
      <c r="G1949" s="10"/>
    </row>
    <row r="1950" spans="1:7" x14ac:dyDescent="0.2">
      <c r="A1950" s="10"/>
      <c r="B1950" s="10"/>
      <c r="D1950" s="10"/>
      <c r="E1950" s="10"/>
      <c r="F1950" s="10"/>
    </row>
    <row r="1951" spans="1:7" x14ac:dyDescent="0.2">
      <c r="A1951" s="10"/>
      <c r="B1951" s="10"/>
      <c r="D1951" s="10"/>
      <c r="E1951" s="10"/>
      <c r="F1951" s="10"/>
    </row>
    <row r="1952" spans="1:7" x14ac:dyDescent="0.2">
      <c r="A1952" s="10"/>
      <c r="B1952" s="10"/>
      <c r="D1952" s="10"/>
      <c r="E1952" s="10"/>
      <c r="G1952" s="10"/>
    </row>
    <row r="1953" spans="1:7" x14ac:dyDescent="0.2">
      <c r="A1953" s="10"/>
      <c r="B1953" s="10"/>
      <c r="D1953" s="10"/>
      <c r="E1953" s="10"/>
      <c r="G1953" s="10"/>
    </row>
    <row r="1954" spans="1:7" x14ac:dyDescent="0.2">
      <c r="A1954" s="10"/>
      <c r="B1954" s="10"/>
      <c r="D1954" s="10"/>
      <c r="E1954" s="10"/>
      <c r="G1954" s="10"/>
    </row>
    <row r="1955" spans="1:7" x14ac:dyDescent="0.2">
      <c r="A1955" s="10"/>
      <c r="B1955" s="10"/>
      <c r="D1955" s="10"/>
      <c r="E1955" s="10"/>
      <c r="G1955" s="10"/>
    </row>
    <row r="1956" spans="1:7" x14ac:dyDescent="0.2">
      <c r="A1956" s="10"/>
      <c r="B1956" s="10"/>
      <c r="D1956" s="10"/>
      <c r="E1956" s="10"/>
      <c r="G1956" s="10"/>
    </row>
    <row r="1957" spans="1:7" x14ac:dyDescent="0.2">
      <c r="A1957" s="10"/>
      <c r="B1957" s="10"/>
      <c r="D1957" s="10"/>
      <c r="E1957" s="10"/>
      <c r="G1957" s="10"/>
    </row>
    <row r="1958" spans="1:7" x14ac:dyDescent="0.2">
      <c r="A1958" s="10"/>
      <c r="B1958" s="10"/>
      <c r="D1958" s="10"/>
      <c r="E1958" s="10"/>
      <c r="G1958" s="10"/>
    </row>
    <row r="1959" spans="1:7" x14ac:dyDescent="0.2">
      <c r="A1959" s="10"/>
      <c r="B1959" s="10"/>
      <c r="D1959" s="10"/>
      <c r="E1959" s="10"/>
      <c r="G1959" s="10"/>
    </row>
    <row r="1960" spans="1:7" x14ac:dyDescent="0.2">
      <c r="A1960" s="10"/>
      <c r="B1960" s="10"/>
      <c r="D1960" s="10"/>
      <c r="E1960" s="10"/>
      <c r="G1960" s="10"/>
    </row>
    <row r="1961" spans="1:7" x14ac:dyDescent="0.2">
      <c r="A1961" s="10"/>
      <c r="B1961" s="10"/>
      <c r="D1961" s="10"/>
      <c r="E1961" s="10"/>
      <c r="G1961" s="10"/>
    </row>
    <row r="1962" spans="1:7" x14ac:dyDescent="0.2">
      <c r="A1962" s="10"/>
      <c r="B1962" s="10"/>
      <c r="D1962" s="10"/>
      <c r="E1962" s="10"/>
      <c r="G1962" s="10"/>
    </row>
    <row r="1963" spans="1:7" x14ac:dyDescent="0.2">
      <c r="A1963" s="10"/>
      <c r="B1963" s="10"/>
      <c r="D1963" s="10"/>
      <c r="E1963" s="10"/>
      <c r="G1963" s="10"/>
    </row>
    <row r="1964" spans="1:7" x14ac:dyDescent="0.2">
      <c r="A1964" s="10"/>
      <c r="B1964" s="10"/>
      <c r="D1964" s="10"/>
      <c r="E1964" s="10"/>
      <c r="G1964" s="10"/>
    </row>
    <row r="1965" spans="1:7" x14ac:dyDescent="0.2">
      <c r="A1965" s="10"/>
      <c r="B1965" s="10"/>
      <c r="D1965" s="10"/>
      <c r="E1965" s="10"/>
      <c r="F1965" s="10"/>
    </row>
    <row r="1966" spans="1:7" x14ac:dyDescent="0.2">
      <c r="A1966" s="10"/>
      <c r="B1966" s="10"/>
      <c r="D1966" s="10"/>
      <c r="E1966" s="10"/>
      <c r="F1966" s="10"/>
    </row>
    <row r="1967" spans="1:7" x14ac:dyDescent="0.2">
      <c r="A1967" s="10"/>
      <c r="B1967" s="10"/>
      <c r="D1967" s="10"/>
      <c r="E1967" s="10"/>
      <c r="G1967" s="10"/>
    </row>
    <row r="1968" spans="1:7" x14ac:dyDescent="0.2">
      <c r="A1968" s="10"/>
      <c r="B1968" s="10"/>
      <c r="D1968" s="10"/>
      <c r="E1968" s="10"/>
      <c r="G1968" s="10"/>
    </row>
    <row r="1969" spans="1:7" x14ac:dyDescent="0.2">
      <c r="A1969" s="10"/>
      <c r="B1969" s="10"/>
      <c r="D1969" s="10"/>
      <c r="E1969" s="10"/>
      <c r="F1969" s="10"/>
    </row>
    <row r="1970" spans="1:7" x14ac:dyDescent="0.2">
      <c r="A1970" s="10"/>
      <c r="B1970" s="10"/>
      <c r="D1970" s="10"/>
      <c r="E1970" s="10"/>
      <c r="F1970" s="10"/>
    </row>
    <row r="1971" spans="1:7" x14ac:dyDescent="0.2">
      <c r="A1971" s="10"/>
      <c r="B1971" s="10"/>
      <c r="D1971" s="10"/>
      <c r="E1971" s="10"/>
      <c r="F1971" s="10"/>
    </row>
    <row r="1972" spans="1:7" x14ac:dyDescent="0.2">
      <c r="A1972" s="10"/>
      <c r="B1972" s="10"/>
      <c r="D1972" s="10"/>
      <c r="E1972" s="10"/>
      <c r="F1972" s="10"/>
    </row>
    <row r="1973" spans="1:7" x14ac:dyDescent="0.2">
      <c r="A1973" s="10"/>
      <c r="B1973" s="10"/>
      <c r="D1973" s="10"/>
      <c r="E1973" s="10"/>
      <c r="F1973" s="10"/>
    </row>
    <row r="1974" spans="1:7" x14ac:dyDescent="0.2">
      <c r="A1974" s="10"/>
      <c r="B1974" s="10"/>
      <c r="D1974" s="10"/>
      <c r="E1974" s="10"/>
      <c r="F1974" s="10"/>
    </row>
    <row r="1975" spans="1:7" x14ac:dyDescent="0.2">
      <c r="A1975" s="10"/>
      <c r="B1975" s="10"/>
      <c r="D1975" s="10"/>
      <c r="E1975" s="10"/>
      <c r="F1975" s="10"/>
    </row>
    <row r="1976" spans="1:7" x14ac:dyDescent="0.2">
      <c r="A1976" s="10"/>
      <c r="B1976" s="10"/>
      <c r="D1976" s="10"/>
      <c r="E1976" s="10"/>
      <c r="G1976" s="10"/>
    </row>
    <row r="1977" spans="1:7" x14ac:dyDescent="0.2">
      <c r="A1977" s="10"/>
      <c r="B1977" s="10"/>
      <c r="D1977" s="10"/>
      <c r="E1977" s="10"/>
      <c r="G1977" s="10"/>
    </row>
    <row r="1978" spans="1:7" x14ac:dyDescent="0.2">
      <c r="A1978" s="10"/>
      <c r="B1978" s="10"/>
      <c r="D1978" s="10"/>
      <c r="E1978" s="10"/>
      <c r="G1978" s="10"/>
    </row>
    <row r="1979" spans="1:7" x14ac:dyDescent="0.2">
      <c r="A1979" s="10"/>
      <c r="B1979" s="10"/>
      <c r="D1979" s="10"/>
      <c r="E1979" s="10"/>
      <c r="F1979" s="10"/>
    </row>
    <row r="1980" spans="1:7" x14ac:dyDescent="0.2">
      <c r="A1980" s="10"/>
      <c r="B1980" s="10"/>
      <c r="D1980" s="10"/>
      <c r="E1980" s="10"/>
      <c r="G1980" s="10"/>
    </row>
    <row r="1981" spans="1:7" x14ac:dyDescent="0.2">
      <c r="A1981" s="10"/>
      <c r="B1981" s="10"/>
      <c r="D1981" s="10"/>
      <c r="E1981" s="10"/>
      <c r="G1981" s="10"/>
    </row>
    <row r="1982" spans="1:7" x14ac:dyDescent="0.2">
      <c r="A1982" s="10"/>
      <c r="B1982" s="10"/>
      <c r="D1982" s="10"/>
      <c r="E1982" s="10"/>
      <c r="F1982" s="10"/>
    </row>
    <row r="1983" spans="1:7" x14ac:dyDescent="0.2">
      <c r="A1983" s="10"/>
      <c r="B1983" s="10"/>
      <c r="D1983" s="10"/>
      <c r="E1983" s="10"/>
      <c r="F1983" s="10"/>
    </row>
    <row r="1984" spans="1:7" x14ac:dyDescent="0.2">
      <c r="A1984" s="10"/>
      <c r="B1984" s="10"/>
      <c r="D1984" s="10"/>
      <c r="E1984" s="10"/>
      <c r="F1984" s="10"/>
    </row>
    <row r="1985" spans="1:7" x14ac:dyDescent="0.2">
      <c r="A1985" s="10"/>
      <c r="B1985" s="10"/>
      <c r="D1985" s="10"/>
      <c r="E1985" s="10"/>
      <c r="F1985" s="10"/>
    </row>
    <row r="1986" spans="1:7" x14ac:dyDescent="0.2">
      <c r="A1986" s="10"/>
      <c r="B1986" s="10"/>
      <c r="D1986" s="10"/>
      <c r="E1986" s="10"/>
      <c r="F1986" s="10"/>
    </row>
    <row r="1987" spans="1:7" x14ac:dyDescent="0.2">
      <c r="A1987" s="10"/>
      <c r="B1987" s="10"/>
      <c r="D1987" s="10"/>
      <c r="E1987" s="10"/>
      <c r="F1987" s="10"/>
    </row>
    <row r="1988" spans="1:7" x14ac:dyDescent="0.2">
      <c r="A1988" s="10"/>
      <c r="B1988" s="10"/>
      <c r="D1988" s="10"/>
      <c r="E1988" s="10"/>
      <c r="F1988" s="10"/>
    </row>
    <row r="1989" spans="1:7" x14ac:dyDescent="0.2">
      <c r="A1989" s="10"/>
      <c r="B1989" s="10"/>
      <c r="D1989" s="10"/>
      <c r="E1989" s="10"/>
      <c r="G1989" s="10"/>
    </row>
    <row r="1990" spans="1:7" x14ac:dyDescent="0.2">
      <c r="A1990" s="10"/>
      <c r="B1990" s="10"/>
      <c r="D1990" s="10"/>
      <c r="E1990" s="10"/>
      <c r="G1990" s="10"/>
    </row>
    <row r="1991" spans="1:7" x14ac:dyDescent="0.2">
      <c r="A1991" s="10"/>
      <c r="B1991" s="10"/>
      <c r="D1991" s="10"/>
      <c r="E1991" s="10"/>
      <c r="F1991" s="10"/>
    </row>
    <row r="1992" spans="1:7" x14ac:dyDescent="0.2">
      <c r="A1992" s="10"/>
      <c r="B1992" s="10"/>
      <c r="D1992" s="10"/>
      <c r="E1992" s="10"/>
      <c r="G1992" s="10"/>
    </row>
    <row r="1993" spans="1:7" x14ac:dyDescent="0.2">
      <c r="A1993" s="10"/>
      <c r="B1993" s="10"/>
      <c r="D1993" s="10"/>
      <c r="E1993" s="10"/>
      <c r="G1993" s="10"/>
    </row>
    <row r="1994" spans="1:7" x14ac:dyDescent="0.2">
      <c r="A1994" s="10"/>
      <c r="B1994" s="10"/>
      <c r="D1994" s="10"/>
      <c r="E1994" s="10"/>
      <c r="G1994" s="10"/>
    </row>
    <row r="1995" spans="1:7" x14ac:dyDescent="0.2">
      <c r="A1995" s="10"/>
      <c r="B1995" s="10"/>
      <c r="D1995" s="10"/>
      <c r="E1995" s="10"/>
      <c r="F1995" s="10"/>
    </row>
    <row r="1996" spans="1:7" x14ac:dyDescent="0.2">
      <c r="A1996" s="10"/>
      <c r="B1996" s="10"/>
      <c r="D1996" s="10"/>
      <c r="E1996" s="10"/>
      <c r="F1996" s="10"/>
    </row>
    <row r="1997" spans="1:7" x14ac:dyDescent="0.2">
      <c r="A1997" s="10"/>
      <c r="B1997" s="10"/>
      <c r="D1997" s="10"/>
      <c r="E1997" s="10"/>
      <c r="F1997" s="10"/>
    </row>
    <row r="1998" spans="1:7" x14ac:dyDescent="0.2">
      <c r="A1998" s="10"/>
      <c r="B1998" s="10"/>
      <c r="D1998" s="10"/>
      <c r="E1998" s="10"/>
      <c r="F1998" s="10"/>
    </row>
    <row r="1999" spans="1:7" x14ac:dyDescent="0.2">
      <c r="A1999" s="10"/>
      <c r="B1999" s="10"/>
      <c r="D1999" s="10"/>
      <c r="E1999" s="10"/>
      <c r="F1999" s="10"/>
    </row>
    <row r="2000" spans="1:7" x14ac:dyDescent="0.2">
      <c r="A2000" s="10"/>
      <c r="B2000" s="10"/>
      <c r="D2000" s="10"/>
      <c r="E2000" s="10"/>
      <c r="F2000" s="10"/>
    </row>
    <row r="2001" spans="1:7" x14ac:dyDescent="0.2">
      <c r="A2001" s="10"/>
      <c r="B2001" s="10"/>
      <c r="D2001" s="10"/>
      <c r="E2001" s="10"/>
      <c r="F2001" s="10"/>
    </row>
    <row r="2002" spans="1:7" x14ac:dyDescent="0.2">
      <c r="A2002" s="10"/>
      <c r="B2002" s="10"/>
      <c r="D2002" s="10"/>
      <c r="E2002" s="10"/>
      <c r="G2002" s="10"/>
    </row>
    <row r="2003" spans="1:7" x14ac:dyDescent="0.2">
      <c r="A2003" s="10"/>
      <c r="B2003" s="10"/>
      <c r="D2003" s="10"/>
      <c r="E2003" s="10"/>
      <c r="G2003" s="10"/>
    </row>
    <row r="2004" spans="1:7" x14ac:dyDescent="0.2">
      <c r="A2004" s="10"/>
      <c r="B2004" s="10"/>
      <c r="D2004" s="10"/>
      <c r="E2004" s="10"/>
      <c r="G2004" s="10"/>
    </row>
    <row r="2005" spans="1:7" x14ac:dyDescent="0.2">
      <c r="A2005" s="10"/>
      <c r="B2005" s="10"/>
      <c r="D2005" s="10"/>
      <c r="E2005" s="10"/>
      <c r="G2005" s="10"/>
    </row>
    <row r="2006" spans="1:7" x14ac:dyDescent="0.2">
      <c r="A2006" s="10"/>
      <c r="B2006" s="10"/>
      <c r="D2006" s="10"/>
      <c r="E2006" s="10"/>
      <c r="F2006" s="10"/>
    </row>
    <row r="2007" spans="1:7" x14ac:dyDescent="0.2">
      <c r="A2007" s="10"/>
      <c r="B2007" s="10"/>
      <c r="D2007" s="10"/>
      <c r="E2007" s="10"/>
      <c r="F2007" s="10"/>
    </row>
    <row r="2008" spans="1:7" x14ac:dyDescent="0.2">
      <c r="A2008" s="10"/>
      <c r="B2008" s="10"/>
      <c r="D2008" s="10"/>
      <c r="E2008" s="10"/>
      <c r="F2008" s="10"/>
    </row>
    <row r="2009" spans="1:7" x14ac:dyDescent="0.2">
      <c r="A2009" s="10"/>
      <c r="B2009" s="10"/>
      <c r="D2009" s="10"/>
      <c r="E2009" s="10"/>
      <c r="G2009" s="10"/>
    </row>
    <row r="2010" spans="1:7" x14ac:dyDescent="0.2">
      <c r="A2010" s="10"/>
      <c r="B2010" s="10"/>
      <c r="D2010" s="10"/>
      <c r="E2010" s="10"/>
      <c r="G2010" s="10"/>
    </row>
    <row r="2011" spans="1:7" x14ac:dyDescent="0.2">
      <c r="A2011" s="10"/>
      <c r="B2011" s="10"/>
      <c r="D2011" s="10"/>
      <c r="E2011" s="10"/>
      <c r="G2011" s="10"/>
    </row>
    <row r="2012" spans="1:7" x14ac:dyDescent="0.2">
      <c r="A2012" s="10"/>
      <c r="B2012" s="10"/>
      <c r="D2012" s="10"/>
      <c r="E2012" s="10"/>
      <c r="G2012" s="10"/>
    </row>
    <row r="2013" spans="1:7" x14ac:dyDescent="0.2">
      <c r="A2013" s="10"/>
      <c r="B2013" s="10"/>
      <c r="D2013" s="10"/>
      <c r="E2013" s="10"/>
      <c r="G2013" s="10"/>
    </row>
    <row r="2014" spans="1:7" x14ac:dyDescent="0.2">
      <c r="A2014" s="10"/>
      <c r="B2014" s="10"/>
      <c r="D2014" s="10"/>
      <c r="E2014" s="10"/>
      <c r="G2014" s="10"/>
    </row>
    <row r="2015" spans="1:7" x14ac:dyDescent="0.2">
      <c r="A2015" s="10"/>
      <c r="B2015" s="10"/>
      <c r="D2015" s="10"/>
      <c r="E2015" s="10"/>
      <c r="G2015" s="10"/>
    </row>
    <row r="2016" spans="1:7" x14ac:dyDescent="0.2">
      <c r="A2016" s="10"/>
      <c r="B2016" s="10"/>
      <c r="D2016" s="10"/>
      <c r="E2016" s="10"/>
      <c r="G2016" s="10"/>
    </row>
    <row r="2017" spans="1:6" x14ac:dyDescent="0.2">
      <c r="A2017" s="10"/>
      <c r="B2017" s="10"/>
      <c r="D2017" s="10"/>
      <c r="E2017" s="10"/>
      <c r="F2017" s="10"/>
    </row>
    <row r="2018" spans="1:6" x14ac:dyDescent="0.2">
      <c r="A2018" s="10"/>
      <c r="B2018" s="10"/>
      <c r="D2018" s="10"/>
      <c r="E2018" s="10"/>
      <c r="F2018" s="10"/>
    </row>
    <row r="2019" spans="1:6" x14ac:dyDescent="0.2">
      <c r="A2019" s="10"/>
      <c r="B2019" s="10"/>
      <c r="D2019" s="10"/>
      <c r="E2019" s="10"/>
      <c r="F2019" s="10"/>
    </row>
    <row r="2020" spans="1:6" x14ac:dyDescent="0.2">
      <c r="A2020" s="10"/>
      <c r="B2020" s="10"/>
      <c r="D2020" s="10"/>
      <c r="E2020" s="10"/>
      <c r="F2020" s="10"/>
    </row>
    <row r="2021" spans="1:6" x14ac:dyDescent="0.2">
      <c r="A2021" s="10"/>
      <c r="B2021" s="10"/>
      <c r="D2021" s="10"/>
      <c r="E2021" s="10"/>
      <c r="F2021" s="10"/>
    </row>
    <row r="2022" spans="1:6" x14ac:dyDescent="0.2">
      <c r="A2022" s="10"/>
      <c r="B2022" s="10"/>
      <c r="D2022" s="10"/>
      <c r="E2022" s="10"/>
      <c r="F2022" s="10"/>
    </row>
    <row r="2023" spans="1:6" x14ac:dyDescent="0.2">
      <c r="A2023" s="10"/>
      <c r="B2023" s="10"/>
      <c r="D2023" s="10"/>
      <c r="E2023" s="10"/>
      <c r="F2023" s="10"/>
    </row>
    <row r="2024" spans="1:6" x14ac:dyDescent="0.2">
      <c r="A2024" s="10"/>
      <c r="B2024" s="10"/>
      <c r="D2024" s="10"/>
      <c r="E2024" s="10"/>
      <c r="F2024" s="10"/>
    </row>
    <row r="2025" spans="1:6" x14ac:dyDescent="0.2">
      <c r="A2025" s="10"/>
      <c r="B2025" s="10"/>
      <c r="D2025" s="10"/>
      <c r="E2025" s="10"/>
      <c r="F2025" s="10"/>
    </row>
    <row r="2026" spans="1:6" x14ac:dyDescent="0.2">
      <c r="A2026" s="10"/>
      <c r="B2026" s="10"/>
      <c r="D2026" s="10"/>
      <c r="E2026" s="10"/>
      <c r="F2026" s="10"/>
    </row>
    <row r="2027" spans="1:6" x14ac:dyDescent="0.2">
      <c r="A2027" s="10"/>
      <c r="B2027" s="10"/>
      <c r="D2027" s="10"/>
      <c r="E2027" s="10"/>
      <c r="F2027" s="10"/>
    </row>
    <row r="2028" spans="1:6" x14ac:dyDescent="0.2">
      <c r="A2028" s="10"/>
      <c r="B2028" s="10"/>
      <c r="D2028" s="10"/>
      <c r="E2028" s="10"/>
      <c r="F2028" s="10"/>
    </row>
    <row r="2029" spans="1:6" x14ac:dyDescent="0.2">
      <c r="A2029" s="10"/>
      <c r="B2029" s="10"/>
      <c r="D2029" s="10"/>
      <c r="E2029" s="10"/>
      <c r="F2029" s="10"/>
    </row>
    <row r="2030" spans="1:6" x14ac:dyDescent="0.2">
      <c r="A2030" s="10"/>
      <c r="B2030" s="10"/>
      <c r="D2030" s="10"/>
      <c r="E2030" s="10"/>
      <c r="F2030" s="10"/>
    </row>
    <row r="2031" spans="1:6" x14ac:dyDescent="0.2">
      <c r="A2031" s="10"/>
      <c r="B2031" s="10"/>
      <c r="D2031" s="10"/>
      <c r="E2031" s="10"/>
      <c r="F2031" s="10"/>
    </row>
    <row r="2032" spans="1:6" x14ac:dyDescent="0.2">
      <c r="A2032" s="10"/>
      <c r="B2032" s="10"/>
      <c r="D2032" s="10"/>
      <c r="E2032" s="10"/>
      <c r="F2032" s="10"/>
    </row>
    <row r="2033" spans="1:7" x14ac:dyDescent="0.2">
      <c r="A2033" s="10"/>
      <c r="B2033" s="10"/>
      <c r="D2033" s="10"/>
      <c r="E2033" s="10"/>
      <c r="F2033" s="10"/>
    </row>
    <row r="2034" spans="1:7" x14ac:dyDescent="0.2">
      <c r="A2034" s="10"/>
      <c r="B2034" s="10"/>
      <c r="D2034" s="10"/>
      <c r="E2034" s="10"/>
      <c r="G2034" s="10"/>
    </row>
    <row r="2035" spans="1:7" x14ac:dyDescent="0.2">
      <c r="A2035" s="10"/>
      <c r="B2035" s="10"/>
      <c r="D2035" s="10"/>
      <c r="E2035" s="10"/>
      <c r="G2035" s="10"/>
    </row>
    <row r="2036" spans="1:7" x14ac:dyDescent="0.2">
      <c r="A2036" s="10"/>
      <c r="B2036" s="10"/>
      <c r="D2036" s="10"/>
      <c r="E2036" s="10"/>
      <c r="G2036" s="10"/>
    </row>
    <row r="2037" spans="1:7" x14ac:dyDescent="0.2">
      <c r="A2037" s="10"/>
      <c r="B2037" s="10"/>
      <c r="D2037" s="10"/>
      <c r="E2037" s="10"/>
      <c r="G2037" s="10"/>
    </row>
    <row r="2038" spans="1:7" x14ac:dyDescent="0.2">
      <c r="A2038" s="10"/>
      <c r="B2038" s="10"/>
      <c r="D2038" s="10"/>
      <c r="E2038" s="10"/>
      <c r="G2038" s="10"/>
    </row>
    <row r="2039" spans="1:7" x14ac:dyDescent="0.2">
      <c r="A2039" s="10"/>
      <c r="B2039" s="10"/>
      <c r="D2039" s="10"/>
      <c r="E2039" s="10"/>
      <c r="G2039" s="10"/>
    </row>
    <row r="2040" spans="1:7" x14ac:dyDescent="0.2">
      <c r="A2040" s="10"/>
      <c r="B2040" s="10"/>
      <c r="D2040" s="10"/>
      <c r="E2040" s="10"/>
      <c r="G2040" s="10"/>
    </row>
    <row r="2041" spans="1:7" x14ac:dyDescent="0.2">
      <c r="A2041" s="10"/>
      <c r="B2041" s="10"/>
      <c r="D2041" s="10"/>
      <c r="E2041" s="10"/>
      <c r="F2041" s="10"/>
    </row>
    <row r="2042" spans="1:7" x14ac:dyDescent="0.2">
      <c r="A2042" s="10"/>
      <c r="B2042" s="10"/>
      <c r="D2042" s="10"/>
      <c r="E2042" s="10"/>
      <c r="F2042" s="10"/>
    </row>
    <row r="2043" spans="1:7" x14ac:dyDescent="0.2">
      <c r="A2043" s="10"/>
      <c r="B2043" s="10"/>
      <c r="D2043" s="10"/>
      <c r="E2043" s="10"/>
      <c r="F2043" s="10"/>
    </row>
    <row r="2044" spans="1:7" x14ac:dyDescent="0.2">
      <c r="A2044" s="10"/>
      <c r="B2044" s="10"/>
      <c r="D2044" s="10"/>
      <c r="E2044" s="10"/>
      <c r="F2044" s="10"/>
    </row>
    <row r="2045" spans="1:7" x14ac:dyDescent="0.2">
      <c r="A2045" s="10"/>
      <c r="B2045" s="10"/>
      <c r="D2045" s="10"/>
      <c r="E2045" s="10"/>
      <c r="G2045" s="10"/>
    </row>
    <row r="2046" spans="1:7" x14ac:dyDescent="0.2">
      <c r="A2046" s="10"/>
      <c r="B2046" s="10"/>
      <c r="D2046" s="10"/>
      <c r="E2046" s="10"/>
      <c r="G2046" s="10"/>
    </row>
    <row r="2047" spans="1:7" x14ac:dyDescent="0.2">
      <c r="A2047" s="10"/>
      <c r="B2047" s="10"/>
      <c r="D2047" s="10"/>
      <c r="E2047" s="10"/>
      <c r="F2047" s="10"/>
    </row>
    <row r="2048" spans="1:7" x14ac:dyDescent="0.2">
      <c r="A2048" s="10"/>
      <c r="B2048" s="10"/>
      <c r="D2048" s="10"/>
      <c r="E2048" s="10"/>
      <c r="F2048" s="10"/>
    </row>
    <row r="2049" spans="1:7" x14ac:dyDescent="0.2">
      <c r="A2049" s="10"/>
      <c r="B2049" s="10"/>
      <c r="D2049" s="10"/>
      <c r="E2049" s="10"/>
      <c r="F2049" s="10"/>
    </row>
    <row r="2050" spans="1:7" x14ac:dyDescent="0.2">
      <c r="A2050" s="10"/>
      <c r="B2050" s="10"/>
      <c r="D2050" s="10"/>
      <c r="E2050" s="10"/>
      <c r="F2050" s="10"/>
    </row>
    <row r="2051" spans="1:7" x14ac:dyDescent="0.2">
      <c r="A2051" s="10"/>
      <c r="B2051" s="10"/>
      <c r="D2051" s="10"/>
      <c r="E2051" s="10"/>
      <c r="F2051" s="10"/>
    </row>
    <row r="2052" spans="1:7" x14ac:dyDescent="0.2">
      <c r="A2052" s="10"/>
      <c r="B2052" s="10"/>
      <c r="D2052" s="10"/>
      <c r="E2052" s="10"/>
      <c r="G2052" s="10"/>
    </row>
    <row r="2053" spans="1:7" x14ac:dyDescent="0.2">
      <c r="A2053" s="10"/>
      <c r="B2053" s="10"/>
      <c r="D2053" s="10"/>
      <c r="E2053" s="10"/>
      <c r="F2053" s="10"/>
    </row>
    <row r="2054" spans="1:7" x14ac:dyDescent="0.2">
      <c r="A2054" s="10"/>
      <c r="B2054" s="10"/>
      <c r="D2054" s="10"/>
      <c r="E2054" s="10"/>
      <c r="F2054" s="10"/>
    </row>
    <row r="2055" spans="1:7" x14ac:dyDescent="0.2">
      <c r="A2055" s="10"/>
      <c r="B2055" s="10"/>
      <c r="D2055" s="10"/>
      <c r="E2055" s="10"/>
      <c r="F2055" s="10"/>
    </row>
    <row r="2056" spans="1:7" x14ac:dyDescent="0.2">
      <c r="A2056" s="10"/>
      <c r="B2056" s="10"/>
      <c r="D2056" s="10"/>
      <c r="E2056" s="10"/>
      <c r="G2056" s="10"/>
    </row>
    <row r="2057" spans="1:7" x14ac:dyDescent="0.2">
      <c r="A2057" s="10"/>
      <c r="B2057" s="10"/>
      <c r="D2057" s="10"/>
      <c r="E2057" s="10"/>
      <c r="G2057" s="10"/>
    </row>
    <row r="2058" spans="1:7" x14ac:dyDescent="0.2">
      <c r="A2058" s="10"/>
      <c r="B2058" s="10"/>
      <c r="D2058" s="10"/>
      <c r="E2058" s="10"/>
      <c r="G2058" s="10"/>
    </row>
    <row r="2059" spans="1:7" x14ac:dyDescent="0.2">
      <c r="A2059" s="10"/>
      <c r="B2059" s="10"/>
      <c r="D2059" s="10"/>
      <c r="E2059" s="10"/>
      <c r="G2059" s="10"/>
    </row>
    <row r="2060" spans="1:7" x14ac:dyDescent="0.2">
      <c r="A2060" s="10"/>
      <c r="B2060" s="10"/>
      <c r="D2060" s="10"/>
      <c r="E2060" s="10"/>
      <c r="G2060" s="10"/>
    </row>
    <row r="2061" spans="1:7" x14ac:dyDescent="0.2">
      <c r="A2061" s="10"/>
      <c r="B2061" s="10"/>
      <c r="D2061" s="10"/>
      <c r="E2061" s="10"/>
      <c r="G2061" s="10"/>
    </row>
    <row r="2062" spans="1:7" x14ac:dyDescent="0.2">
      <c r="A2062" s="10"/>
      <c r="B2062" s="10"/>
      <c r="D2062" s="10"/>
      <c r="E2062" s="10"/>
      <c r="G2062" s="10"/>
    </row>
    <row r="2063" spans="1:7" x14ac:dyDescent="0.2">
      <c r="A2063" s="10"/>
      <c r="B2063" s="10"/>
      <c r="D2063" s="10"/>
      <c r="E2063" s="10"/>
      <c r="G2063" s="10"/>
    </row>
    <row r="2064" spans="1:7" x14ac:dyDescent="0.2">
      <c r="A2064" s="10"/>
      <c r="B2064" s="10"/>
      <c r="D2064" s="10"/>
      <c r="E2064" s="10"/>
      <c r="G2064" s="10"/>
    </row>
    <row r="2065" spans="1:7" x14ac:dyDescent="0.2">
      <c r="A2065" s="10"/>
      <c r="B2065" s="10"/>
      <c r="D2065" s="10"/>
      <c r="E2065" s="10"/>
      <c r="G2065" s="10"/>
    </row>
    <row r="2066" spans="1:7" x14ac:dyDescent="0.2">
      <c r="A2066" s="10"/>
      <c r="B2066" s="10"/>
      <c r="D2066" s="10"/>
      <c r="E2066" s="10"/>
      <c r="F2066" s="10"/>
    </row>
    <row r="2067" spans="1:7" x14ac:dyDescent="0.2">
      <c r="A2067" s="10"/>
      <c r="B2067" s="10"/>
      <c r="D2067" s="10"/>
      <c r="E2067" s="10"/>
      <c r="F2067" s="10"/>
    </row>
    <row r="2068" spans="1:7" x14ac:dyDescent="0.2">
      <c r="A2068" s="10"/>
      <c r="B2068" s="10"/>
      <c r="D2068" s="10"/>
      <c r="E2068" s="10"/>
      <c r="F2068" s="10"/>
    </row>
    <row r="2069" spans="1:7" x14ac:dyDescent="0.2">
      <c r="A2069" s="10"/>
      <c r="B2069" s="10"/>
      <c r="D2069" s="10"/>
      <c r="E2069" s="10"/>
      <c r="F2069" s="10"/>
    </row>
    <row r="2070" spans="1:7" x14ac:dyDescent="0.2">
      <c r="A2070" s="10"/>
      <c r="B2070" s="10"/>
      <c r="D2070" s="10"/>
      <c r="E2070" s="10"/>
      <c r="F2070" s="10"/>
    </row>
    <row r="2071" spans="1:7" x14ac:dyDescent="0.2">
      <c r="A2071" s="10"/>
      <c r="B2071" s="10"/>
      <c r="D2071" s="10"/>
      <c r="E2071" s="10"/>
      <c r="F2071" s="10"/>
    </row>
    <row r="2072" spans="1:7" x14ac:dyDescent="0.2">
      <c r="A2072" s="10"/>
      <c r="B2072" s="10"/>
      <c r="D2072" s="10"/>
      <c r="E2072" s="10"/>
      <c r="F2072" s="10"/>
    </row>
    <row r="2073" spans="1:7" x14ac:dyDescent="0.2">
      <c r="A2073" s="10"/>
      <c r="B2073" s="10"/>
      <c r="D2073" s="10"/>
      <c r="E2073" s="10"/>
      <c r="F2073" s="10"/>
    </row>
    <row r="2074" spans="1:7" x14ac:dyDescent="0.2">
      <c r="A2074" s="10"/>
      <c r="B2074" s="10"/>
      <c r="D2074" s="10"/>
      <c r="E2074" s="10"/>
      <c r="F2074" s="10"/>
    </row>
    <row r="2075" spans="1:7" x14ac:dyDescent="0.2">
      <c r="A2075" s="10"/>
      <c r="B2075" s="10"/>
      <c r="D2075" s="10"/>
      <c r="E2075" s="10"/>
      <c r="F2075" s="10"/>
    </row>
    <row r="2076" spans="1:7" x14ac:dyDescent="0.2">
      <c r="A2076" s="10"/>
      <c r="B2076" s="10"/>
      <c r="D2076" s="10"/>
      <c r="E2076" s="10"/>
      <c r="G2076" s="10"/>
    </row>
    <row r="2077" spans="1:7" x14ac:dyDescent="0.2">
      <c r="A2077" s="10"/>
      <c r="B2077" s="10"/>
      <c r="D2077" s="10"/>
      <c r="E2077" s="10"/>
      <c r="G2077" s="10"/>
    </row>
    <row r="2078" spans="1:7" x14ac:dyDescent="0.2">
      <c r="A2078" s="10"/>
      <c r="B2078" s="10"/>
      <c r="D2078" s="10"/>
      <c r="E2078" s="10"/>
      <c r="G2078" s="10"/>
    </row>
    <row r="2079" spans="1:7" x14ac:dyDescent="0.2">
      <c r="A2079" s="10"/>
      <c r="B2079" s="10"/>
      <c r="D2079" s="10"/>
      <c r="E2079" s="10"/>
      <c r="F2079" s="10"/>
    </row>
    <row r="2080" spans="1:7" x14ac:dyDescent="0.2">
      <c r="A2080" s="10"/>
      <c r="B2080" s="10"/>
      <c r="D2080" s="10"/>
      <c r="E2080" s="10"/>
      <c r="F2080" s="10"/>
    </row>
    <row r="2081" spans="1:7" x14ac:dyDescent="0.2">
      <c r="A2081" s="10"/>
      <c r="B2081" s="10"/>
      <c r="D2081" s="10"/>
      <c r="E2081" s="10"/>
      <c r="F2081" s="10"/>
    </row>
    <row r="2082" spans="1:7" x14ac:dyDescent="0.2">
      <c r="A2082" s="10"/>
      <c r="B2082" s="10"/>
      <c r="D2082" s="10"/>
      <c r="E2082" s="10"/>
      <c r="G2082" s="10"/>
    </row>
    <row r="2083" spans="1:7" x14ac:dyDescent="0.2">
      <c r="A2083" s="10"/>
      <c r="B2083" s="10"/>
      <c r="D2083" s="10"/>
      <c r="E2083" s="10"/>
      <c r="F2083" s="10"/>
    </row>
    <row r="2084" spans="1:7" x14ac:dyDescent="0.2">
      <c r="A2084" s="10"/>
      <c r="B2084" s="10"/>
      <c r="D2084" s="10"/>
      <c r="E2084" s="10"/>
      <c r="F2084" s="10"/>
    </row>
    <row r="2085" spans="1:7" x14ac:dyDescent="0.2">
      <c r="A2085" s="10"/>
      <c r="B2085" s="10"/>
      <c r="D2085" s="10"/>
      <c r="E2085" s="10"/>
      <c r="G2085" s="10"/>
    </row>
    <row r="2086" spans="1:7" x14ac:dyDescent="0.2">
      <c r="A2086" s="10"/>
      <c r="B2086" s="10"/>
      <c r="D2086" s="10"/>
      <c r="E2086" s="10"/>
      <c r="G2086" s="10"/>
    </row>
    <row r="2087" spans="1:7" x14ac:dyDescent="0.2">
      <c r="A2087" s="10"/>
      <c r="B2087" s="10"/>
      <c r="D2087" s="10"/>
      <c r="E2087" s="10"/>
      <c r="G2087" s="10"/>
    </row>
    <row r="2088" spans="1:7" x14ac:dyDescent="0.2">
      <c r="A2088" s="10"/>
      <c r="B2088" s="10"/>
      <c r="D2088" s="10"/>
      <c r="E2088" s="10"/>
      <c r="G2088" s="10"/>
    </row>
    <row r="2089" spans="1:7" x14ac:dyDescent="0.2">
      <c r="A2089" s="10"/>
      <c r="B2089" s="10"/>
      <c r="D2089" s="10"/>
      <c r="E2089" s="10"/>
      <c r="F2089" s="10"/>
    </row>
    <row r="2090" spans="1:7" x14ac:dyDescent="0.2">
      <c r="A2090" s="10"/>
      <c r="B2090" s="10"/>
      <c r="D2090" s="10"/>
      <c r="E2090" s="10"/>
      <c r="F2090" s="10"/>
    </row>
    <row r="2091" spans="1:7" x14ac:dyDescent="0.2">
      <c r="A2091" s="10"/>
      <c r="B2091" s="10"/>
      <c r="D2091" s="10"/>
      <c r="E2091" s="10"/>
      <c r="F2091" s="10"/>
    </row>
    <row r="2092" spans="1:7" x14ac:dyDescent="0.2">
      <c r="A2092" s="10"/>
      <c r="B2092" s="10"/>
      <c r="D2092" s="10"/>
      <c r="E2092" s="10"/>
      <c r="G2092" s="10"/>
    </row>
    <row r="2093" spans="1:7" x14ac:dyDescent="0.2">
      <c r="A2093" s="10"/>
      <c r="B2093" s="10"/>
      <c r="D2093" s="10"/>
      <c r="E2093" s="10"/>
      <c r="G2093" s="10"/>
    </row>
    <row r="2094" spans="1:7" x14ac:dyDescent="0.2">
      <c r="A2094" s="10"/>
      <c r="B2094" s="10"/>
      <c r="D2094" s="10"/>
      <c r="E2094" s="10"/>
      <c r="G2094" s="10"/>
    </row>
    <row r="2095" spans="1:7" x14ac:dyDescent="0.2">
      <c r="A2095" s="10"/>
      <c r="B2095" s="10"/>
      <c r="D2095" s="10"/>
      <c r="E2095" s="10"/>
      <c r="F2095" s="10"/>
    </row>
    <row r="2096" spans="1:7" x14ac:dyDescent="0.2">
      <c r="A2096" s="10"/>
      <c r="B2096" s="10"/>
      <c r="D2096" s="10"/>
      <c r="E2096" s="10"/>
      <c r="F2096" s="10"/>
    </row>
    <row r="2097" spans="1:7" x14ac:dyDescent="0.2">
      <c r="A2097" s="10"/>
      <c r="B2097" s="10"/>
      <c r="D2097" s="10"/>
      <c r="E2097" s="10"/>
      <c r="G2097" s="10"/>
    </row>
    <row r="2098" spans="1:7" x14ac:dyDescent="0.2">
      <c r="A2098" s="10"/>
      <c r="B2098" s="10"/>
      <c r="D2098" s="10"/>
      <c r="E2098" s="10"/>
      <c r="G2098" s="10"/>
    </row>
    <row r="2099" spans="1:7" x14ac:dyDescent="0.2">
      <c r="A2099" s="10"/>
      <c r="B2099" s="10"/>
      <c r="D2099" s="10"/>
      <c r="E2099" s="10"/>
      <c r="F2099" s="10"/>
    </row>
    <row r="2100" spans="1:7" x14ac:dyDescent="0.2">
      <c r="A2100" s="10"/>
      <c r="B2100" s="10"/>
      <c r="D2100" s="10"/>
      <c r="E2100" s="10"/>
      <c r="F2100" s="10"/>
    </row>
    <row r="2101" spans="1:7" x14ac:dyDescent="0.2">
      <c r="A2101" s="10"/>
      <c r="B2101" s="10"/>
      <c r="D2101" s="10"/>
      <c r="E2101" s="10"/>
      <c r="F2101" s="10"/>
    </row>
    <row r="2102" spans="1:7" x14ac:dyDescent="0.2">
      <c r="A2102" s="10"/>
      <c r="B2102" s="10"/>
      <c r="D2102" s="10"/>
      <c r="E2102" s="10"/>
      <c r="F2102" s="10"/>
    </row>
    <row r="2103" spans="1:7" x14ac:dyDescent="0.2">
      <c r="A2103" s="10"/>
      <c r="B2103" s="10"/>
      <c r="D2103" s="10"/>
      <c r="E2103" s="10"/>
      <c r="F2103" s="10"/>
    </row>
    <row r="2104" spans="1:7" x14ac:dyDescent="0.2">
      <c r="A2104" s="10"/>
      <c r="B2104" s="10"/>
      <c r="D2104" s="10"/>
      <c r="E2104" s="10"/>
      <c r="F2104" s="10"/>
    </row>
    <row r="2105" spans="1:7" x14ac:dyDescent="0.2">
      <c r="A2105" s="10"/>
      <c r="B2105" s="10"/>
      <c r="D2105" s="10"/>
      <c r="E2105" s="10"/>
      <c r="F2105" s="10"/>
    </row>
    <row r="2106" spans="1:7" x14ac:dyDescent="0.2">
      <c r="A2106" s="10"/>
      <c r="B2106" s="10"/>
      <c r="D2106" s="10"/>
      <c r="E2106" s="10"/>
      <c r="F2106" s="10"/>
    </row>
    <row r="2107" spans="1:7" x14ac:dyDescent="0.2">
      <c r="A2107" s="10"/>
      <c r="B2107" s="10"/>
      <c r="D2107" s="10"/>
      <c r="E2107" s="10"/>
      <c r="F2107" s="10"/>
    </row>
    <row r="2108" spans="1:7" x14ac:dyDescent="0.2">
      <c r="A2108" s="10"/>
      <c r="B2108" s="10"/>
      <c r="D2108" s="10"/>
      <c r="E2108" s="10"/>
      <c r="F2108" s="10"/>
    </row>
    <row r="2109" spans="1:7" x14ac:dyDescent="0.2">
      <c r="A2109" s="10"/>
      <c r="B2109" s="10"/>
      <c r="D2109" s="10"/>
      <c r="E2109" s="10"/>
      <c r="G2109" s="10"/>
    </row>
    <row r="2110" spans="1:7" x14ac:dyDescent="0.2">
      <c r="A2110" s="10"/>
      <c r="B2110" s="10"/>
      <c r="D2110" s="10"/>
      <c r="E2110" s="10"/>
      <c r="G2110" s="10"/>
    </row>
    <row r="2111" spans="1:7" x14ac:dyDescent="0.2">
      <c r="A2111" s="10"/>
      <c r="B2111" s="10"/>
      <c r="D2111" s="10"/>
      <c r="E2111" s="10"/>
      <c r="G2111" s="10"/>
    </row>
    <row r="2112" spans="1:7" x14ac:dyDescent="0.2">
      <c r="A2112" s="10"/>
      <c r="B2112" s="10"/>
      <c r="D2112" s="10"/>
      <c r="E2112" s="10"/>
      <c r="G2112" s="10"/>
    </row>
    <row r="2113" spans="1:7" x14ac:dyDescent="0.2">
      <c r="A2113" s="10"/>
      <c r="B2113" s="10"/>
      <c r="D2113" s="10"/>
      <c r="E2113" s="10"/>
      <c r="G2113" s="10"/>
    </row>
    <row r="2114" spans="1:7" x14ac:dyDescent="0.2">
      <c r="A2114" s="10"/>
      <c r="B2114" s="10"/>
      <c r="D2114" s="10"/>
      <c r="E2114" s="10"/>
      <c r="G2114" s="10"/>
    </row>
    <row r="2115" spans="1:7" x14ac:dyDescent="0.2">
      <c r="A2115" s="10"/>
      <c r="B2115" s="10"/>
      <c r="D2115" s="10"/>
      <c r="E2115" s="10"/>
      <c r="G2115" s="10"/>
    </row>
    <row r="2116" spans="1:7" x14ac:dyDescent="0.2">
      <c r="A2116" s="10"/>
      <c r="B2116" s="10"/>
      <c r="D2116" s="10"/>
      <c r="E2116" s="10"/>
      <c r="G2116" s="10"/>
    </row>
    <row r="2117" spans="1:7" x14ac:dyDescent="0.2">
      <c r="A2117" s="10"/>
      <c r="B2117" s="10"/>
      <c r="D2117" s="10"/>
      <c r="E2117" s="10"/>
      <c r="G2117" s="10"/>
    </row>
    <row r="2118" spans="1:7" x14ac:dyDescent="0.2">
      <c r="A2118" s="10"/>
      <c r="B2118" s="10"/>
      <c r="D2118" s="10"/>
      <c r="E2118" s="10"/>
      <c r="G2118" s="10"/>
    </row>
    <row r="2119" spans="1:7" x14ac:dyDescent="0.2">
      <c r="A2119" s="10"/>
      <c r="B2119" s="10"/>
      <c r="D2119" s="10"/>
      <c r="E2119" s="10"/>
      <c r="F2119" s="10"/>
    </row>
    <row r="2120" spans="1:7" x14ac:dyDescent="0.2">
      <c r="A2120" s="10"/>
      <c r="B2120" s="10"/>
      <c r="D2120" s="10"/>
      <c r="E2120" s="10"/>
      <c r="F2120" s="10"/>
    </row>
    <row r="2121" spans="1:7" x14ac:dyDescent="0.2">
      <c r="A2121" s="10"/>
      <c r="B2121" s="10"/>
      <c r="D2121" s="10"/>
      <c r="E2121" s="10"/>
      <c r="F2121" s="10"/>
    </row>
    <row r="2122" spans="1:7" x14ac:dyDescent="0.2">
      <c r="A2122" s="10"/>
      <c r="B2122" s="10"/>
      <c r="D2122" s="10"/>
      <c r="E2122" s="10"/>
      <c r="F2122" s="10"/>
    </row>
    <row r="2123" spans="1:7" x14ac:dyDescent="0.2">
      <c r="A2123" s="10"/>
      <c r="B2123" s="10"/>
      <c r="D2123" s="10"/>
      <c r="E2123" s="10"/>
      <c r="F2123" s="10"/>
    </row>
    <row r="2124" spans="1:7" x14ac:dyDescent="0.2">
      <c r="A2124" s="10"/>
      <c r="B2124" s="10"/>
      <c r="D2124" s="10"/>
      <c r="E2124" s="10"/>
      <c r="F2124" s="10"/>
    </row>
    <row r="2125" spans="1:7" x14ac:dyDescent="0.2">
      <c r="A2125" s="10"/>
      <c r="B2125" s="10"/>
      <c r="D2125" s="10"/>
      <c r="E2125" s="10"/>
      <c r="F2125" s="10"/>
    </row>
    <row r="2126" spans="1:7" x14ac:dyDescent="0.2">
      <c r="A2126" s="10"/>
      <c r="B2126" s="10"/>
      <c r="D2126" s="10"/>
      <c r="E2126" s="10"/>
      <c r="F2126" s="10"/>
    </row>
    <row r="2127" spans="1:7" x14ac:dyDescent="0.2">
      <c r="A2127" s="10"/>
      <c r="B2127" s="10"/>
      <c r="D2127" s="10"/>
      <c r="E2127" s="10"/>
      <c r="F2127" s="10"/>
    </row>
    <row r="2128" spans="1:7" x14ac:dyDescent="0.2">
      <c r="A2128" s="10"/>
      <c r="B2128" s="10"/>
      <c r="D2128" s="10"/>
      <c r="E2128" s="10"/>
      <c r="F2128" s="10"/>
    </row>
    <row r="2129" spans="1:7" x14ac:dyDescent="0.2">
      <c r="A2129" s="10"/>
      <c r="B2129" s="10"/>
      <c r="D2129" s="10"/>
      <c r="E2129" s="10"/>
      <c r="F2129" s="10"/>
    </row>
    <row r="2130" spans="1:7" x14ac:dyDescent="0.2">
      <c r="A2130" s="10"/>
      <c r="B2130" s="10"/>
      <c r="D2130" s="10"/>
      <c r="E2130" s="10"/>
      <c r="F2130" s="10"/>
    </row>
    <row r="2131" spans="1:7" x14ac:dyDescent="0.2">
      <c r="A2131" s="10"/>
      <c r="B2131" s="10"/>
      <c r="D2131" s="10"/>
      <c r="E2131" s="10"/>
      <c r="F2131" s="10"/>
    </row>
    <row r="2132" spans="1:7" x14ac:dyDescent="0.2">
      <c r="A2132" s="10"/>
      <c r="B2132" s="10"/>
      <c r="D2132" s="10"/>
      <c r="E2132" s="10"/>
      <c r="F2132" s="10"/>
    </row>
    <row r="2133" spans="1:7" x14ac:dyDescent="0.2">
      <c r="A2133" s="10"/>
      <c r="B2133" s="10"/>
      <c r="D2133" s="10"/>
      <c r="E2133" s="10"/>
      <c r="G2133" s="10"/>
    </row>
    <row r="2134" spans="1:7" x14ac:dyDescent="0.2">
      <c r="A2134" s="10"/>
      <c r="B2134" s="10"/>
      <c r="D2134" s="10"/>
      <c r="E2134" s="10"/>
      <c r="G2134" s="10"/>
    </row>
    <row r="2135" spans="1:7" x14ac:dyDescent="0.2">
      <c r="A2135" s="10"/>
      <c r="B2135" s="10"/>
      <c r="D2135" s="10"/>
      <c r="E2135" s="10"/>
      <c r="G2135" s="10"/>
    </row>
    <row r="2136" spans="1:7" x14ac:dyDescent="0.2">
      <c r="A2136" s="10"/>
      <c r="B2136" s="10"/>
      <c r="D2136" s="10"/>
      <c r="E2136" s="10"/>
      <c r="G2136" s="10"/>
    </row>
    <row r="2137" spans="1:7" x14ac:dyDescent="0.2">
      <c r="A2137" s="10"/>
      <c r="B2137" s="10"/>
      <c r="D2137" s="10"/>
      <c r="E2137" s="10"/>
      <c r="F2137" s="10"/>
    </row>
    <row r="2138" spans="1:7" x14ac:dyDescent="0.2">
      <c r="A2138" s="10"/>
      <c r="B2138" s="10"/>
      <c r="D2138" s="10"/>
      <c r="E2138" s="10"/>
      <c r="F2138" s="10"/>
    </row>
    <row r="2139" spans="1:7" x14ac:dyDescent="0.2">
      <c r="A2139" s="10"/>
      <c r="B2139" s="10"/>
      <c r="D2139" s="10"/>
      <c r="E2139" s="10"/>
      <c r="F2139" s="10"/>
    </row>
    <row r="2140" spans="1:7" x14ac:dyDescent="0.2">
      <c r="A2140" s="10"/>
      <c r="B2140" s="10"/>
      <c r="D2140" s="10"/>
      <c r="E2140" s="10"/>
      <c r="F2140" s="10"/>
    </row>
    <row r="2141" spans="1:7" x14ac:dyDescent="0.2">
      <c r="A2141" s="10"/>
      <c r="B2141" s="10"/>
      <c r="D2141" s="10"/>
      <c r="E2141" s="10"/>
      <c r="G2141" s="10"/>
    </row>
    <row r="2142" spans="1:7" x14ac:dyDescent="0.2">
      <c r="A2142" s="10"/>
      <c r="B2142" s="10"/>
      <c r="D2142" s="10"/>
      <c r="E2142" s="10"/>
      <c r="F2142" s="10"/>
    </row>
    <row r="2143" spans="1:7" x14ac:dyDescent="0.2">
      <c r="A2143" s="10"/>
      <c r="B2143" s="10"/>
      <c r="D2143" s="10"/>
      <c r="E2143" s="10"/>
      <c r="F2143" s="10"/>
    </row>
    <row r="2144" spans="1:7" x14ac:dyDescent="0.2">
      <c r="A2144" s="10"/>
      <c r="B2144" s="10"/>
      <c r="D2144" s="10"/>
      <c r="E2144" s="10"/>
      <c r="F2144" s="10"/>
    </row>
    <row r="2145" spans="1:7" x14ac:dyDescent="0.2">
      <c r="A2145" s="10"/>
      <c r="B2145" s="10"/>
      <c r="D2145" s="10"/>
      <c r="E2145" s="10"/>
      <c r="F2145" s="10"/>
    </row>
    <row r="2146" spans="1:7" x14ac:dyDescent="0.2">
      <c r="A2146" s="10"/>
      <c r="B2146" s="10"/>
      <c r="D2146" s="10"/>
      <c r="E2146" s="10"/>
      <c r="F2146" s="10"/>
    </row>
    <row r="2147" spans="1:7" x14ac:dyDescent="0.2">
      <c r="A2147" s="10"/>
      <c r="B2147" s="10"/>
      <c r="D2147" s="10"/>
      <c r="E2147" s="10"/>
      <c r="G2147" s="10"/>
    </row>
    <row r="2148" spans="1:7" x14ac:dyDescent="0.2">
      <c r="A2148" s="10"/>
      <c r="B2148" s="10"/>
      <c r="D2148" s="10"/>
      <c r="E2148" s="10"/>
      <c r="G2148" s="10"/>
    </row>
    <row r="2149" spans="1:7" x14ac:dyDescent="0.2">
      <c r="A2149" s="10"/>
      <c r="B2149" s="10"/>
      <c r="D2149" s="10"/>
      <c r="E2149" s="10"/>
      <c r="G2149" s="10"/>
    </row>
    <row r="2150" spans="1:7" x14ac:dyDescent="0.2">
      <c r="A2150" s="10"/>
      <c r="B2150" s="10"/>
      <c r="D2150" s="10"/>
      <c r="E2150" s="10"/>
      <c r="G2150" s="10"/>
    </row>
    <row r="2151" spans="1:7" x14ac:dyDescent="0.2">
      <c r="A2151" s="10"/>
      <c r="B2151" s="10"/>
      <c r="D2151" s="10"/>
      <c r="E2151" s="10"/>
      <c r="G2151" s="10"/>
    </row>
    <row r="2152" spans="1:7" x14ac:dyDescent="0.2">
      <c r="A2152" s="10"/>
      <c r="B2152" s="10"/>
      <c r="D2152" s="10"/>
      <c r="E2152" s="10"/>
      <c r="G2152" s="10"/>
    </row>
    <row r="2153" spans="1:7" x14ac:dyDescent="0.2">
      <c r="A2153" s="10"/>
      <c r="B2153" s="10"/>
      <c r="D2153" s="10"/>
      <c r="E2153" s="10"/>
      <c r="F2153" s="10"/>
    </row>
    <row r="2154" spans="1:7" x14ac:dyDescent="0.2">
      <c r="A2154" s="10"/>
      <c r="B2154" s="10"/>
      <c r="D2154" s="10"/>
      <c r="E2154" s="10"/>
      <c r="G2154" s="10"/>
    </row>
    <row r="2155" spans="1:7" x14ac:dyDescent="0.2">
      <c r="A2155" s="10"/>
      <c r="B2155" s="10"/>
      <c r="D2155" s="10"/>
      <c r="E2155" s="10"/>
      <c r="F2155" s="10"/>
    </row>
    <row r="2156" spans="1:7" x14ac:dyDescent="0.2">
      <c r="A2156" s="10"/>
      <c r="B2156" s="10"/>
      <c r="D2156" s="10"/>
      <c r="E2156" s="10"/>
      <c r="F2156" s="10"/>
    </row>
    <row r="2157" spans="1:7" x14ac:dyDescent="0.2">
      <c r="A2157" s="10"/>
      <c r="B2157" s="10"/>
      <c r="D2157" s="10"/>
      <c r="E2157" s="10"/>
      <c r="F2157" s="10"/>
    </row>
    <row r="2158" spans="1:7" x14ac:dyDescent="0.2">
      <c r="A2158" s="10"/>
      <c r="B2158" s="10"/>
      <c r="D2158" s="10"/>
      <c r="E2158" s="10"/>
      <c r="F2158" s="10"/>
    </row>
    <row r="2159" spans="1:7" x14ac:dyDescent="0.2">
      <c r="A2159" s="10"/>
      <c r="B2159" s="10"/>
      <c r="D2159" s="10"/>
      <c r="E2159" s="10"/>
      <c r="G2159" s="10"/>
    </row>
    <row r="2160" spans="1:7" x14ac:dyDescent="0.2">
      <c r="A2160" s="10"/>
      <c r="B2160" s="10"/>
      <c r="D2160" s="10"/>
      <c r="E2160" s="10"/>
      <c r="G2160" s="10"/>
    </row>
    <row r="2161" spans="1:7" x14ac:dyDescent="0.2">
      <c r="A2161" s="10"/>
      <c r="B2161" s="10"/>
      <c r="D2161" s="10"/>
      <c r="E2161" s="10"/>
      <c r="G2161" s="10"/>
    </row>
    <row r="2162" spans="1:7" x14ac:dyDescent="0.2">
      <c r="A2162" s="10"/>
      <c r="B2162" s="10"/>
      <c r="D2162" s="10"/>
      <c r="E2162" s="10"/>
      <c r="G2162" s="10"/>
    </row>
    <row r="2163" spans="1:7" x14ac:dyDescent="0.2">
      <c r="A2163" s="10"/>
      <c r="B2163" s="10"/>
      <c r="D2163" s="10"/>
      <c r="E2163" s="10"/>
      <c r="G2163" s="10"/>
    </row>
    <row r="2164" spans="1:7" x14ac:dyDescent="0.2">
      <c r="A2164" s="10"/>
      <c r="B2164" s="10"/>
      <c r="D2164" s="10"/>
      <c r="E2164" s="10"/>
      <c r="G2164" s="10"/>
    </row>
    <row r="2165" spans="1:7" x14ac:dyDescent="0.2">
      <c r="A2165" s="10"/>
      <c r="B2165" s="10"/>
      <c r="D2165" s="10"/>
      <c r="E2165" s="10"/>
      <c r="F2165" s="10"/>
    </row>
    <row r="2166" spans="1:7" x14ac:dyDescent="0.2">
      <c r="A2166" s="10"/>
      <c r="B2166" s="10"/>
      <c r="D2166" s="10"/>
      <c r="E2166" s="10"/>
      <c r="F2166" s="10"/>
    </row>
    <row r="2167" spans="1:7" x14ac:dyDescent="0.2">
      <c r="A2167" s="10"/>
      <c r="B2167" s="10"/>
      <c r="D2167" s="10"/>
      <c r="E2167" s="10"/>
      <c r="F2167" s="10"/>
    </row>
    <row r="2168" spans="1:7" x14ac:dyDescent="0.2">
      <c r="A2168" s="10"/>
      <c r="B2168" s="10"/>
      <c r="D2168" s="10"/>
      <c r="E2168" s="10"/>
      <c r="F2168" s="10"/>
    </row>
    <row r="2169" spans="1:7" x14ac:dyDescent="0.2">
      <c r="A2169" s="10"/>
      <c r="B2169" s="10"/>
      <c r="D2169" s="10"/>
      <c r="E2169" s="10"/>
      <c r="F2169" s="10"/>
    </row>
    <row r="2170" spans="1:7" x14ac:dyDescent="0.2">
      <c r="A2170" s="10"/>
      <c r="B2170" s="10"/>
      <c r="D2170" s="10"/>
      <c r="E2170" s="10"/>
      <c r="G2170" s="10"/>
    </row>
    <row r="2171" spans="1:7" x14ac:dyDescent="0.2">
      <c r="A2171" s="10"/>
      <c r="B2171" s="10"/>
      <c r="D2171" s="10"/>
      <c r="E2171" s="10"/>
      <c r="G2171" s="10"/>
    </row>
    <row r="2172" spans="1:7" x14ac:dyDescent="0.2">
      <c r="A2172" s="10"/>
      <c r="B2172" s="10"/>
      <c r="D2172" s="10"/>
      <c r="E2172" s="10"/>
      <c r="G2172" s="10"/>
    </row>
    <row r="2173" spans="1:7" x14ac:dyDescent="0.2">
      <c r="A2173" s="10"/>
      <c r="B2173" s="10"/>
      <c r="D2173" s="10"/>
      <c r="E2173" s="10"/>
      <c r="F2173" s="10"/>
    </row>
    <row r="2174" spans="1:7" x14ac:dyDescent="0.2">
      <c r="A2174" s="10"/>
      <c r="B2174" s="10"/>
      <c r="D2174" s="10"/>
      <c r="E2174" s="10"/>
      <c r="G2174" s="10"/>
    </row>
    <row r="2175" spans="1:7" x14ac:dyDescent="0.2">
      <c r="A2175" s="10"/>
      <c r="B2175" s="10"/>
      <c r="D2175" s="10"/>
      <c r="E2175" s="10"/>
      <c r="G2175" s="10"/>
    </row>
    <row r="2176" spans="1:7" x14ac:dyDescent="0.2">
      <c r="A2176" s="10"/>
      <c r="B2176" s="10"/>
      <c r="D2176" s="10"/>
      <c r="E2176" s="10"/>
      <c r="F2176" s="10"/>
    </row>
    <row r="2177" spans="1:7" x14ac:dyDescent="0.2">
      <c r="A2177" s="10"/>
      <c r="B2177" s="10"/>
      <c r="D2177" s="10"/>
      <c r="E2177" s="10"/>
      <c r="G2177" s="10"/>
    </row>
    <row r="2178" spans="1:7" x14ac:dyDescent="0.2">
      <c r="A2178" s="10"/>
      <c r="B2178" s="10"/>
      <c r="D2178" s="10"/>
      <c r="E2178" s="10"/>
      <c r="F2178" s="10"/>
    </row>
    <row r="2179" spans="1:7" x14ac:dyDescent="0.2">
      <c r="A2179" s="10"/>
      <c r="B2179" s="10"/>
      <c r="D2179" s="10"/>
      <c r="E2179" s="10"/>
      <c r="F2179" s="10"/>
    </row>
    <row r="2180" spans="1:7" x14ac:dyDescent="0.2">
      <c r="A2180" s="10"/>
      <c r="B2180" s="10"/>
      <c r="D2180" s="10"/>
      <c r="E2180" s="10"/>
      <c r="F2180" s="10"/>
    </row>
    <row r="2181" spans="1:7" x14ac:dyDescent="0.2">
      <c r="A2181" s="10"/>
      <c r="B2181" s="10"/>
      <c r="D2181" s="10"/>
      <c r="E2181" s="10"/>
      <c r="F2181" s="10"/>
    </row>
    <row r="2182" spans="1:7" x14ac:dyDescent="0.2">
      <c r="A2182" s="10"/>
      <c r="B2182" s="10"/>
      <c r="D2182" s="10"/>
      <c r="E2182" s="10"/>
      <c r="F2182" s="10"/>
    </row>
    <row r="2183" spans="1:7" x14ac:dyDescent="0.2">
      <c r="A2183" s="10"/>
      <c r="B2183" s="10"/>
      <c r="D2183" s="10"/>
      <c r="E2183" s="10"/>
      <c r="F2183" s="10"/>
    </row>
    <row r="2184" spans="1:7" x14ac:dyDescent="0.2">
      <c r="A2184" s="10"/>
      <c r="B2184" s="10"/>
      <c r="D2184" s="10"/>
      <c r="E2184" s="10"/>
      <c r="G2184" s="10"/>
    </row>
    <row r="2185" spans="1:7" x14ac:dyDescent="0.2">
      <c r="A2185" s="10"/>
      <c r="B2185" s="10"/>
      <c r="D2185" s="10"/>
      <c r="E2185" s="10"/>
      <c r="G2185" s="10"/>
    </row>
    <row r="2186" spans="1:7" x14ac:dyDescent="0.2">
      <c r="A2186" s="10"/>
      <c r="B2186" s="10"/>
      <c r="D2186" s="10"/>
      <c r="E2186" s="10"/>
      <c r="F2186" s="10"/>
    </row>
    <row r="2187" spans="1:7" x14ac:dyDescent="0.2">
      <c r="A2187" s="10"/>
      <c r="B2187" s="10"/>
      <c r="D2187" s="10"/>
      <c r="E2187" s="10"/>
      <c r="G2187" s="10"/>
    </row>
    <row r="2188" spans="1:7" x14ac:dyDescent="0.2">
      <c r="A2188" s="10"/>
      <c r="B2188" s="10"/>
      <c r="D2188" s="10"/>
      <c r="E2188" s="10"/>
      <c r="G2188" s="10"/>
    </row>
    <row r="2189" spans="1:7" x14ac:dyDescent="0.2">
      <c r="A2189" s="10"/>
      <c r="B2189" s="10"/>
      <c r="D2189" s="10"/>
      <c r="E2189" s="10"/>
      <c r="G2189" s="10"/>
    </row>
    <row r="2190" spans="1:7" x14ac:dyDescent="0.2">
      <c r="A2190" s="10"/>
      <c r="B2190" s="10"/>
      <c r="D2190" s="10"/>
      <c r="E2190" s="10"/>
      <c r="F2190" s="10"/>
    </row>
    <row r="2191" spans="1:7" x14ac:dyDescent="0.2">
      <c r="A2191" s="10"/>
      <c r="B2191" s="10"/>
      <c r="D2191" s="10"/>
      <c r="E2191" s="10"/>
      <c r="F2191" s="10"/>
    </row>
    <row r="2192" spans="1:7" x14ac:dyDescent="0.2">
      <c r="A2192" s="10"/>
      <c r="B2192" s="10"/>
      <c r="D2192" s="10"/>
      <c r="E2192" s="10"/>
      <c r="F2192" s="10"/>
    </row>
    <row r="2193" spans="1:7" x14ac:dyDescent="0.2">
      <c r="A2193" s="10"/>
      <c r="B2193" s="10"/>
      <c r="D2193" s="10"/>
      <c r="E2193" s="10"/>
      <c r="F2193" s="10"/>
    </row>
    <row r="2194" spans="1:7" x14ac:dyDescent="0.2">
      <c r="A2194" s="10"/>
      <c r="B2194" s="10"/>
      <c r="D2194" s="10"/>
      <c r="E2194" s="10"/>
      <c r="G2194" s="10"/>
    </row>
    <row r="2195" spans="1:7" x14ac:dyDescent="0.2">
      <c r="A2195" s="10"/>
      <c r="B2195" s="10"/>
      <c r="D2195" s="10"/>
      <c r="E2195" s="10"/>
      <c r="G2195" s="10"/>
    </row>
    <row r="2196" spans="1:7" x14ac:dyDescent="0.2">
      <c r="A2196" s="10"/>
      <c r="B2196" s="10"/>
      <c r="D2196" s="10"/>
      <c r="E2196" s="10"/>
      <c r="G2196" s="10"/>
    </row>
    <row r="2197" spans="1:7" x14ac:dyDescent="0.2">
      <c r="A2197" s="10"/>
      <c r="B2197" s="10"/>
      <c r="D2197" s="10"/>
      <c r="E2197" s="10"/>
      <c r="G2197" s="10"/>
    </row>
    <row r="2198" spans="1:7" x14ac:dyDescent="0.2">
      <c r="A2198" s="10"/>
      <c r="B2198" s="10"/>
      <c r="D2198" s="10"/>
      <c r="E2198" s="10"/>
      <c r="G2198" s="10"/>
    </row>
    <row r="2199" spans="1:7" x14ac:dyDescent="0.2">
      <c r="A2199" s="10"/>
      <c r="B2199" s="10"/>
      <c r="D2199" s="10"/>
      <c r="E2199" s="10"/>
      <c r="G2199" s="10"/>
    </row>
    <row r="2200" spans="1:7" x14ac:dyDescent="0.2">
      <c r="A2200" s="10"/>
      <c r="B2200" s="10"/>
      <c r="D2200" s="10"/>
      <c r="E2200" s="10"/>
      <c r="G2200" s="10"/>
    </row>
    <row r="2201" spans="1:7" x14ac:dyDescent="0.2">
      <c r="A2201" s="10"/>
      <c r="B2201" s="10"/>
      <c r="D2201" s="10"/>
      <c r="E2201" s="10"/>
      <c r="F2201" s="10"/>
    </row>
    <row r="2202" spans="1:7" x14ac:dyDescent="0.2">
      <c r="A2202" s="10"/>
      <c r="B2202" s="10"/>
      <c r="D2202" s="10"/>
      <c r="E2202" s="10"/>
      <c r="F2202" s="10"/>
    </row>
    <row r="2203" spans="1:7" x14ac:dyDescent="0.2">
      <c r="A2203" s="10"/>
      <c r="B2203" s="10"/>
      <c r="D2203" s="10"/>
      <c r="E2203" s="10"/>
      <c r="F2203" s="10"/>
    </row>
    <row r="2204" spans="1:7" x14ac:dyDescent="0.2">
      <c r="A2204" s="10"/>
      <c r="B2204" s="10"/>
      <c r="D2204" s="10"/>
      <c r="E2204" s="10"/>
      <c r="F2204" s="10"/>
    </row>
    <row r="2205" spans="1:7" x14ac:dyDescent="0.2">
      <c r="A2205" s="10"/>
      <c r="B2205" s="10"/>
      <c r="D2205" s="10"/>
      <c r="E2205" s="10"/>
      <c r="G2205" s="10"/>
    </row>
    <row r="2206" spans="1:7" x14ac:dyDescent="0.2">
      <c r="A2206" s="10"/>
      <c r="B2206" s="10"/>
      <c r="D2206" s="10"/>
      <c r="E2206" s="10"/>
      <c r="G2206" s="10"/>
    </row>
    <row r="2207" spans="1:7" x14ac:dyDescent="0.2">
      <c r="A2207" s="10"/>
      <c r="B2207" s="10"/>
      <c r="D2207" s="10"/>
      <c r="E2207" s="10"/>
      <c r="G2207" s="10"/>
    </row>
    <row r="2208" spans="1:7" x14ac:dyDescent="0.2">
      <c r="A2208" s="10"/>
      <c r="B2208" s="10"/>
      <c r="D2208" s="10"/>
      <c r="E2208" s="10"/>
      <c r="F2208" s="10"/>
    </row>
    <row r="2209" spans="1:7" x14ac:dyDescent="0.2">
      <c r="A2209" s="10"/>
      <c r="B2209" s="10"/>
      <c r="D2209" s="10"/>
      <c r="E2209" s="10"/>
      <c r="F2209" s="10"/>
    </row>
    <row r="2210" spans="1:7" x14ac:dyDescent="0.2">
      <c r="A2210" s="10"/>
      <c r="B2210" s="10"/>
      <c r="D2210" s="10"/>
      <c r="E2210" s="10"/>
      <c r="F2210" s="10"/>
    </row>
    <row r="2211" spans="1:7" x14ac:dyDescent="0.2">
      <c r="A2211" s="10"/>
      <c r="B2211" s="10"/>
      <c r="D2211" s="10"/>
      <c r="E2211" s="10"/>
      <c r="F2211" s="10"/>
    </row>
    <row r="2212" spans="1:7" x14ac:dyDescent="0.2">
      <c r="A2212" s="10"/>
      <c r="B2212" s="10"/>
      <c r="D2212" s="10"/>
      <c r="E2212" s="10"/>
      <c r="F2212" s="10"/>
    </row>
    <row r="2213" spans="1:7" x14ac:dyDescent="0.2">
      <c r="A2213" s="10"/>
      <c r="B2213" s="10"/>
      <c r="D2213" s="10"/>
      <c r="E2213" s="10"/>
      <c r="F2213" s="10"/>
    </row>
    <row r="2214" spans="1:7" x14ac:dyDescent="0.2">
      <c r="A2214" s="10"/>
      <c r="B2214" s="10"/>
      <c r="D2214" s="10"/>
      <c r="E2214" s="10"/>
      <c r="F2214" s="10"/>
    </row>
    <row r="2215" spans="1:7" x14ac:dyDescent="0.2">
      <c r="A2215" s="10"/>
      <c r="B2215" s="10"/>
      <c r="D2215" s="10"/>
      <c r="E2215" s="10"/>
      <c r="F2215" s="10"/>
    </row>
    <row r="2216" spans="1:7" x14ac:dyDescent="0.2">
      <c r="A2216" s="10"/>
      <c r="B2216" s="10"/>
      <c r="D2216" s="10"/>
      <c r="E2216" s="10"/>
      <c r="F2216" s="10"/>
    </row>
    <row r="2217" spans="1:7" x14ac:dyDescent="0.2">
      <c r="A2217" s="10"/>
      <c r="B2217" s="10"/>
      <c r="D2217" s="10"/>
      <c r="E2217" s="10"/>
      <c r="F2217" s="10"/>
    </row>
    <row r="2218" spans="1:7" x14ac:dyDescent="0.2">
      <c r="A2218" s="10"/>
      <c r="B2218" s="10"/>
      <c r="D2218" s="10"/>
      <c r="E2218" s="10"/>
      <c r="F2218" s="10"/>
    </row>
    <row r="2219" spans="1:7" x14ac:dyDescent="0.2">
      <c r="A2219" s="10"/>
      <c r="B2219" s="10"/>
      <c r="D2219" s="10"/>
      <c r="E2219" s="10"/>
      <c r="F2219" s="10"/>
    </row>
    <row r="2220" spans="1:7" x14ac:dyDescent="0.2">
      <c r="A2220" s="10"/>
      <c r="B2220" s="10"/>
      <c r="D2220" s="10"/>
      <c r="E2220" s="10"/>
      <c r="G2220" s="10"/>
    </row>
    <row r="2221" spans="1:7" x14ac:dyDescent="0.2">
      <c r="A2221" s="10"/>
      <c r="B2221" s="10"/>
      <c r="D2221" s="10"/>
      <c r="E2221" s="10"/>
      <c r="G2221" s="10"/>
    </row>
    <row r="2222" spans="1:7" x14ac:dyDescent="0.2">
      <c r="A2222" s="10"/>
      <c r="B2222" s="10"/>
      <c r="D2222" s="10"/>
      <c r="E2222" s="10"/>
      <c r="G2222" s="10"/>
    </row>
    <row r="2223" spans="1:7" x14ac:dyDescent="0.2">
      <c r="A2223" s="10"/>
      <c r="B2223" s="10"/>
      <c r="D2223" s="10"/>
      <c r="E2223" s="10"/>
      <c r="F2223" s="10"/>
    </row>
    <row r="2224" spans="1:7" x14ac:dyDescent="0.2">
      <c r="A2224" s="10"/>
      <c r="B2224" s="10"/>
      <c r="D2224" s="10"/>
      <c r="E2224" s="10"/>
      <c r="F2224" s="10"/>
    </row>
    <row r="2225" spans="1:7" x14ac:dyDescent="0.2">
      <c r="A2225" s="10"/>
      <c r="B2225" s="10"/>
      <c r="D2225" s="10"/>
      <c r="E2225" s="10"/>
      <c r="G2225" s="10"/>
    </row>
    <row r="2226" spans="1:7" x14ac:dyDescent="0.2">
      <c r="A2226" s="10"/>
      <c r="B2226" s="10"/>
      <c r="D2226" s="10"/>
      <c r="E2226" s="10"/>
      <c r="G2226" s="10"/>
    </row>
    <row r="2227" spans="1:7" x14ac:dyDescent="0.2">
      <c r="A2227" s="10"/>
      <c r="B2227" s="10"/>
      <c r="D2227" s="10"/>
      <c r="E2227" s="10"/>
      <c r="G2227" s="10"/>
    </row>
    <row r="2228" spans="1:7" x14ac:dyDescent="0.2">
      <c r="A2228" s="10"/>
      <c r="B2228" s="10"/>
      <c r="D2228" s="10"/>
      <c r="E2228" s="10"/>
      <c r="F2228" s="10"/>
    </row>
    <row r="2229" spans="1:7" x14ac:dyDescent="0.2">
      <c r="A2229" s="10"/>
      <c r="B2229" s="10"/>
      <c r="D2229" s="10"/>
      <c r="E2229" s="10"/>
      <c r="F2229" s="10"/>
    </row>
    <row r="2230" spans="1:7" x14ac:dyDescent="0.2">
      <c r="A2230" s="10"/>
      <c r="B2230" s="10"/>
      <c r="D2230" s="10"/>
      <c r="E2230" s="10"/>
      <c r="F2230" s="10"/>
    </row>
    <row r="2231" spans="1:7" x14ac:dyDescent="0.2">
      <c r="A2231" s="10"/>
      <c r="B2231" s="10"/>
      <c r="D2231" s="10"/>
      <c r="E2231" s="10"/>
      <c r="F2231" s="10"/>
    </row>
    <row r="2232" spans="1:7" x14ac:dyDescent="0.2">
      <c r="A2232" s="10"/>
      <c r="B2232" s="10"/>
      <c r="D2232" s="10"/>
      <c r="E2232" s="10"/>
      <c r="F2232" s="10"/>
    </row>
    <row r="2233" spans="1:7" x14ac:dyDescent="0.2">
      <c r="A2233" s="10"/>
      <c r="B2233" s="10"/>
      <c r="D2233" s="10"/>
      <c r="E2233" s="10"/>
      <c r="F2233" s="10"/>
    </row>
    <row r="2234" spans="1:7" x14ac:dyDescent="0.2">
      <c r="A2234" s="10"/>
      <c r="B2234" s="10"/>
      <c r="D2234" s="10"/>
      <c r="E2234" s="10"/>
      <c r="F2234" s="10"/>
    </row>
    <row r="2235" spans="1:7" x14ac:dyDescent="0.2">
      <c r="A2235" s="10"/>
      <c r="B2235" s="10"/>
      <c r="D2235" s="10"/>
      <c r="E2235" s="10"/>
      <c r="F2235" s="10"/>
    </row>
    <row r="2236" spans="1:7" x14ac:dyDescent="0.2">
      <c r="A2236" s="10"/>
      <c r="B2236" s="10"/>
      <c r="D2236" s="10"/>
      <c r="E2236" s="10"/>
      <c r="G2236" s="10"/>
    </row>
    <row r="2237" spans="1:7" x14ac:dyDescent="0.2">
      <c r="A2237" s="10"/>
      <c r="B2237" s="10"/>
      <c r="D2237" s="10"/>
      <c r="E2237" s="10"/>
      <c r="G2237" s="10"/>
    </row>
    <row r="2238" spans="1:7" x14ac:dyDescent="0.2">
      <c r="A2238" s="10"/>
      <c r="B2238" s="10"/>
      <c r="D2238" s="10"/>
      <c r="E2238" s="10"/>
      <c r="G2238" s="10"/>
    </row>
    <row r="2239" spans="1:7" x14ac:dyDescent="0.2">
      <c r="A2239" s="10"/>
      <c r="B2239" s="10"/>
      <c r="D2239" s="10"/>
      <c r="E2239" s="10"/>
      <c r="F2239" s="10"/>
    </row>
    <row r="2240" spans="1:7" x14ac:dyDescent="0.2">
      <c r="A2240" s="10"/>
      <c r="B2240" s="10"/>
      <c r="D2240" s="10"/>
      <c r="E2240" s="10"/>
      <c r="F2240" s="10"/>
    </row>
    <row r="2241" spans="1:7" x14ac:dyDescent="0.2">
      <c r="A2241" s="10"/>
      <c r="B2241" s="10"/>
      <c r="D2241" s="10"/>
      <c r="E2241" s="10"/>
      <c r="G2241" s="10"/>
    </row>
    <row r="2242" spans="1:7" x14ac:dyDescent="0.2">
      <c r="A2242" s="10"/>
      <c r="B2242" s="10"/>
      <c r="D2242" s="10"/>
      <c r="E2242" s="10"/>
      <c r="G2242" s="10"/>
    </row>
    <row r="2243" spans="1:7" x14ac:dyDescent="0.2">
      <c r="A2243" s="10"/>
      <c r="B2243" s="10"/>
      <c r="D2243" s="10"/>
      <c r="E2243" s="10"/>
      <c r="F2243" s="10"/>
    </row>
    <row r="2244" spans="1:7" x14ac:dyDescent="0.2">
      <c r="A2244" s="10"/>
      <c r="B2244" s="10"/>
      <c r="D2244" s="10"/>
      <c r="E2244" s="10"/>
      <c r="F2244" s="10"/>
    </row>
    <row r="2245" spans="1:7" x14ac:dyDescent="0.2">
      <c r="A2245" s="10"/>
      <c r="B2245" s="10"/>
      <c r="D2245" s="10"/>
      <c r="E2245" s="10"/>
      <c r="F2245" s="10"/>
    </row>
    <row r="2246" spans="1:7" x14ac:dyDescent="0.2">
      <c r="A2246" s="10"/>
      <c r="B2246" s="10"/>
      <c r="D2246" s="10"/>
      <c r="E2246" s="10"/>
      <c r="F2246" s="10"/>
    </row>
    <row r="2247" spans="1:7" x14ac:dyDescent="0.2">
      <c r="A2247" s="10"/>
      <c r="B2247" s="10"/>
      <c r="D2247" s="10"/>
      <c r="E2247" s="10"/>
      <c r="G2247" s="10"/>
    </row>
    <row r="2248" spans="1:7" x14ac:dyDescent="0.2">
      <c r="A2248" s="10"/>
      <c r="B2248" s="10"/>
      <c r="D2248" s="10"/>
      <c r="E2248" s="10"/>
      <c r="F2248" s="10"/>
    </row>
    <row r="2249" spans="1:7" x14ac:dyDescent="0.2">
      <c r="A2249" s="10"/>
      <c r="B2249" s="10"/>
      <c r="D2249" s="10"/>
      <c r="E2249" s="10"/>
      <c r="F2249" s="10"/>
    </row>
    <row r="2250" spans="1:7" x14ac:dyDescent="0.2">
      <c r="A2250" s="10"/>
      <c r="B2250" s="10"/>
      <c r="D2250" s="10"/>
      <c r="E2250" s="10"/>
      <c r="F2250" s="10"/>
    </row>
    <row r="2251" spans="1:7" x14ac:dyDescent="0.2">
      <c r="A2251" s="10"/>
      <c r="B2251" s="10"/>
      <c r="D2251" s="10"/>
      <c r="E2251" s="10"/>
      <c r="G2251" s="10"/>
    </row>
    <row r="2252" spans="1:7" x14ac:dyDescent="0.2">
      <c r="A2252" s="10"/>
      <c r="B2252" s="10"/>
      <c r="D2252" s="10"/>
      <c r="E2252" s="10"/>
      <c r="G2252" s="10"/>
    </row>
    <row r="2253" spans="1:7" x14ac:dyDescent="0.2">
      <c r="A2253" s="10"/>
      <c r="B2253" s="10"/>
      <c r="D2253" s="10"/>
      <c r="E2253" s="10"/>
      <c r="G2253" s="10"/>
    </row>
    <row r="2254" spans="1:7" x14ac:dyDescent="0.2">
      <c r="A2254" s="10"/>
      <c r="B2254" s="10"/>
      <c r="D2254" s="10"/>
      <c r="E2254" s="10"/>
      <c r="G2254" s="10"/>
    </row>
    <row r="2255" spans="1:7" x14ac:dyDescent="0.2">
      <c r="A2255" s="10"/>
      <c r="B2255" s="10"/>
      <c r="D2255" s="10"/>
      <c r="E2255" s="10"/>
      <c r="G2255" s="10"/>
    </row>
    <row r="2256" spans="1:7" x14ac:dyDescent="0.2">
      <c r="A2256" s="10"/>
      <c r="B2256" s="10"/>
      <c r="D2256" s="10"/>
      <c r="E2256" s="10"/>
      <c r="G2256" s="10"/>
    </row>
    <row r="2257" spans="1:7" x14ac:dyDescent="0.2">
      <c r="A2257" s="10"/>
      <c r="B2257" s="10"/>
      <c r="D2257" s="10"/>
      <c r="E2257" s="10"/>
      <c r="G2257" s="10"/>
    </row>
    <row r="2258" spans="1:7" x14ac:dyDescent="0.2">
      <c r="A2258" s="10"/>
      <c r="B2258" s="10"/>
      <c r="D2258" s="10"/>
      <c r="E2258" s="10"/>
      <c r="G2258" s="10"/>
    </row>
    <row r="2259" spans="1:7" x14ac:dyDescent="0.2">
      <c r="A2259" s="10"/>
      <c r="B2259" s="10"/>
      <c r="D2259" s="10"/>
      <c r="E2259" s="10"/>
      <c r="G2259" s="10"/>
    </row>
    <row r="2260" spans="1:7" x14ac:dyDescent="0.2">
      <c r="A2260" s="10"/>
      <c r="B2260" s="10"/>
      <c r="D2260" s="10"/>
      <c r="E2260" s="10"/>
      <c r="G2260" s="10"/>
    </row>
    <row r="2261" spans="1:7" x14ac:dyDescent="0.2">
      <c r="A2261" s="10"/>
      <c r="B2261" s="10"/>
      <c r="D2261" s="10"/>
      <c r="E2261" s="10"/>
      <c r="G2261" s="10"/>
    </row>
    <row r="2262" spans="1:7" x14ac:dyDescent="0.2">
      <c r="A2262" s="10"/>
      <c r="B2262" s="10"/>
      <c r="D2262" s="10"/>
      <c r="E2262" s="10"/>
      <c r="F2262" s="10"/>
    </row>
    <row r="2263" spans="1:7" x14ac:dyDescent="0.2">
      <c r="A2263" s="10"/>
      <c r="B2263" s="10"/>
      <c r="D2263" s="10"/>
      <c r="E2263" s="10"/>
      <c r="F2263" s="10"/>
    </row>
    <row r="2264" spans="1:7" x14ac:dyDescent="0.2">
      <c r="A2264" s="10"/>
      <c r="B2264" s="10"/>
      <c r="D2264" s="10"/>
      <c r="E2264" s="10"/>
      <c r="F2264" s="10"/>
    </row>
    <row r="2265" spans="1:7" x14ac:dyDescent="0.2">
      <c r="A2265" s="10"/>
      <c r="B2265" s="10"/>
      <c r="D2265" s="10"/>
      <c r="E2265" s="10"/>
      <c r="F2265" s="10"/>
    </row>
    <row r="2266" spans="1:7" x14ac:dyDescent="0.2">
      <c r="A2266" s="10"/>
      <c r="B2266" s="10"/>
      <c r="D2266" s="10"/>
      <c r="E2266" s="10"/>
      <c r="F2266" s="10"/>
    </row>
    <row r="2267" spans="1:7" x14ac:dyDescent="0.2">
      <c r="A2267" s="10"/>
      <c r="B2267" s="10"/>
      <c r="D2267" s="10"/>
      <c r="E2267" s="10"/>
      <c r="F2267" s="10"/>
    </row>
    <row r="2268" spans="1:7" x14ac:dyDescent="0.2">
      <c r="A2268" s="10"/>
      <c r="B2268" s="10"/>
      <c r="D2268" s="10"/>
      <c r="E2268" s="10"/>
      <c r="F2268" s="10"/>
    </row>
    <row r="2269" spans="1:7" x14ac:dyDescent="0.2">
      <c r="A2269" s="10"/>
      <c r="B2269" s="10"/>
      <c r="D2269" s="10"/>
      <c r="E2269" s="10"/>
      <c r="F2269" s="10"/>
    </row>
    <row r="2270" spans="1:7" x14ac:dyDescent="0.2">
      <c r="A2270" s="10"/>
      <c r="B2270" s="10"/>
      <c r="D2270" s="10"/>
      <c r="E2270" s="10"/>
      <c r="F2270" s="10"/>
    </row>
    <row r="2271" spans="1:7" x14ac:dyDescent="0.2">
      <c r="A2271" s="10"/>
      <c r="B2271" s="10"/>
      <c r="D2271" s="10"/>
      <c r="E2271" s="10"/>
      <c r="F2271" s="10"/>
    </row>
    <row r="2272" spans="1:7" x14ac:dyDescent="0.2">
      <c r="A2272" s="10"/>
      <c r="B2272" s="10"/>
      <c r="D2272" s="10"/>
      <c r="E2272" s="10"/>
      <c r="F2272" s="10"/>
    </row>
    <row r="2273" spans="1:7" x14ac:dyDescent="0.2">
      <c r="A2273" s="10"/>
      <c r="B2273" s="10"/>
      <c r="D2273" s="10"/>
      <c r="E2273" s="10"/>
      <c r="G2273" s="10"/>
    </row>
    <row r="2274" spans="1:7" x14ac:dyDescent="0.2">
      <c r="A2274" s="10"/>
      <c r="B2274" s="10"/>
      <c r="D2274" s="10"/>
      <c r="E2274" s="10"/>
      <c r="G2274" s="10"/>
    </row>
    <row r="2275" spans="1:7" x14ac:dyDescent="0.2">
      <c r="A2275" s="10"/>
      <c r="B2275" s="10"/>
      <c r="D2275" s="10"/>
      <c r="E2275" s="10"/>
      <c r="G2275" s="10"/>
    </row>
    <row r="2276" spans="1:7" x14ac:dyDescent="0.2">
      <c r="A2276" s="10"/>
      <c r="B2276" s="10"/>
      <c r="D2276" s="10"/>
      <c r="E2276" s="10"/>
      <c r="G2276" s="10"/>
    </row>
    <row r="2277" spans="1:7" x14ac:dyDescent="0.2">
      <c r="A2277" s="10"/>
      <c r="B2277" s="10"/>
      <c r="D2277" s="10"/>
      <c r="E2277" s="10"/>
      <c r="G2277" s="10"/>
    </row>
    <row r="2278" spans="1:7" x14ac:dyDescent="0.2">
      <c r="A2278" s="10"/>
      <c r="B2278" s="10"/>
      <c r="D2278" s="10"/>
      <c r="E2278" s="10"/>
      <c r="G2278" s="10"/>
    </row>
    <row r="2279" spans="1:7" x14ac:dyDescent="0.2">
      <c r="A2279" s="10"/>
      <c r="B2279" s="10"/>
      <c r="D2279" s="10"/>
      <c r="E2279" s="10"/>
      <c r="F2279" s="10"/>
    </row>
    <row r="2280" spans="1:7" x14ac:dyDescent="0.2">
      <c r="A2280" s="10"/>
      <c r="B2280" s="10"/>
      <c r="D2280" s="10"/>
      <c r="E2280" s="10"/>
      <c r="F2280" s="10"/>
    </row>
    <row r="2281" spans="1:7" x14ac:dyDescent="0.2">
      <c r="A2281" s="10"/>
      <c r="B2281" s="10"/>
      <c r="D2281" s="10"/>
      <c r="E2281" s="10"/>
      <c r="G2281" s="10"/>
    </row>
    <row r="2282" spans="1:7" x14ac:dyDescent="0.2">
      <c r="A2282" s="10"/>
      <c r="B2282" s="10"/>
      <c r="D2282" s="10"/>
      <c r="E2282" s="10"/>
      <c r="G2282" s="10"/>
    </row>
    <row r="2283" spans="1:7" x14ac:dyDescent="0.2">
      <c r="A2283" s="10"/>
      <c r="B2283" s="10"/>
      <c r="D2283" s="10"/>
      <c r="E2283" s="10"/>
      <c r="F2283" s="10"/>
    </row>
    <row r="2284" spans="1:7" x14ac:dyDescent="0.2">
      <c r="A2284" s="10"/>
      <c r="B2284" s="10"/>
      <c r="D2284" s="10"/>
      <c r="E2284" s="10"/>
      <c r="F2284" s="10"/>
    </row>
    <row r="2285" spans="1:7" x14ac:dyDescent="0.2">
      <c r="A2285" s="10"/>
      <c r="B2285" s="10"/>
      <c r="D2285" s="10"/>
      <c r="E2285" s="10"/>
      <c r="G2285" s="10"/>
    </row>
    <row r="2286" spans="1:7" x14ac:dyDescent="0.2">
      <c r="A2286" s="10"/>
      <c r="B2286" s="10"/>
      <c r="D2286" s="10"/>
      <c r="E2286" s="10"/>
      <c r="F2286" s="10"/>
    </row>
    <row r="2287" spans="1:7" x14ac:dyDescent="0.2">
      <c r="A2287" s="10"/>
      <c r="B2287" s="10"/>
      <c r="D2287" s="10"/>
      <c r="E2287" s="10"/>
      <c r="G2287" s="10"/>
    </row>
    <row r="2288" spans="1:7" x14ac:dyDescent="0.2">
      <c r="A2288" s="10"/>
      <c r="B2288" s="10"/>
      <c r="D2288" s="10"/>
      <c r="E2288" s="10"/>
      <c r="G2288" s="10"/>
    </row>
    <row r="2289" spans="1:7" x14ac:dyDescent="0.2">
      <c r="A2289" s="10"/>
      <c r="B2289" s="10"/>
      <c r="D2289" s="10"/>
      <c r="E2289" s="10"/>
      <c r="G2289" s="10"/>
    </row>
    <row r="2290" spans="1:7" x14ac:dyDescent="0.2">
      <c r="A2290" s="10"/>
      <c r="B2290" s="10"/>
      <c r="D2290" s="10"/>
      <c r="E2290" s="10"/>
      <c r="G2290" s="10"/>
    </row>
    <row r="2291" spans="1:7" x14ac:dyDescent="0.2">
      <c r="A2291" s="10"/>
      <c r="B2291" s="10"/>
      <c r="D2291" s="10"/>
      <c r="E2291" s="10"/>
      <c r="G2291" s="10"/>
    </row>
    <row r="2292" spans="1:7" x14ac:dyDescent="0.2">
      <c r="A2292" s="10"/>
      <c r="B2292" s="10"/>
      <c r="D2292" s="10"/>
      <c r="E2292" s="10"/>
      <c r="G2292" s="10"/>
    </row>
    <row r="2293" spans="1:7" x14ac:dyDescent="0.2">
      <c r="A2293" s="10"/>
      <c r="B2293" s="10"/>
      <c r="D2293" s="10"/>
      <c r="E2293" s="10"/>
      <c r="F2293" s="10"/>
    </row>
    <row r="2294" spans="1:7" x14ac:dyDescent="0.2">
      <c r="A2294" s="10"/>
      <c r="B2294" s="10"/>
      <c r="D2294" s="10"/>
      <c r="E2294" s="10"/>
      <c r="F2294" s="10"/>
    </row>
    <row r="2295" spans="1:7" x14ac:dyDescent="0.2">
      <c r="A2295" s="10"/>
      <c r="B2295" s="10"/>
      <c r="D2295" s="10"/>
      <c r="E2295" s="10"/>
      <c r="F2295" s="10"/>
    </row>
    <row r="2296" spans="1:7" x14ac:dyDescent="0.2">
      <c r="A2296" s="10"/>
      <c r="B2296" s="10"/>
      <c r="D2296" s="10"/>
      <c r="E2296" s="10"/>
      <c r="F2296" s="10"/>
    </row>
    <row r="2297" spans="1:7" x14ac:dyDescent="0.2">
      <c r="A2297" s="10"/>
      <c r="B2297" s="10"/>
      <c r="D2297" s="10"/>
      <c r="E2297" s="10"/>
      <c r="F2297" s="10"/>
    </row>
    <row r="2298" spans="1:7" x14ac:dyDescent="0.2">
      <c r="A2298" s="10"/>
      <c r="B2298" s="10"/>
      <c r="D2298" s="10"/>
      <c r="E2298" s="10"/>
      <c r="F2298" s="10"/>
    </row>
    <row r="2299" spans="1:7" x14ac:dyDescent="0.2">
      <c r="A2299" s="10"/>
      <c r="B2299" s="10"/>
      <c r="D2299" s="10"/>
      <c r="E2299" s="10"/>
      <c r="F2299" s="10"/>
    </row>
    <row r="2300" spans="1:7" x14ac:dyDescent="0.2">
      <c r="A2300" s="10"/>
      <c r="B2300" s="10"/>
      <c r="D2300" s="10"/>
      <c r="E2300" s="10"/>
      <c r="G2300" s="10"/>
    </row>
    <row r="2301" spans="1:7" x14ac:dyDescent="0.2">
      <c r="A2301" s="10"/>
      <c r="B2301" s="10"/>
      <c r="D2301" s="10"/>
      <c r="E2301" s="10"/>
      <c r="G2301" s="10"/>
    </row>
    <row r="2302" spans="1:7" x14ac:dyDescent="0.2">
      <c r="A2302" s="10"/>
      <c r="B2302" s="10"/>
      <c r="D2302" s="10"/>
      <c r="E2302" s="10"/>
      <c r="F2302" s="10"/>
    </row>
    <row r="2303" spans="1:7" x14ac:dyDescent="0.2">
      <c r="A2303" s="10"/>
      <c r="B2303" s="10"/>
      <c r="D2303" s="10"/>
      <c r="E2303" s="10"/>
      <c r="G2303" s="10"/>
    </row>
    <row r="2304" spans="1:7" x14ac:dyDescent="0.2">
      <c r="A2304" s="10"/>
      <c r="B2304" s="10"/>
      <c r="D2304" s="10"/>
      <c r="E2304" s="10"/>
      <c r="F2304" s="10"/>
    </row>
    <row r="2305" spans="1:7" x14ac:dyDescent="0.2">
      <c r="A2305" s="10"/>
      <c r="B2305" s="10"/>
      <c r="D2305" s="10"/>
      <c r="E2305" s="10"/>
      <c r="F2305" s="10"/>
    </row>
    <row r="2306" spans="1:7" x14ac:dyDescent="0.2">
      <c r="A2306" s="10"/>
      <c r="B2306" s="10"/>
      <c r="D2306" s="10"/>
      <c r="E2306" s="10"/>
      <c r="F2306" s="10"/>
    </row>
    <row r="2307" spans="1:7" x14ac:dyDescent="0.2">
      <c r="A2307" s="10"/>
      <c r="B2307" s="10"/>
      <c r="D2307" s="10"/>
      <c r="E2307" s="10"/>
      <c r="F2307" s="10"/>
    </row>
    <row r="2308" spans="1:7" x14ac:dyDescent="0.2">
      <c r="A2308" s="10"/>
      <c r="B2308" s="10"/>
      <c r="D2308" s="10"/>
      <c r="E2308" s="10"/>
      <c r="F2308" s="10"/>
    </row>
    <row r="2309" spans="1:7" x14ac:dyDescent="0.2">
      <c r="A2309" s="10"/>
      <c r="B2309" s="10"/>
      <c r="D2309" s="10"/>
      <c r="E2309" s="10"/>
      <c r="F2309" s="10"/>
    </row>
    <row r="2310" spans="1:7" x14ac:dyDescent="0.2">
      <c r="A2310" s="10"/>
      <c r="B2310" s="10"/>
      <c r="D2310" s="10"/>
      <c r="E2310" s="10"/>
      <c r="G2310" s="10"/>
    </row>
    <row r="2311" spans="1:7" x14ac:dyDescent="0.2">
      <c r="A2311" s="10"/>
      <c r="B2311" s="10"/>
      <c r="D2311" s="10"/>
      <c r="E2311" s="10"/>
      <c r="G2311" s="10"/>
    </row>
    <row r="2312" spans="1:7" x14ac:dyDescent="0.2">
      <c r="A2312" s="10"/>
      <c r="B2312" s="10"/>
      <c r="D2312" s="10"/>
      <c r="E2312" s="10"/>
      <c r="G2312" s="10"/>
    </row>
    <row r="2313" spans="1:7" x14ac:dyDescent="0.2">
      <c r="A2313" s="10"/>
      <c r="B2313" s="10"/>
      <c r="D2313" s="10"/>
      <c r="E2313" s="10"/>
      <c r="G2313" s="10"/>
    </row>
    <row r="2314" spans="1:7" x14ac:dyDescent="0.2">
      <c r="A2314" s="10"/>
      <c r="B2314" s="10"/>
      <c r="D2314" s="10"/>
      <c r="E2314" s="10"/>
      <c r="G2314" s="10"/>
    </row>
    <row r="2315" spans="1:7" x14ac:dyDescent="0.2">
      <c r="A2315" s="10"/>
      <c r="B2315" s="10"/>
      <c r="D2315" s="10"/>
      <c r="E2315" s="10"/>
      <c r="F2315" s="10"/>
    </row>
    <row r="2316" spans="1:7" x14ac:dyDescent="0.2">
      <c r="A2316" s="10"/>
      <c r="B2316" s="10"/>
      <c r="D2316" s="10"/>
      <c r="E2316" s="10"/>
      <c r="F2316" s="10"/>
    </row>
    <row r="2317" spans="1:7" x14ac:dyDescent="0.2">
      <c r="A2317" s="10"/>
      <c r="B2317" s="10"/>
      <c r="D2317" s="10"/>
      <c r="E2317" s="10"/>
      <c r="F2317" s="10"/>
    </row>
    <row r="2318" spans="1:7" x14ac:dyDescent="0.2">
      <c r="A2318" s="10"/>
      <c r="B2318" s="10"/>
      <c r="D2318" s="10"/>
      <c r="E2318" s="10"/>
      <c r="F2318" s="10"/>
    </row>
    <row r="2319" spans="1:7" x14ac:dyDescent="0.2">
      <c r="A2319" s="10"/>
      <c r="B2319" s="10"/>
      <c r="D2319" s="10"/>
      <c r="E2319" s="10"/>
      <c r="F2319" s="10"/>
    </row>
    <row r="2320" spans="1:7" x14ac:dyDescent="0.2">
      <c r="A2320" s="10"/>
      <c r="B2320" s="10"/>
      <c r="D2320" s="10"/>
      <c r="E2320" s="10"/>
      <c r="G2320" s="10"/>
    </row>
    <row r="2321" spans="1:7" x14ac:dyDescent="0.2">
      <c r="A2321" s="10"/>
      <c r="B2321" s="10"/>
      <c r="D2321" s="10"/>
      <c r="E2321" s="10"/>
      <c r="F2321" s="10"/>
    </row>
    <row r="2322" spans="1:7" x14ac:dyDescent="0.2">
      <c r="A2322" s="10"/>
      <c r="B2322" s="10"/>
      <c r="D2322" s="10"/>
      <c r="E2322" s="10"/>
      <c r="F2322" s="10"/>
    </row>
    <row r="2323" spans="1:7" x14ac:dyDescent="0.2">
      <c r="A2323" s="10"/>
      <c r="B2323" s="10"/>
      <c r="D2323" s="10"/>
      <c r="E2323" s="10"/>
      <c r="F2323" s="10"/>
    </row>
    <row r="2324" spans="1:7" x14ac:dyDescent="0.2">
      <c r="A2324" s="10"/>
      <c r="B2324" s="10"/>
      <c r="D2324" s="10"/>
      <c r="E2324" s="10"/>
      <c r="F2324" s="10"/>
    </row>
    <row r="2325" spans="1:7" x14ac:dyDescent="0.2">
      <c r="A2325" s="10"/>
      <c r="B2325" s="10"/>
      <c r="D2325" s="10"/>
      <c r="E2325" s="10"/>
      <c r="F2325" s="10"/>
    </row>
    <row r="2326" spans="1:7" x14ac:dyDescent="0.2">
      <c r="A2326" s="10"/>
      <c r="B2326" s="10"/>
      <c r="D2326" s="10"/>
      <c r="E2326" s="10"/>
      <c r="F2326" s="10"/>
    </row>
    <row r="2327" spans="1:7" x14ac:dyDescent="0.2">
      <c r="A2327" s="10"/>
      <c r="B2327" s="10"/>
      <c r="D2327" s="10"/>
      <c r="E2327" s="10"/>
      <c r="F2327" s="10"/>
    </row>
    <row r="2328" spans="1:7" x14ac:dyDescent="0.2">
      <c r="A2328" s="10"/>
      <c r="B2328" s="10"/>
      <c r="D2328" s="10"/>
      <c r="E2328" s="10"/>
      <c r="G2328" s="10"/>
    </row>
    <row r="2329" spans="1:7" x14ac:dyDescent="0.2">
      <c r="A2329" s="10"/>
      <c r="B2329" s="10"/>
      <c r="D2329" s="10"/>
      <c r="E2329" s="10"/>
      <c r="G2329" s="10"/>
    </row>
    <row r="2330" spans="1:7" x14ac:dyDescent="0.2">
      <c r="A2330" s="10"/>
      <c r="B2330" s="10"/>
      <c r="D2330" s="10"/>
      <c r="E2330" s="10"/>
      <c r="G2330" s="10"/>
    </row>
    <row r="2331" spans="1:7" x14ac:dyDescent="0.2">
      <c r="A2331" s="10"/>
      <c r="B2331" s="10"/>
      <c r="D2331" s="10"/>
      <c r="E2331" s="10"/>
      <c r="G2331" s="10"/>
    </row>
    <row r="2332" spans="1:7" x14ac:dyDescent="0.2">
      <c r="A2332" s="10"/>
      <c r="B2332" s="10"/>
      <c r="D2332" s="10"/>
      <c r="E2332" s="10"/>
      <c r="G2332" s="10"/>
    </row>
    <row r="2333" spans="1:7" x14ac:dyDescent="0.2">
      <c r="A2333" s="10"/>
      <c r="B2333" s="10"/>
      <c r="D2333" s="10"/>
      <c r="E2333" s="10"/>
      <c r="F2333" s="10"/>
    </row>
    <row r="2334" spans="1:7" x14ac:dyDescent="0.2">
      <c r="A2334" s="10"/>
      <c r="B2334" s="10"/>
      <c r="D2334" s="10"/>
      <c r="E2334" s="10"/>
      <c r="F2334" s="10"/>
    </row>
    <row r="2335" spans="1:7" x14ac:dyDescent="0.2">
      <c r="A2335" s="10"/>
      <c r="B2335" s="10"/>
      <c r="D2335" s="10"/>
      <c r="E2335" s="10"/>
      <c r="F2335" s="10"/>
    </row>
    <row r="2336" spans="1:7" x14ac:dyDescent="0.2">
      <c r="A2336" s="10"/>
      <c r="B2336" s="10"/>
      <c r="D2336" s="10"/>
      <c r="E2336" s="10"/>
      <c r="F2336" s="10"/>
    </row>
    <row r="2337" spans="1:7" x14ac:dyDescent="0.2">
      <c r="A2337" s="10"/>
      <c r="B2337" s="10"/>
      <c r="D2337" s="10"/>
      <c r="E2337" s="10"/>
      <c r="F2337" s="10"/>
    </row>
    <row r="2338" spans="1:7" x14ac:dyDescent="0.2">
      <c r="A2338" s="10"/>
      <c r="B2338" s="10"/>
      <c r="D2338" s="10"/>
      <c r="E2338" s="10"/>
      <c r="G2338" s="10"/>
    </row>
    <row r="2339" spans="1:7" x14ac:dyDescent="0.2">
      <c r="A2339" s="10"/>
      <c r="B2339" s="10"/>
      <c r="D2339" s="10"/>
      <c r="E2339" s="10"/>
      <c r="G2339" s="10"/>
    </row>
    <row r="2340" spans="1:7" x14ac:dyDescent="0.2">
      <c r="A2340" s="10"/>
      <c r="B2340" s="10"/>
      <c r="D2340" s="10"/>
      <c r="E2340" s="10"/>
      <c r="G2340" s="10"/>
    </row>
    <row r="2341" spans="1:7" x14ac:dyDescent="0.2">
      <c r="A2341" s="10"/>
      <c r="B2341" s="10"/>
      <c r="D2341" s="10"/>
      <c r="E2341" s="10"/>
      <c r="G2341" s="10"/>
    </row>
    <row r="2342" spans="1:7" x14ac:dyDescent="0.2">
      <c r="A2342" s="10"/>
      <c r="B2342" s="10"/>
      <c r="D2342" s="10"/>
      <c r="E2342" s="10"/>
      <c r="G2342" s="10"/>
    </row>
    <row r="2343" spans="1:7" x14ac:dyDescent="0.2">
      <c r="A2343" s="10"/>
      <c r="B2343" s="10"/>
      <c r="D2343" s="10"/>
      <c r="E2343" s="10"/>
      <c r="F2343" s="10"/>
    </row>
    <row r="2344" spans="1:7" x14ac:dyDescent="0.2">
      <c r="A2344" s="10"/>
      <c r="B2344" s="10"/>
      <c r="D2344" s="10"/>
      <c r="E2344" s="10"/>
      <c r="F2344" s="10"/>
    </row>
    <row r="2345" spans="1:7" x14ac:dyDescent="0.2">
      <c r="A2345" s="10"/>
      <c r="B2345" s="10"/>
      <c r="D2345" s="10"/>
      <c r="E2345" s="10"/>
      <c r="F2345" s="10"/>
    </row>
    <row r="2346" spans="1:7" x14ac:dyDescent="0.2">
      <c r="A2346" s="10"/>
      <c r="B2346" s="10"/>
      <c r="D2346" s="10"/>
      <c r="E2346" s="10"/>
      <c r="F2346" s="10"/>
    </row>
    <row r="2347" spans="1:7" x14ac:dyDescent="0.2">
      <c r="A2347" s="10"/>
      <c r="B2347" s="10"/>
      <c r="D2347" s="10"/>
      <c r="E2347" s="10"/>
      <c r="F2347" s="10"/>
    </row>
    <row r="2348" spans="1:7" x14ac:dyDescent="0.2">
      <c r="A2348" s="10"/>
      <c r="B2348" s="10"/>
      <c r="D2348" s="10"/>
      <c r="E2348" s="10"/>
      <c r="F2348" s="10"/>
    </row>
    <row r="2349" spans="1:7" x14ac:dyDescent="0.2">
      <c r="A2349" s="10"/>
      <c r="B2349" s="10"/>
      <c r="D2349" s="10"/>
      <c r="E2349" s="10"/>
      <c r="G2349" s="10"/>
    </row>
    <row r="2350" spans="1:7" x14ac:dyDescent="0.2">
      <c r="A2350" s="10"/>
      <c r="B2350" s="10"/>
      <c r="D2350" s="10"/>
      <c r="E2350" s="10"/>
      <c r="G2350" s="10"/>
    </row>
    <row r="2351" spans="1:7" x14ac:dyDescent="0.2">
      <c r="A2351" s="10"/>
      <c r="B2351" s="10"/>
      <c r="D2351" s="10"/>
      <c r="E2351" s="10"/>
      <c r="G2351" s="10"/>
    </row>
    <row r="2352" spans="1:7" x14ac:dyDescent="0.2">
      <c r="A2352" s="10"/>
      <c r="B2352" s="10"/>
      <c r="D2352" s="10"/>
      <c r="E2352" s="10"/>
      <c r="F2352" s="10"/>
    </row>
    <row r="2353" spans="1:7" x14ac:dyDescent="0.2">
      <c r="A2353" s="10"/>
      <c r="B2353" s="10"/>
      <c r="D2353" s="10"/>
      <c r="E2353" s="10"/>
      <c r="G2353" s="10"/>
    </row>
    <row r="2354" spans="1:7" x14ac:dyDescent="0.2">
      <c r="A2354" s="10"/>
      <c r="B2354" s="10"/>
      <c r="D2354" s="10"/>
      <c r="E2354" s="10"/>
      <c r="G2354" s="10"/>
    </row>
    <row r="2355" spans="1:7" x14ac:dyDescent="0.2">
      <c r="A2355" s="10"/>
      <c r="B2355" s="10"/>
      <c r="D2355" s="10"/>
      <c r="E2355" s="10"/>
      <c r="F2355" s="10"/>
    </row>
    <row r="2356" spans="1:7" x14ac:dyDescent="0.2">
      <c r="A2356" s="10"/>
      <c r="B2356" s="10"/>
      <c r="D2356" s="10"/>
      <c r="E2356" s="10"/>
      <c r="F2356" s="10"/>
    </row>
    <row r="2357" spans="1:7" x14ac:dyDescent="0.2">
      <c r="A2357" s="10"/>
      <c r="B2357" s="10"/>
      <c r="D2357" s="10"/>
      <c r="E2357" s="10"/>
      <c r="G2357" s="10"/>
    </row>
    <row r="2358" spans="1:7" x14ac:dyDescent="0.2">
      <c r="A2358" s="10"/>
      <c r="B2358" s="10"/>
      <c r="D2358" s="10"/>
      <c r="E2358" s="10"/>
      <c r="G2358" s="10"/>
    </row>
    <row r="2359" spans="1:7" x14ac:dyDescent="0.2">
      <c r="A2359" s="10"/>
      <c r="B2359" s="10"/>
      <c r="D2359" s="10"/>
      <c r="E2359" s="10"/>
      <c r="F2359" s="10"/>
    </row>
    <row r="2360" spans="1:7" x14ac:dyDescent="0.2">
      <c r="A2360" s="10"/>
      <c r="B2360" s="10"/>
      <c r="D2360" s="10"/>
      <c r="E2360" s="10"/>
      <c r="G2360" s="10"/>
    </row>
    <row r="2361" spans="1:7" x14ac:dyDescent="0.2">
      <c r="A2361" s="10"/>
      <c r="B2361" s="10"/>
      <c r="D2361" s="10"/>
      <c r="E2361" s="10"/>
      <c r="G2361" s="10"/>
    </row>
    <row r="2362" spans="1:7" x14ac:dyDescent="0.2">
      <c r="A2362" s="10"/>
      <c r="B2362" s="10"/>
      <c r="D2362" s="10"/>
      <c r="E2362" s="10"/>
      <c r="G2362" s="10"/>
    </row>
    <row r="2363" spans="1:7" x14ac:dyDescent="0.2">
      <c r="A2363" s="10"/>
      <c r="B2363" s="10"/>
      <c r="D2363" s="10"/>
      <c r="E2363" s="10"/>
      <c r="F2363" s="10"/>
    </row>
    <row r="2364" spans="1:7" x14ac:dyDescent="0.2">
      <c r="A2364" s="10"/>
      <c r="B2364" s="10"/>
      <c r="D2364" s="10"/>
      <c r="E2364" s="10"/>
      <c r="G2364" s="10"/>
    </row>
    <row r="2365" spans="1:7" x14ac:dyDescent="0.2">
      <c r="A2365" s="10"/>
      <c r="B2365" s="10"/>
      <c r="D2365" s="10"/>
      <c r="E2365" s="10"/>
      <c r="G2365" s="10"/>
    </row>
    <row r="2366" spans="1:7" x14ac:dyDescent="0.2">
      <c r="A2366" s="10"/>
      <c r="B2366" s="10"/>
      <c r="D2366" s="10"/>
      <c r="E2366" s="10"/>
      <c r="F2366" s="10"/>
    </row>
    <row r="2367" spans="1:7" x14ac:dyDescent="0.2">
      <c r="A2367" s="10"/>
      <c r="B2367" s="10"/>
      <c r="D2367" s="10"/>
      <c r="E2367" s="10"/>
      <c r="F2367" s="10"/>
    </row>
    <row r="2368" spans="1:7" x14ac:dyDescent="0.2">
      <c r="A2368" s="10"/>
      <c r="B2368" s="10"/>
      <c r="D2368" s="10"/>
      <c r="E2368" s="10"/>
      <c r="F2368" s="10"/>
    </row>
    <row r="2369" spans="1:7" x14ac:dyDescent="0.2">
      <c r="A2369" s="10"/>
      <c r="B2369" s="10"/>
      <c r="D2369" s="10"/>
      <c r="E2369" s="10"/>
      <c r="F2369" s="10"/>
    </row>
    <row r="2370" spans="1:7" x14ac:dyDescent="0.2">
      <c r="A2370" s="10"/>
      <c r="B2370" s="10"/>
      <c r="D2370" s="10"/>
      <c r="E2370" s="10"/>
      <c r="F2370" s="10"/>
    </row>
    <row r="2371" spans="1:7" x14ac:dyDescent="0.2">
      <c r="A2371" s="10"/>
      <c r="B2371" s="10"/>
      <c r="D2371" s="10"/>
      <c r="E2371" s="10"/>
      <c r="F2371" s="10"/>
    </row>
    <row r="2372" spans="1:7" x14ac:dyDescent="0.2">
      <c r="A2372" s="10"/>
      <c r="B2372" s="10"/>
      <c r="D2372" s="10"/>
      <c r="E2372" s="10"/>
      <c r="F2372" s="10"/>
    </row>
    <row r="2373" spans="1:7" x14ac:dyDescent="0.2">
      <c r="A2373" s="10"/>
      <c r="B2373" s="10"/>
      <c r="D2373" s="10"/>
      <c r="E2373" s="10"/>
      <c r="F2373" s="10"/>
    </row>
    <row r="2374" spans="1:7" x14ac:dyDescent="0.2">
      <c r="A2374" s="10"/>
      <c r="B2374" s="10"/>
      <c r="D2374" s="10"/>
      <c r="E2374" s="10"/>
      <c r="F2374" s="10"/>
    </row>
    <row r="2375" spans="1:7" x14ac:dyDescent="0.2">
      <c r="A2375" s="10"/>
      <c r="B2375" s="10"/>
      <c r="D2375" s="10"/>
      <c r="E2375" s="10"/>
      <c r="G2375" s="10"/>
    </row>
    <row r="2376" spans="1:7" x14ac:dyDescent="0.2">
      <c r="A2376" s="10"/>
      <c r="B2376" s="10"/>
      <c r="D2376" s="10"/>
      <c r="E2376" s="10"/>
      <c r="G2376" s="10"/>
    </row>
    <row r="2377" spans="1:7" x14ac:dyDescent="0.2">
      <c r="A2377" s="10"/>
      <c r="B2377" s="10"/>
      <c r="D2377" s="10"/>
      <c r="E2377" s="10"/>
      <c r="G2377" s="10"/>
    </row>
    <row r="2378" spans="1:7" x14ac:dyDescent="0.2">
      <c r="A2378" s="10"/>
      <c r="B2378" s="10"/>
      <c r="D2378" s="10"/>
      <c r="E2378" s="10"/>
      <c r="G2378" s="10"/>
    </row>
    <row r="2379" spans="1:7" x14ac:dyDescent="0.2">
      <c r="A2379" s="10"/>
      <c r="B2379" s="10"/>
      <c r="D2379" s="10"/>
      <c r="E2379" s="10"/>
      <c r="G2379" s="10"/>
    </row>
    <row r="2380" spans="1:7" x14ac:dyDescent="0.2">
      <c r="A2380" s="10"/>
      <c r="B2380" s="10"/>
      <c r="D2380" s="10"/>
      <c r="E2380" s="10"/>
      <c r="G2380" s="10"/>
    </row>
    <row r="2381" spans="1:7" x14ac:dyDescent="0.2">
      <c r="A2381" s="10"/>
      <c r="B2381" s="10"/>
      <c r="D2381" s="10"/>
      <c r="E2381" s="10"/>
      <c r="G2381" s="10"/>
    </row>
    <row r="2382" spans="1:7" x14ac:dyDescent="0.2">
      <c r="A2382" s="10"/>
      <c r="B2382" s="10"/>
      <c r="D2382" s="10"/>
      <c r="E2382" s="10"/>
      <c r="F2382" s="10"/>
    </row>
    <row r="2383" spans="1:7" x14ac:dyDescent="0.2">
      <c r="A2383" s="10"/>
      <c r="B2383" s="10"/>
      <c r="D2383" s="10"/>
      <c r="E2383" s="10"/>
      <c r="F2383" s="10"/>
    </row>
    <row r="2384" spans="1:7" x14ac:dyDescent="0.2">
      <c r="A2384" s="10"/>
      <c r="B2384" s="10"/>
      <c r="D2384" s="10"/>
      <c r="E2384" s="10"/>
      <c r="F2384" s="10"/>
    </row>
    <row r="2385" spans="1:7" x14ac:dyDescent="0.2">
      <c r="A2385" s="10"/>
      <c r="B2385" s="10"/>
      <c r="D2385" s="10"/>
      <c r="E2385" s="10"/>
      <c r="G2385" s="10"/>
    </row>
    <row r="2386" spans="1:7" x14ac:dyDescent="0.2">
      <c r="A2386" s="10"/>
      <c r="B2386" s="10"/>
      <c r="D2386" s="10"/>
      <c r="E2386" s="10"/>
      <c r="F2386" s="10"/>
    </row>
    <row r="2387" spans="1:7" x14ac:dyDescent="0.2">
      <c r="A2387" s="10"/>
      <c r="B2387" s="10"/>
      <c r="D2387" s="10"/>
      <c r="E2387" s="10"/>
      <c r="F2387" s="10"/>
    </row>
    <row r="2388" spans="1:7" x14ac:dyDescent="0.2">
      <c r="A2388" s="10"/>
      <c r="B2388" s="10"/>
      <c r="D2388" s="10"/>
      <c r="E2388" s="10"/>
      <c r="F2388" s="10"/>
    </row>
    <row r="2389" spans="1:7" x14ac:dyDescent="0.2">
      <c r="A2389" s="10"/>
      <c r="B2389" s="10"/>
      <c r="D2389" s="10"/>
      <c r="E2389" s="10"/>
      <c r="F2389" s="10"/>
    </row>
    <row r="2390" spans="1:7" x14ac:dyDescent="0.2">
      <c r="A2390" s="10"/>
      <c r="B2390" s="10"/>
      <c r="D2390" s="10"/>
      <c r="E2390" s="10"/>
      <c r="G2390" s="10"/>
    </row>
    <row r="2391" spans="1:7" x14ac:dyDescent="0.2">
      <c r="A2391" s="10"/>
      <c r="B2391" s="10"/>
      <c r="D2391" s="10"/>
      <c r="E2391" s="10"/>
      <c r="G2391" s="10"/>
    </row>
    <row r="2392" spans="1:7" x14ac:dyDescent="0.2">
      <c r="A2392" s="10"/>
      <c r="B2392" s="10"/>
      <c r="D2392" s="10"/>
      <c r="E2392" s="10"/>
      <c r="G2392" s="10"/>
    </row>
    <row r="2393" spans="1:7" x14ac:dyDescent="0.2">
      <c r="A2393" s="10"/>
      <c r="B2393" s="10"/>
      <c r="D2393" s="10"/>
      <c r="E2393" s="10"/>
      <c r="G2393" s="10"/>
    </row>
    <row r="2394" spans="1:7" x14ac:dyDescent="0.2">
      <c r="A2394" s="10"/>
      <c r="B2394" s="10"/>
      <c r="D2394" s="10"/>
      <c r="E2394" s="10"/>
      <c r="G2394" s="10"/>
    </row>
    <row r="2395" spans="1:7" x14ac:dyDescent="0.2">
      <c r="A2395" s="10"/>
      <c r="B2395" s="10"/>
      <c r="D2395" s="10"/>
      <c r="E2395" s="10"/>
      <c r="G2395" s="10"/>
    </row>
    <row r="2396" spans="1:7" x14ac:dyDescent="0.2">
      <c r="A2396" s="10"/>
      <c r="B2396" s="10"/>
      <c r="D2396" s="10"/>
      <c r="E2396" s="10"/>
      <c r="G2396" s="10"/>
    </row>
    <row r="2397" spans="1:7" x14ac:dyDescent="0.2">
      <c r="A2397" s="10"/>
      <c r="B2397" s="10"/>
      <c r="D2397" s="10"/>
      <c r="E2397" s="10"/>
      <c r="G2397" s="10"/>
    </row>
    <row r="2398" spans="1:7" x14ac:dyDescent="0.2">
      <c r="A2398" s="10"/>
      <c r="B2398" s="10"/>
      <c r="D2398" s="10"/>
      <c r="E2398" s="10"/>
      <c r="G2398" s="10"/>
    </row>
    <row r="2399" spans="1:7" x14ac:dyDescent="0.2">
      <c r="A2399" s="10"/>
      <c r="B2399" s="10"/>
      <c r="D2399" s="10"/>
      <c r="E2399" s="10"/>
      <c r="G2399" s="10"/>
    </row>
    <row r="2400" spans="1:7" x14ac:dyDescent="0.2">
      <c r="A2400" s="10"/>
      <c r="B2400" s="10"/>
      <c r="D2400" s="10"/>
      <c r="E2400" s="10"/>
      <c r="F2400" s="10"/>
    </row>
    <row r="2401" spans="1:6" x14ac:dyDescent="0.2">
      <c r="A2401" s="10"/>
      <c r="B2401" s="10"/>
      <c r="D2401" s="10"/>
      <c r="E2401" s="10"/>
      <c r="F2401" s="10"/>
    </row>
    <row r="2402" spans="1:6" x14ac:dyDescent="0.2">
      <c r="A2402" s="10"/>
      <c r="B2402" s="10"/>
      <c r="D2402" s="10"/>
      <c r="E2402" s="10"/>
      <c r="F2402" s="10"/>
    </row>
    <row r="2403" spans="1:6" x14ac:dyDescent="0.2">
      <c r="A2403" s="10"/>
      <c r="B2403" s="10"/>
      <c r="D2403" s="10"/>
      <c r="E2403" s="10"/>
      <c r="F2403" s="10"/>
    </row>
    <row r="2404" spans="1:6" x14ac:dyDescent="0.2">
      <c r="A2404" s="10"/>
      <c r="B2404" s="10"/>
      <c r="D2404" s="10"/>
      <c r="E2404" s="10"/>
      <c r="F2404" s="10"/>
    </row>
    <row r="2405" spans="1:6" x14ac:dyDescent="0.2">
      <c r="A2405" s="10"/>
      <c r="B2405" s="10"/>
      <c r="D2405" s="10"/>
      <c r="E2405" s="10"/>
      <c r="F2405" s="10"/>
    </row>
    <row r="2406" spans="1:6" x14ac:dyDescent="0.2">
      <c r="A2406" s="10"/>
      <c r="B2406" s="10"/>
      <c r="D2406" s="10"/>
      <c r="E2406" s="10"/>
      <c r="F2406" s="10"/>
    </row>
    <row r="2407" spans="1:6" x14ac:dyDescent="0.2">
      <c r="A2407" s="10"/>
      <c r="B2407" s="10"/>
      <c r="D2407" s="10"/>
      <c r="E2407" s="10"/>
      <c r="F2407" s="10"/>
    </row>
    <row r="2408" spans="1:6" x14ac:dyDescent="0.2">
      <c r="A2408" s="10"/>
      <c r="B2408" s="10"/>
      <c r="D2408" s="10"/>
      <c r="E2408" s="10"/>
      <c r="F2408" s="10"/>
    </row>
    <row r="2409" spans="1:6" x14ac:dyDescent="0.2">
      <c r="A2409" s="10"/>
      <c r="B2409" s="10"/>
      <c r="D2409" s="10"/>
      <c r="E2409" s="10"/>
      <c r="F2409" s="10"/>
    </row>
    <row r="2410" spans="1:6" x14ac:dyDescent="0.2">
      <c r="A2410" s="10"/>
      <c r="B2410" s="10"/>
      <c r="D2410" s="10"/>
      <c r="E2410" s="10"/>
      <c r="F2410" s="10"/>
    </row>
    <row r="2411" spans="1:6" x14ac:dyDescent="0.2">
      <c r="A2411" s="10"/>
      <c r="B2411" s="10"/>
      <c r="D2411" s="10"/>
      <c r="E2411" s="10"/>
      <c r="F2411" s="10"/>
    </row>
    <row r="2412" spans="1:6" x14ac:dyDescent="0.2">
      <c r="A2412" s="10"/>
      <c r="B2412" s="10"/>
      <c r="D2412" s="10"/>
      <c r="E2412" s="10"/>
      <c r="F2412" s="10"/>
    </row>
    <row r="2413" spans="1:6" x14ac:dyDescent="0.2">
      <c r="A2413" s="10"/>
      <c r="B2413" s="10"/>
      <c r="D2413" s="10"/>
      <c r="E2413" s="10"/>
      <c r="F2413" s="10"/>
    </row>
    <row r="2414" spans="1:6" x14ac:dyDescent="0.2">
      <c r="A2414" s="10"/>
      <c r="B2414" s="10"/>
      <c r="D2414" s="10"/>
      <c r="E2414" s="10"/>
      <c r="F2414" s="10"/>
    </row>
    <row r="2415" spans="1:6" x14ac:dyDescent="0.2">
      <c r="A2415" s="10"/>
      <c r="B2415" s="10"/>
      <c r="D2415" s="10"/>
      <c r="E2415" s="10"/>
      <c r="F2415" s="10"/>
    </row>
    <row r="2416" spans="1:6" x14ac:dyDescent="0.2">
      <c r="A2416" s="10"/>
      <c r="B2416" s="10"/>
      <c r="D2416" s="10"/>
      <c r="E2416" s="10"/>
      <c r="F2416" s="10"/>
    </row>
    <row r="2417" spans="1:7" x14ac:dyDescent="0.2">
      <c r="A2417" s="10"/>
      <c r="B2417" s="10"/>
      <c r="D2417" s="10"/>
      <c r="E2417" s="10"/>
      <c r="G2417" s="10"/>
    </row>
    <row r="2418" spans="1:7" x14ac:dyDescent="0.2">
      <c r="A2418" s="10"/>
      <c r="B2418" s="10"/>
      <c r="D2418" s="10"/>
      <c r="E2418" s="10"/>
      <c r="G2418" s="10"/>
    </row>
    <row r="2419" spans="1:7" x14ac:dyDescent="0.2">
      <c r="A2419" s="10"/>
      <c r="B2419" s="10"/>
      <c r="D2419" s="10"/>
      <c r="E2419" s="10"/>
      <c r="G2419" s="10"/>
    </row>
    <row r="2420" spans="1:7" x14ac:dyDescent="0.2">
      <c r="A2420" s="10"/>
      <c r="B2420" s="10"/>
      <c r="D2420" s="10"/>
      <c r="E2420" s="10"/>
      <c r="G2420" s="10"/>
    </row>
    <row r="2421" spans="1:7" x14ac:dyDescent="0.2">
      <c r="A2421" s="10"/>
      <c r="B2421" s="10"/>
      <c r="D2421" s="10"/>
      <c r="E2421" s="10"/>
      <c r="G2421" s="10"/>
    </row>
    <row r="2422" spans="1:7" x14ac:dyDescent="0.2">
      <c r="A2422" s="10"/>
      <c r="B2422" s="10"/>
      <c r="D2422" s="10"/>
      <c r="E2422" s="10"/>
      <c r="F2422" s="10"/>
    </row>
    <row r="2423" spans="1:7" x14ac:dyDescent="0.2">
      <c r="A2423" s="10"/>
      <c r="B2423" s="10"/>
      <c r="D2423" s="10"/>
      <c r="E2423" s="10"/>
      <c r="F2423" s="10"/>
    </row>
    <row r="2424" spans="1:7" x14ac:dyDescent="0.2">
      <c r="A2424" s="10"/>
      <c r="B2424" s="10"/>
      <c r="D2424" s="10"/>
      <c r="E2424" s="10"/>
      <c r="F2424" s="10"/>
    </row>
    <row r="2425" spans="1:7" x14ac:dyDescent="0.2">
      <c r="A2425" s="10"/>
      <c r="B2425" s="10"/>
      <c r="D2425" s="10"/>
      <c r="E2425" s="10"/>
      <c r="F2425" s="10"/>
    </row>
    <row r="2426" spans="1:7" x14ac:dyDescent="0.2">
      <c r="A2426" s="10"/>
      <c r="B2426" s="10"/>
      <c r="D2426" s="10"/>
      <c r="E2426" s="10"/>
      <c r="G2426" s="10"/>
    </row>
    <row r="2427" spans="1:7" x14ac:dyDescent="0.2">
      <c r="A2427" s="10"/>
      <c r="B2427" s="10"/>
      <c r="D2427" s="10"/>
      <c r="E2427" s="10"/>
      <c r="G2427" s="10"/>
    </row>
    <row r="2428" spans="1:7" x14ac:dyDescent="0.2">
      <c r="A2428" s="10"/>
      <c r="B2428" s="10"/>
      <c r="D2428" s="10"/>
      <c r="E2428" s="10"/>
      <c r="G2428" s="10"/>
    </row>
    <row r="2429" spans="1:7" x14ac:dyDescent="0.2">
      <c r="A2429" s="10"/>
      <c r="B2429" s="10"/>
      <c r="D2429" s="10"/>
      <c r="E2429" s="10"/>
      <c r="G2429" s="10"/>
    </row>
    <row r="2430" spans="1:7" x14ac:dyDescent="0.2">
      <c r="A2430" s="10"/>
      <c r="B2430" s="10"/>
      <c r="D2430" s="10"/>
      <c r="E2430" s="10"/>
      <c r="F2430" s="10"/>
    </row>
    <row r="2431" spans="1:7" x14ac:dyDescent="0.2">
      <c r="A2431" s="10"/>
      <c r="B2431" s="10"/>
      <c r="D2431" s="10"/>
      <c r="E2431" s="10"/>
      <c r="G2431" s="10"/>
    </row>
    <row r="2432" spans="1:7" x14ac:dyDescent="0.2">
      <c r="A2432" s="10"/>
      <c r="B2432" s="10"/>
      <c r="D2432" s="10"/>
      <c r="E2432" s="10"/>
      <c r="G2432" s="10"/>
    </row>
    <row r="2433" spans="1:7" x14ac:dyDescent="0.2">
      <c r="A2433" s="10"/>
      <c r="B2433" s="10"/>
      <c r="D2433" s="10"/>
      <c r="E2433" s="10"/>
      <c r="G2433" s="10"/>
    </row>
    <row r="2434" spans="1:7" x14ac:dyDescent="0.2">
      <c r="A2434" s="10"/>
      <c r="B2434" s="10"/>
      <c r="D2434" s="10"/>
      <c r="E2434" s="10"/>
      <c r="F2434" s="10"/>
    </row>
    <row r="2435" spans="1:7" x14ac:dyDescent="0.2">
      <c r="A2435" s="10"/>
      <c r="B2435" s="10"/>
      <c r="D2435" s="10"/>
      <c r="E2435" s="10"/>
      <c r="F2435" s="10"/>
    </row>
    <row r="2436" spans="1:7" x14ac:dyDescent="0.2">
      <c r="A2436" s="10"/>
      <c r="B2436" s="10"/>
      <c r="D2436" s="10"/>
      <c r="E2436" s="10"/>
      <c r="F2436" s="10"/>
    </row>
    <row r="2437" spans="1:7" x14ac:dyDescent="0.2">
      <c r="A2437" s="10"/>
      <c r="B2437" s="10"/>
      <c r="D2437" s="10"/>
      <c r="E2437" s="10"/>
      <c r="F2437" s="10"/>
    </row>
    <row r="2438" spans="1:7" x14ac:dyDescent="0.2">
      <c r="A2438" s="10"/>
      <c r="B2438" s="10"/>
      <c r="D2438" s="10"/>
      <c r="E2438" s="10"/>
      <c r="F2438" s="10"/>
    </row>
    <row r="2439" spans="1:7" x14ac:dyDescent="0.2">
      <c r="A2439" s="10"/>
      <c r="B2439" s="10"/>
      <c r="D2439" s="10"/>
      <c r="E2439" s="10"/>
      <c r="F2439" s="10"/>
    </row>
    <row r="2440" spans="1:7" x14ac:dyDescent="0.2">
      <c r="A2440" s="10"/>
      <c r="B2440" s="10"/>
      <c r="D2440" s="10"/>
      <c r="E2440" s="10"/>
      <c r="F2440" s="10"/>
    </row>
    <row r="2441" spans="1:7" x14ac:dyDescent="0.2">
      <c r="A2441" s="10"/>
      <c r="B2441" s="10"/>
      <c r="D2441" s="10"/>
      <c r="E2441" s="10"/>
      <c r="G2441" s="10"/>
    </row>
    <row r="2442" spans="1:7" x14ac:dyDescent="0.2">
      <c r="A2442" s="10"/>
      <c r="B2442" s="10"/>
      <c r="D2442" s="10"/>
      <c r="E2442" s="10"/>
      <c r="G2442" s="10"/>
    </row>
    <row r="2443" spans="1:7" x14ac:dyDescent="0.2">
      <c r="A2443" s="10"/>
      <c r="B2443" s="10"/>
      <c r="D2443" s="10"/>
      <c r="E2443" s="10"/>
      <c r="G2443" s="10"/>
    </row>
    <row r="2444" spans="1:7" x14ac:dyDescent="0.2">
      <c r="A2444" s="10"/>
      <c r="B2444" s="10"/>
      <c r="D2444" s="10"/>
      <c r="E2444" s="10"/>
      <c r="F2444" s="10"/>
    </row>
    <row r="2445" spans="1:7" x14ac:dyDescent="0.2">
      <c r="A2445" s="10"/>
      <c r="B2445" s="10"/>
      <c r="D2445" s="10"/>
      <c r="E2445" s="10"/>
      <c r="F2445" s="10"/>
    </row>
    <row r="2446" spans="1:7" x14ac:dyDescent="0.2">
      <c r="A2446" s="10"/>
      <c r="B2446" s="10"/>
      <c r="D2446" s="10"/>
      <c r="E2446" s="10"/>
      <c r="G2446" s="10"/>
    </row>
    <row r="2447" spans="1:7" x14ac:dyDescent="0.2">
      <c r="A2447" s="10"/>
      <c r="B2447" s="10"/>
      <c r="D2447" s="10"/>
      <c r="E2447" s="10"/>
      <c r="G2447" s="10"/>
    </row>
    <row r="2448" spans="1:7" x14ac:dyDescent="0.2">
      <c r="A2448" s="10"/>
      <c r="B2448" s="10"/>
      <c r="D2448" s="10"/>
      <c r="E2448" s="10"/>
      <c r="G2448" s="10"/>
    </row>
    <row r="2449" spans="1:7" x14ac:dyDescent="0.2">
      <c r="A2449" s="10"/>
      <c r="B2449" s="10"/>
      <c r="D2449" s="10"/>
      <c r="E2449" s="10"/>
      <c r="G2449" s="10"/>
    </row>
    <row r="2450" spans="1:7" x14ac:dyDescent="0.2">
      <c r="A2450" s="10"/>
      <c r="B2450" s="10"/>
      <c r="D2450" s="10"/>
      <c r="E2450" s="10"/>
      <c r="F2450" s="10"/>
    </row>
    <row r="2451" spans="1:7" x14ac:dyDescent="0.2">
      <c r="A2451" s="10"/>
      <c r="B2451" s="10"/>
      <c r="D2451" s="10"/>
      <c r="E2451" s="10"/>
      <c r="F2451" s="10"/>
    </row>
    <row r="2452" spans="1:7" x14ac:dyDescent="0.2">
      <c r="A2452" s="10"/>
      <c r="B2452" s="10"/>
      <c r="D2452" s="10"/>
      <c r="E2452" s="10"/>
      <c r="F2452" s="10"/>
    </row>
    <row r="2453" spans="1:7" x14ac:dyDescent="0.2">
      <c r="A2453" s="10"/>
      <c r="B2453" s="10"/>
      <c r="D2453" s="10"/>
      <c r="E2453" s="10"/>
      <c r="F2453" s="10"/>
    </row>
    <row r="2454" spans="1:7" x14ac:dyDescent="0.2">
      <c r="A2454" s="10"/>
      <c r="B2454" s="10"/>
      <c r="D2454" s="10"/>
      <c r="E2454" s="10"/>
      <c r="F2454" s="10"/>
    </row>
    <row r="2455" spans="1:7" x14ac:dyDescent="0.2">
      <c r="A2455" s="10"/>
      <c r="B2455" s="10"/>
      <c r="D2455" s="10"/>
      <c r="E2455" s="10"/>
      <c r="F2455" s="10"/>
    </row>
    <row r="2456" spans="1:7" x14ac:dyDescent="0.2">
      <c r="A2456" s="10"/>
      <c r="B2456" s="10"/>
      <c r="D2456" s="10"/>
      <c r="E2456" s="10"/>
      <c r="G2456" s="10"/>
    </row>
    <row r="2457" spans="1:7" x14ac:dyDescent="0.2">
      <c r="A2457" s="10"/>
      <c r="B2457" s="10"/>
      <c r="D2457" s="10"/>
      <c r="E2457" s="10"/>
      <c r="G2457" s="10"/>
    </row>
    <row r="2458" spans="1:7" x14ac:dyDescent="0.2">
      <c r="A2458" s="10"/>
      <c r="B2458" s="10"/>
      <c r="D2458" s="10"/>
      <c r="E2458" s="10"/>
      <c r="G2458" s="10"/>
    </row>
    <row r="2459" spans="1:7" x14ac:dyDescent="0.2">
      <c r="A2459" s="10"/>
      <c r="B2459" s="10"/>
      <c r="D2459" s="10"/>
      <c r="E2459" s="10"/>
      <c r="F2459" s="10"/>
    </row>
    <row r="2460" spans="1:7" x14ac:dyDescent="0.2">
      <c r="A2460" s="10"/>
      <c r="B2460" s="10"/>
      <c r="D2460" s="10"/>
      <c r="E2460" s="10"/>
      <c r="F2460" s="10"/>
    </row>
    <row r="2461" spans="1:7" x14ac:dyDescent="0.2">
      <c r="A2461" s="10"/>
      <c r="B2461" s="10"/>
      <c r="D2461" s="10"/>
      <c r="E2461" s="10"/>
      <c r="F2461" s="10"/>
    </row>
    <row r="2462" spans="1:7" x14ac:dyDescent="0.2">
      <c r="A2462" s="10"/>
      <c r="B2462" s="10"/>
      <c r="D2462" s="10"/>
      <c r="E2462" s="10"/>
      <c r="F2462" s="10"/>
    </row>
    <row r="2463" spans="1:7" x14ac:dyDescent="0.2">
      <c r="A2463" s="10"/>
      <c r="B2463" s="10"/>
      <c r="D2463" s="10"/>
      <c r="E2463" s="10"/>
      <c r="G2463" s="10"/>
    </row>
    <row r="2464" spans="1:7" x14ac:dyDescent="0.2">
      <c r="A2464" s="10"/>
      <c r="B2464" s="10"/>
      <c r="D2464" s="10"/>
      <c r="E2464" s="10"/>
      <c r="G2464" s="10"/>
    </row>
    <row r="2465" spans="1:7" x14ac:dyDescent="0.2">
      <c r="A2465" s="10"/>
      <c r="B2465" s="10"/>
      <c r="D2465" s="10"/>
      <c r="E2465" s="10"/>
      <c r="F2465" s="10"/>
    </row>
    <row r="2466" spans="1:7" x14ac:dyDescent="0.2">
      <c r="A2466" s="10"/>
      <c r="B2466" s="10"/>
      <c r="D2466" s="10"/>
      <c r="E2466" s="10"/>
      <c r="G2466" s="10"/>
    </row>
    <row r="2467" spans="1:7" x14ac:dyDescent="0.2">
      <c r="A2467" s="10"/>
      <c r="B2467" s="10"/>
      <c r="D2467" s="10"/>
      <c r="E2467" s="10"/>
      <c r="F2467" s="10"/>
    </row>
    <row r="2468" spans="1:7" x14ac:dyDescent="0.2">
      <c r="A2468" s="10"/>
      <c r="B2468" s="10"/>
      <c r="D2468" s="10"/>
      <c r="E2468" s="10"/>
      <c r="F2468" s="10"/>
    </row>
    <row r="2469" spans="1:7" x14ac:dyDescent="0.2">
      <c r="A2469" s="10"/>
      <c r="B2469" s="10"/>
      <c r="D2469" s="10"/>
      <c r="E2469" s="10"/>
      <c r="F2469" s="10"/>
    </row>
    <row r="2470" spans="1:7" x14ac:dyDescent="0.2">
      <c r="A2470" s="10"/>
      <c r="B2470" s="10"/>
      <c r="D2470" s="10"/>
      <c r="E2470" s="10"/>
      <c r="G2470" s="10"/>
    </row>
    <row r="2471" spans="1:7" x14ac:dyDescent="0.2">
      <c r="A2471" s="10"/>
      <c r="B2471" s="10"/>
      <c r="D2471" s="10"/>
      <c r="E2471" s="10"/>
      <c r="F2471" s="10"/>
    </row>
    <row r="2472" spans="1:7" x14ac:dyDescent="0.2">
      <c r="A2472" s="10"/>
      <c r="B2472" s="10"/>
      <c r="D2472" s="10"/>
      <c r="E2472" s="10"/>
      <c r="F2472" s="10"/>
    </row>
    <row r="2473" spans="1:7" x14ac:dyDescent="0.2">
      <c r="A2473" s="10"/>
      <c r="B2473" s="10"/>
      <c r="D2473" s="10"/>
      <c r="E2473" s="10"/>
      <c r="F2473" s="10"/>
    </row>
    <row r="2474" spans="1:7" x14ac:dyDescent="0.2">
      <c r="A2474" s="10"/>
      <c r="B2474" s="10"/>
      <c r="D2474" s="10"/>
      <c r="E2474" s="10"/>
      <c r="F2474" s="10"/>
    </row>
    <row r="2475" spans="1:7" x14ac:dyDescent="0.2">
      <c r="A2475" s="10"/>
      <c r="B2475" s="10"/>
      <c r="D2475" s="10"/>
      <c r="E2475" s="10"/>
      <c r="G2475" s="10"/>
    </row>
    <row r="2476" spans="1:7" x14ac:dyDescent="0.2">
      <c r="A2476" s="10"/>
      <c r="B2476" s="10"/>
      <c r="D2476" s="10"/>
      <c r="E2476" s="10"/>
      <c r="G2476" s="10"/>
    </row>
    <row r="2477" spans="1:7" x14ac:dyDescent="0.2">
      <c r="A2477" s="10"/>
      <c r="B2477" s="10"/>
      <c r="D2477" s="10"/>
      <c r="E2477" s="10"/>
      <c r="G2477" s="10"/>
    </row>
    <row r="2478" spans="1:7" x14ac:dyDescent="0.2">
      <c r="A2478" s="10"/>
      <c r="B2478" s="10"/>
      <c r="D2478" s="10"/>
      <c r="E2478" s="10"/>
      <c r="G2478" s="10"/>
    </row>
    <row r="2479" spans="1:7" x14ac:dyDescent="0.2">
      <c r="A2479" s="10"/>
      <c r="B2479" s="10"/>
      <c r="D2479" s="10"/>
      <c r="E2479" s="10"/>
      <c r="G2479" s="10"/>
    </row>
    <row r="2480" spans="1:7" x14ac:dyDescent="0.2">
      <c r="A2480" s="10"/>
      <c r="B2480" s="10"/>
      <c r="D2480" s="10"/>
      <c r="E2480" s="10"/>
      <c r="G2480" s="10"/>
    </row>
    <row r="2481" spans="1:7" x14ac:dyDescent="0.2">
      <c r="A2481" s="10"/>
      <c r="B2481" s="10"/>
      <c r="D2481" s="10"/>
      <c r="E2481" s="10"/>
      <c r="F2481" s="10"/>
    </row>
    <row r="2482" spans="1:7" x14ac:dyDescent="0.2">
      <c r="A2482" s="10"/>
      <c r="B2482" s="10"/>
      <c r="D2482" s="10"/>
      <c r="E2482" s="10"/>
      <c r="F2482" s="10"/>
    </row>
    <row r="2483" spans="1:7" x14ac:dyDescent="0.2">
      <c r="A2483" s="10"/>
      <c r="B2483" s="10"/>
      <c r="D2483" s="10"/>
      <c r="E2483" s="10"/>
      <c r="F2483" s="10"/>
    </row>
    <row r="2484" spans="1:7" x14ac:dyDescent="0.2">
      <c r="A2484" s="10"/>
      <c r="B2484" s="10"/>
      <c r="D2484" s="10"/>
      <c r="E2484" s="10"/>
      <c r="F2484" s="10"/>
    </row>
    <row r="2485" spans="1:7" x14ac:dyDescent="0.2">
      <c r="A2485" s="10"/>
    </row>
    <row r="2486" spans="1:7" x14ac:dyDescent="0.2">
      <c r="A2486" s="10"/>
    </row>
    <row r="2487" spans="1:7" x14ac:dyDescent="0.2">
      <c r="A2487" s="10"/>
      <c r="C2487" s="10"/>
    </row>
    <row r="2488" spans="1:7" x14ac:dyDescent="0.2">
      <c r="A2488" s="10"/>
    </row>
    <row r="2489" spans="1:7" x14ac:dyDescent="0.2">
      <c r="A2489" s="10"/>
      <c r="B2489" s="10"/>
    </row>
    <row r="2490" spans="1:7" x14ac:dyDescent="0.2">
      <c r="A2490" s="10"/>
      <c r="B2490" s="10"/>
    </row>
    <row r="2491" spans="1:7" x14ac:dyDescent="0.2">
      <c r="A2491" s="10"/>
    </row>
    <row r="2492" spans="1:7" x14ac:dyDescent="0.2">
      <c r="A2492" s="10"/>
    </row>
    <row r="2493" spans="1:7" x14ac:dyDescent="0.2">
      <c r="A2493" s="10"/>
      <c r="B2493" s="10"/>
      <c r="C2493" s="10"/>
      <c r="D2493" s="10"/>
      <c r="E2493" s="10"/>
      <c r="G2493" s="10"/>
    </row>
    <row r="2494" spans="1:7" x14ac:dyDescent="0.2">
      <c r="A2494" s="10"/>
      <c r="B2494" s="10"/>
      <c r="C2494" s="10"/>
      <c r="D2494" s="10"/>
      <c r="E2494" s="10"/>
      <c r="G2494" s="10"/>
    </row>
    <row r="2495" spans="1:7" x14ac:dyDescent="0.2">
      <c r="A2495" s="10"/>
      <c r="B2495" s="10"/>
      <c r="C2495" s="10"/>
      <c r="D2495" s="10"/>
      <c r="E2495" s="10"/>
      <c r="G2495" s="10"/>
    </row>
    <row r="2496" spans="1:7" x14ac:dyDescent="0.2">
      <c r="A2496" s="10"/>
      <c r="B2496" s="10"/>
      <c r="C2496" s="10"/>
      <c r="D2496" s="10"/>
      <c r="E2496" s="10"/>
      <c r="G2496" s="10"/>
    </row>
    <row r="2497" spans="1:7" x14ac:dyDescent="0.2">
      <c r="A2497" s="10"/>
      <c r="B2497" s="10"/>
      <c r="C2497" s="10"/>
      <c r="D2497" s="10"/>
      <c r="E2497" s="10"/>
      <c r="G2497" s="10"/>
    </row>
    <row r="2498" spans="1:7" x14ac:dyDescent="0.2">
      <c r="A2498" s="10"/>
      <c r="B2498" s="10"/>
      <c r="C2498" s="10"/>
      <c r="D2498" s="10"/>
      <c r="E2498" s="10"/>
      <c r="F2498" s="10"/>
    </row>
    <row r="2499" spans="1:7" x14ac:dyDescent="0.2">
      <c r="A2499" s="10"/>
      <c r="B2499" s="10"/>
      <c r="C2499" s="10"/>
      <c r="D2499" s="10"/>
      <c r="E2499" s="10"/>
      <c r="F2499" s="10"/>
    </row>
    <row r="2500" spans="1:7" x14ac:dyDescent="0.2">
      <c r="A2500" s="10"/>
      <c r="B2500" s="10"/>
      <c r="C2500" s="10"/>
      <c r="D2500" s="10"/>
      <c r="E2500" s="10"/>
      <c r="F2500" s="10"/>
    </row>
    <row r="2501" spans="1:7" x14ac:dyDescent="0.2">
      <c r="A2501" s="10"/>
      <c r="B2501" s="10"/>
      <c r="C2501" s="10"/>
      <c r="D2501" s="10"/>
      <c r="E2501" s="10"/>
      <c r="F2501" s="10"/>
    </row>
    <row r="2502" spans="1:7" x14ac:dyDescent="0.2">
      <c r="A2502" s="10"/>
      <c r="B2502" s="10"/>
      <c r="C2502" s="10"/>
      <c r="D2502" s="10"/>
      <c r="E2502" s="10"/>
      <c r="F2502" s="10"/>
    </row>
    <row r="2503" spans="1:7" x14ac:dyDescent="0.2">
      <c r="A2503" s="10"/>
      <c r="B2503" s="10"/>
      <c r="C2503" s="10"/>
      <c r="D2503" s="10"/>
      <c r="E2503" s="10"/>
      <c r="F2503" s="10"/>
    </row>
    <row r="2504" spans="1:7" x14ac:dyDescent="0.2">
      <c r="A2504" s="10"/>
      <c r="B2504" s="10"/>
      <c r="C2504" s="10"/>
      <c r="D2504" s="10"/>
      <c r="E2504" s="10"/>
      <c r="F2504" s="10"/>
    </row>
    <row r="2505" spans="1:7" x14ac:dyDescent="0.2">
      <c r="A2505" s="10"/>
      <c r="B2505" s="10"/>
      <c r="C2505" s="10"/>
      <c r="D2505" s="10"/>
      <c r="E2505" s="10"/>
      <c r="F2505" s="10"/>
    </row>
    <row r="2506" spans="1:7" x14ac:dyDescent="0.2">
      <c r="A2506" s="10"/>
      <c r="B2506" s="10"/>
      <c r="C2506" s="10"/>
      <c r="D2506" s="10"/>
      <c r="E2506" s="10"/>
      <c r="F2506" s="10"/>
    </row>
    <row r="2507" spans="1:7" x14ac:dyDescent="0.2">
      <c r="A2507" s="10"/>
      <c r="B2507" s="10"/>
      <c r="C2507" s="10"/>
      <c r="D2507" s="10"/>
      <c r="E2507" s="10"/>
      <c r="F2507" s="10"/>
    </row>
    <row r="2508" spans="1:7" x14ac:dyDescent="0.2">
      <c r="A2508" s="10"/>
      <c r="B2508" s="10"/>
      <c r="C2508" s="10"/>
      <c r="D2508" s="10"/>
      <c r="E2508" s="10"/>
      <c r="F2508" s="10"/>
    </row>
    <row r="2509" spans="1:7" x14ac:dyDescent="0.2">
      <c r="A2509" s="10"/>
      <c r="B2509" s="10"/>
      <c r="C2509" s="10"/>
      <c r="D2509" s="10"/>
      <c r="E2509" s="10"/>
      <c r="F2509" s="10"/>
    </row>
    <row r="2510" spans="1:7" x14ac:dyDescent="0.2">
      <c r="A2510" s="10"/>
      <c r="B2510" s="10"/>
      <c r="C2510" s="10"/>
      <c r="D2510" s="10"/>
      <c r="E2510" s="10"/>
      <c r="F2510" s="10"/>
    </row>
    <row r="2511" spans="1:7" x14ac:dyDescent="0.2">
      <c r="A2511" s="10"/>
      <c r="B2511" s="10"/>
      <c r="C2511" s="10"/>
      <c r="D2511" s="10"/>
      <c r="E2511" s="10"/>
      <c r="F2511" s="10"/>
    </row>
    <row r="2512" spans="1:7" x14ac:dyDescent="0.2">
      <c r="A2512" s="10"/>
      <c r="B2512" s="10"/>
      <c r="C2512" s="10"/>
      <c r="D2512" s="10"/>
      <c r="E2512" s="10"/>
      <c r="G2512" s="10"/>
    </row>
    <row r="2513" spans="1:10" x14ac:dyDescent="0.2">
      <c r="A2513" s="10"/>
      <c r="B2513" s="10"/>
      <c r="C2513" s="10"/>
      <c r="D2513" s="10"/>
      <c r="E2513" s="10"/>
      <c r="G2513" s="10"/>
    </row>
    <row r="2514" spans="1:10" x14ac:dyDescent="0.2">
      <c r="A2514" s="10"/>
      <c r="B2514" s="10"/>
      <c r="C2514" s="10"/>
      <c r="D2514" s="10"/>
      <c r="E2514" s="10"/>
      <c r="G2514" s="10"/>
    </row>
    <row r="2515" spans="1:10" x14ac:dyDescent="0.2">
      <c r="A2515" s="10"/>
      <c r="B2515" s="10"/>
      <c r="C2515" s="10"/>
      <c r="D2515" s="10"/>
      <c r="E2515" s="10"/>
      <c r="G2515" s="10"/>
    </row>
    <row r="2516" spans="1:10" x14ac:dyDescent="0.2">
      <c r="A2516" s="10"/>
      <c r="B2516" s="10"/>
      <c r="C2516" s="10"/>
      <c r="D2516" s="10"/>
      <c r="E2516" s="10"/>
      <c r="G2516" s="10"/>
    </row>
    <row r="2517" spans="1:10" x14ac:dyDescent="0.2">
      <c r="A2517" s="10"/>
      <c r="B2517" s="10"/>
      <c r="C2517" s="10"/>
      <c r="D2517" s="10"/>
      <c r="E2517" s="10"/>
      <c r="G2517" s="10"/>
    </row>
    <row r="2518" spans="1:10" x14ac:dyDescent="0.2">
      <c r="A2518" s="10"/>
      <c r="B2518" s="10"/>
      <c r="C2518" s="10"/>
      <c r="D2518" s="10"/>
      <c r="E2518" s="10"/>
      <c r="G2518" s="10"/>
    </row>
    <row r="2519" spans="1:10" x14ac:dyDescent="0.2">
      <c r="A2519" s="10"/>
      <c r="B2519" s="10"/>
      <c r="C2519" s="10"/>
      <c r="D2519" s="10"/>
      <c r="E2519" s="10"/>
      <c r="G2519" s="10"/>
    </row>
    <row r="2520" spans="1:10" x14ac:dyDescent="0.2">
      <c r="A2520" s="10"/>
      <c r="B2520" s="10"/>
      <c r="C2520" s="10"/>
      <c r="D2520" s="10"/>
      <c r="E2520" s="10"/>
      <c r="G2520" s="10"/>
    </row>
    <row r="2521" spans="1:10" x14ac:dyDescent="0.2">
      <c r="A2521" s="10"/>
      <c r="B2521" s="10"/>
      <c r="C2521" s="10"/>
      <c r="D2521" s="10"/>
      <c r="E2521" s="10"/>
      <c r="G2521" s="10"/>
    </row>
    <row r="2522" spans="1:10" x14ac:dyDescent="0.2">
      <c r="A2522" s="10"/>
      <c r="B2522" s="10"/>
      <c r="C2522" s="10"/>
      <c r="D2522" s="10"/>
      <c r="E2522" s="10"/>
      <c r="G2522" s="10"/>
    </row>
    <row r="2523" spans="1:10" x14ac:dyDescent="0.2">
      <c r="A2523" s="10"/>
      <c r="B2523" s="10"/>
      <c r="C2523" s="10"/>
      <c r="D2523" s="10"/>
      <c r="E2523" s="10"/>
      <c r="G2523" s="10"/>
      <c r="J2523" s="49"/>
    </row>
    <row r="2524" spans="1:10" x14ac:dyDescent="0.2">
      <c r="A2524" s="10"/>
      <c r="B2524" s="10"/>
      <c r="C2524" s="10"/>
      <c r="D2524" s="10"/>
      <c r="E2524" s="10"/>
      <c r="G2524" s="10"/>
    </row>
    <row r="2525" spans="1:10" x14ac:dyDescent="0.2">
      <c r="A2525" s="10"/>
      <c r="B2525" s="10"/>
      <c r="C2525" s="10"/>
      <c r="D2525" s="10"/>
      <c r="E2525" s="10"/>
      <c r="G2525" s="10"/>
    </row>
    <row r="2526" spans="1:10" x14ac:dyDescent="0.2">
      <c r="A2526" s="10"/>
      <c r="B2526" s="10"/>
      <c r="C2526" s="10"/>
      <c r="D2526" s="10"/>
      <c r="E2526" s="10"/>
      <c r="G2526" s="10"/>
    </row>
    <row r="2527" spans="1:10" x14ac:dyDescent="0.2">
      <c r="A2527" s="10"/>
      <c r="B2527" s="10"/>
      <c r="C2527" s="10"/>
      <c r="D2527" s="10"/>
      <c r="E2527" s="10"/>
      <c r="F2527" s="10"/>
    </row>
    <row r="2528" spans="1:10" x14ac:dyDescent="0.2">
      <c r="A2528" s="10"/>
      <c r="B2528" s="10"/>
      <c r="C2528" s="10"/>
      <c r="D2528" s="10"/>
      <c r="E2528" s="10"/>
      <c r="F2528" s="10"/>
    </row>
    <row r="2529" spans="1:7" x14ac:dyDescent="0.2">
      <c r="A2529" s="10"/>
      <c r="B2529" s="10"/>
      <c r="C2529" s="10"/>
      <c r="D2529" s="10"/>
      <c r="E2529" s="10"/>
      <c r="F2529" s="10"/>
    </row>
    <row r="2530" spans="1:7" x14ac:dyDescent="0.2">
      <c r="A2530" s="10"/>
      <c r="B2530" s="10"/>
      <c r="C2530" s="10"/>
      <c r="D2530" s="10"/>
      <c r="E2530" s="10"/>
      <c r="F2530" s="10"/>
    </row>
    <row r="2531" spans="1:7" x14ac:dyDescent="0.2">
      <c r="A2531" s="10"/>
      <c r="B2531" s="10"/>
      <c r="C2531" s="10"/>
      <c r="D2531" s="10"/>
      <c r="E2531" s="10"/>
      <c r="F2531" s="10"/>
    </row>
    <row r="2532" spans="1:7" x14ac:dyDescent="0.2">
      <c r="A2532" s="10"/>
      <c r="B2532" s="10"/>
      <c r="C2532" s="10"/>
      <c r="D2532" s="10"/>
      <c r="E2532" s="10"/>
      <c r="F2532" s="10"/>
    </row>
    <row r="2533" spans="1:7" x14ac:dyDescent="0.2">
      <c r="A2533" s="10"/>
      <c r="B2533" s="10"/>
      <c r="C2533" s="10"/>
      <c r="D2533" s="10"/>
      <c r="E2533" s="10"/>
      <c r="F2533" s="10"/>
    </row>
    <row r="2534" spans="1:7" x14ac:dyDescent="0.2">
      <c r="A2534" s="10"/>
      <c r="B2534" s="10"/>
      <c r="C2534" s="10"/>
      <c r="D2534" s="10"/>
      <c r="E2534" s="10"/>
      <c r="F2534" s="10"/>
    </row>
    <row r="2535" spans="1:7" x14ac:dyDescent="0.2">
      <c r="A2535" s="10"/>
      <c r="B2535" s="10"/>
      <c r="C2535" s="10"/>
      <c r="D2535" s="10"/>
      <c r="E2535" s="10"/>
      <c r="F2535" s="10"/>
    </row>
    <row r="2536" spans="1:7" x14ac:dyDescent="0.2">
      <c r="A2536" s="10"/>
      <c r="B2536" s="10"/>
      <c r="C2536" s="10"/>
      <c r="D2536" s="10"/>
      <c r="E2536" s="10"/>
      <c r="F2536" s="10"/>
    </row>
    <row r="2537" spans="1:7" x14ac:dyDescent="0.2">
      <c r="A2537" s="10"/>
      <c r="B2537" s="10"/>
      <c r="C2537" s="10"/>
      <c r="D2537" s="10"/>
      <c r="E2537" s="10"/>
      <c r="F2537" s="10"/>
    </row>
    <row r="2538" spans="1:7" x14ac:dyDescent="0.2">
      <c r="A2538" s="10"/>
      <c r="B2538" s="10"/>
      <c r="C2538" s="10"/>
      <c r="D2538" s="10"/>
      <c r="E2538" s="10"/>
      <c r="F2538" s="10"/>
    </row>
    <row r="2539" spans="1:7" x14ac:dyDescent="0.2">
      <c r="A2539" s="10"/>
      <c r="B2539" s="10"/>
      <c r="C2539" s="10"/>
      <c r="D2539" s="10"/>
      <c r="E2539" s="10"/>
      <c r="F2539" s="10"/>
    </row>
    <row r="2540" spans="1:7" x14ac:dyDescent="0.2">
      <c r="A2540" s="10"/>
      <c r="B2540" s="10"/>
      <c r="C2540" s="10"/>
      <c r="D2540" s="10"/>
      <c r="E2540" s="10"/>
      <c r="F2540" s="10"/>
    </row>
    <row r="2541" spans="1:7" x14ac:dyDescent="0.2">
      <c r="A2541" s="10"/>
      <c r="B2541" s="10"/>
      <c r="C2541" s="10"/>
      <c r="D2541" s="10"/>
      <c r="E2541" s="10"/>
      <c r="G2541" s="10"/>
    </row>
    <row r="2542" spans="1:7" x14ac:dyDescent="0.2">
      <c r="A2542" s="10"/>
      <c r="B2542" s="10"/>
      <c r="C2542" s="10"/>
      <c r="D2542" s="10"/>
      <c r="E2542" s="10"/>
      <c r="G2542" s="10"/>
    </row>
    <row r="2543" spans="1:7" x14ac:dyDescent="0.2">
      <c r="A2543" s="10"/>
      <c r="B2543" s="10"/>
      <c r="C2543" s="10"/>
      <c r="D2543" s="10"/>
      <c r="E2543" s="10"/>
      <c r="G2543" s="10"/>
    </row>
    <row r="2544" spans="1:7" x14ac:dyDescent="0.2">
      <c r="A2544" s="10"/>
      <c r="B2544" s="10"/>
      <c r="C2544" s="10"/>
      <c r="D2544" s="10"/>
      <c r="E2544" s="10"/>
      <c r="G2544" s="10"/>
    </row>
    <row r="2545" spans="1:7" x14ac:dyDescent="0.2">
      <c r="A2545" s="10"/>
      <c r="B2545" s="10"/>
      <c r="C2545" s="10"/>
      <c r="D2545" s="10"/>
      <c r="E2545" s="10"/>
      <c r="G2545" s="10"/>
    </row>
    <row r="2546" spans="1:7" x14ac:dyDescent="0.2">
      <c r="A2546" s="10"/>
      <c r="B2546" s="10"/>
      <c r="C2546" s="10"/>
      <c r="D2546" s="10"/>
      <c r="E2546" s="10"/>
      <c r="G2546" s="10"/>
    </row>
    <row r="2547" spans="1:7" x14ac:dyDescent="0.2">
      <c r="A2547" s="10"/>
      <c r="B2547" s="10"/>
      <c r="C2547" s="10"/>
      <c r="D2547" s="10"/>
      <c r="E2547" s="10"/>
      <c r="F2547" s="10"/>
    </row>
    <row r="2548" spans="1:7" x14ac:dyDescent="0.2">
      <c r="A2548" s="10"/>
      <c r="B2548" s="10"/>
      <c r="C2548" s="10"/>
      <c r="D2548" s="10"/>
      <c r="E2548" s="10"/>
      <c r="G2548" s="10"/>
    </row>
    <row r="2549" spans="1:7" x14ac:dyDescent="0.2">
      <c r="A2549" s="10"/>
      <c r="B2549" s="10"/>
      <c r="C2549" s="10"/>
      <c r="D2549" s="10"/>
      <c r="E2549" s="10"/>
      <c r="G2549" s="10"/>
    </row>
    <row r="2550" spans="1:7" x14ac:dyDescent="0.2">
      <c r="A2550" s="10"/>
      <c r="B2550" s="10"/>
      <c r="C2550" s="10"/>
      <c r="D2550" s="10"/>
      <c r="E2550" s="10"/>
      <c r="G2550" s="10"/>
    </row>
    <row r="2551" spans="1:7" x14ac:dyDescent="0.2">
      <c r="A2551" s="10"/>
      <c r="B2551" s="10"/>
      <c r="C2551" s="10"/>
      <c r="D2551" s="10"/>
      <c r="E2551" s="10"/>
      <c r="G2551" s="10"/>
    </row>
    <row r="2552" spans="1:7" x14ac:dyDescent="0.2">
      <c r="A2552" s="10"/>
      <c r="B2552" s="10"/>
      <c r="C2552" s="10"/>
      <c r="D2552" s="10"/>
      <c r="E2552" s="10"/>
      <c r="G2552" s="10"/>
    </row>
    <row r="2553" spans="1:7" x14ac:dyDescent="0.2">
      <c r="A2553" s="10"/>
      <c r="B2553" s="10"/>
      <c r="C2553" s="10"/>
      <c r="D2553" s="10"/>
      <c r="E2553" s="10"/>
      <c r="G2553" s="10"/>
    </row>
    <row r="2554" spans="1:7" x14ac:dyDescent="0.2">
      <c r="A2554" s="10"/>
      <c r="B2554" s="10"/>
      <c r="D2554" s="10"/>
      <c r="E2554" s="10"/>
      <c r="G2554" s="10"/>
    </row>
    <row r="2555" spans="1:7" x14ac:dyDescent="0.2">
      <c r="A2555" s="10"/>
      <c r="B2555" s="10"/>
      <c r="C2555" s="10"/>
      <c r="D2555" s="10"/>
      <c r="E2555" s="10"/>
      <c r="G2555" s="10"/>
    </row>
    <row r="2556" spans="1:7" x14ac:dyDescent="0.2">
      <c r="A2556" s="10"/>
      <c r="B2556" s="10"/>
      <c r="C2556" s="10"/>
      <c r="D2556" s="10"/>
      <c r="E2556" s="10"/>
      <c r="G2556" s="10"/>
    </row>
    <row r="2557" spans="1:7" x14ac:dyDescent="0.2">
      <c r="A2557" s="10"/>
      <c r="B2557" s="10"/>
      <c r="C2557" s="10"/>
      <c r="D2557" s="10"/>
      <c r="E2557" s="10"/>
      <c r="G2557" s="10"/>
    </row>
    <row r="2558" spans="1:7" x14ac:dyDescent="0.2">
      <c r="A2558" s="10"/>
      <c r="B2558" s="10"/>
      <c r="C2558" s="10"/>
      <c r="D2558" s="10"/>
      <c r="E2558" s="10"/>
      <c r="G2558" s="10"/>
    </row>
    <row r="2559" spans="1:7" x14ac:dyDescent="0.2">
      <c r="A2559" s="10"/>
      <c r="B2559" s="10"/>
      <c r="C2559" s="10"/>
      <c r="D2559" s="10"/>
      <c r="E2559" s="10"/>
      <c r="F2559" s="10"/>
    </row>
    <row r="2560" spans="1:7" x14ac:dyDescent="0.2">
      <c r="A2560" s="10"/>
      <c r="B2560" s="10"/>
      <c r="C2560" s="10"/>
      <c r="D2560" s="10"/>
      <c r="E2560" s="10"/>
      <c r="F2560" s="10"/>
    </row>
    <row r="2561" spans="1:7" x14ac:dyDescent="0.2">
      <c r="A2561" s="10"/>
      <c r="B2561" s="10"/>
      <c r="C2561" s="10"/>
      <c r="D2561" s="10"/>
      <c r="E2561" s="10"/>
      <c r="F2561" s="10"/>
    </row>
    <row r="2562" spans="1:7" x14ac:dyDescent="0.2">
      <c r="A2562" s="10"/>
      <c r="B2562" s="10"/>
      <c r="C2562" s="10"/>
      <c r="D2562" s="10"/>
      <c r="E2562" s="10"/>
      <c r="F2562" s="10"/>
    </row>
    <row r="2563" spans="1:7" x14ac:dyDescent="0.2">
      <c r="A2563" s="10"/>
      <c r="B2563" s="10"/>
      <c r="C2563" s="10"/>
      <c r="D2563" s="10"/>
      <c r="E2563" s="10"/>
      <c r="F2563" s="10"/>
    </row>
    <row r="2564" spans="1:7" x14ac:dyDescent="0.2">
      <c r="A2564" s="10"/>
      <c r="B2564" s="10"/>
      <c r="C2564" s="10"/>
      <c r="D2564" s="10"/>
      <c r="E2564" s="10"/>
      <c r="F2564" s="10"/>
    </row>
    <row r="2565" spans="1:7" x14ac:dyDescent="0.2">
      <c r="A2565" s="10"/>
      <c r="B2565" s="10"/>
      <c r="C2565" s="10"/>
      <c r="D2565" s="10"/>
      <c r="E2565" s="10"/>
      <c r="F2565" s="10"/>
    </row>
    <row r="2566" spans="1:7" x14ac:dyDescent="0.2">
      <c r="A2566" s="10"/>
      <c r="B2566" s="10"/>
      <c r="C2566" s="10"/>
      <c r="D2566" s="10"/>
      <c r="E2566" s="10"/>
      <c r="F2566" s="10"/>
    </row>
    <row r="2567" spans="1:7" x14ac:dyDescent="0.2">
      <c r="A2567" s="10"/>
      <c r="B2567" s="10"/>
      <c r="C2567" s="10"/>
      <c r="D2567" s="10"/>
      <c r="E2567" s="10"/>
      <c r="F2567" s="10"/>
    </row>
    <row r="2568" spans="1:7" x14ac:dyDescent="0.2">
      <c r="A2568" s="10"/>
      <c r="B2568" s="10"/>
      <c r="C2568" s="10"/>
      <c r="D2568" s="10"/>
      <c r="E2568" s="10"/>
      <c r="F2568" s="10"/>
    </row>
    <row r="2569" spans="1:7" x14ac:dyDescent="0.2">
      <c r="A2569" s="10"/>
      <c r="B2569" s="10"/>
      <c r="C2569" s="10"/>
      <c r="D2569" s="10"/>
      <c r="E2569" s="10"/>
      <c r="F2569" s="10"/>
    </row>
    <row r="2570" spans="1:7" x14ac:dyDescent="0.2">
      <c r="A2570" s="10"/>
      <c r="B2570" s="10"/>
      <c r="C2570" s="10"/>
      <c r="D2570" s="10"/>
      <c r="E2570" s="10"/>
      <c r="F2570" s="10"/>
    </row>
    <row r="2571" spans="1:7" x14ac:dyDescent="0.2">
      <c r="A2571" s="10"/>
      <c r="B2571" s="10"/>
      <c r="C2571" s="10"/>
      <c r="D2571" s="10"/>
      <c r="E2571" s="10"/>
      <c r="F2571" s="10"/>
    </row>
    <row r="2572" spans="1:7" x14ac:dyDescent="0.2">
      <c r="A2572" s="10"/>
      <c r="B2572" s="10"/>
      <c r="C2572" s="10"/>
      <c r="D2572" s="10"/>
      <c r="E2572" s="10"/>
      <c r="F2572" s="10"/>
    </row>
    <row r="2573" spans="1:7" x14ac:dyDescent="0.2">
      <c r="A2573" s="10"/>
      <c r="B2573" s="10"/>
      <c r="C2573" s="10"/>
      <c r="D2573" s="10"/>
      <c r="E2573" s="10"/>
      <c r="F2573" s="10"/>
    </row>
    <row r="2574" spans="1:7" x14ac:dyDescent="0.2">
      <c r="A2574" s="10"/>
      <c r="B2574" s="10"/>
      <c r="C2574" s="10"/>
      <c r="D2574" s="10"/>
      <c r="E2574" s="10"/>
      <c r="G2574" s="10"/>
    </row>
    <row r="2575" spans="1:7" x14ac:dyDescent="0.2">
      <c r="A2575" s="10"/>
      <c r="B2575" s="10"/>
      <c r="C2575" s="10"/>
      <c r="D2575" s="10"/>
      <c r="E2575" s="10"/>
      <c r="G2575" s="10"/>
    </row>
    <row r="2576" spans="1:7" x14ac:dyDescent="0.2">
      <c r="A2576" s="10"/>
      <c r="B2576" s="10"/>
      <c r="C2576" s="10"/>
      <c r="D2576" s="10"/>
      <c r="E2576" s="10"/>
      <c r="G2576" s="10"/>
    </row>
    <row r="2577" spans="1:7" x14ac:dyDescent="0.2">
      <c r="A2577" s="10"/>
      <c r="B2577" s="10"/>
      <c r="C2577" s="10"/>
      <c r="D2577" s="10"/>
      <c r="E2577" s="10"/>
      <c r="G2577" s="10"/>
    </row>
    <row r="2578" spans="1:7" x14ac:dyDescent="0.2">
      <c r="A2578" s="10"/>
      <c r="B2578" s="10"/>
      <c r="C2578" s="10"/>
      <c r="D2578" s="10"/>
      <c r="E2578" s="10"/>
      <c r="G2578" s="10"/>
    </row>
    <row r="2579" spans="1:7" x14ac:dyDescent="0.2">
      <c r="A2579" s="10"/>
      <c r="B2579" s="10"/>
      <c r="C2579" s="10"/>
      <c r="D2579" s="10"/>
      <c r="E2579" s="10"/>
      <c r="G2579" s="10"/>
    </row>
    <row r="2580" spans="1:7" x14ac:dyDescent="0.2">
      <c r="A2580" s="10"/>
      <c r="B2580" s="10"/>
      <c r="C2580" s="10"/>
      <c r="D2580" s="10"/>
      <c r="E2580" s="10"/>
      <c r="G2580" s="10"/>
    </row>
    <row r="2581" spans="1:7" x14ac:dyDescent="0.2">
      <c r="A2581" s="10"/>
      <c r="B2581" s="10"/>
      <c r="C2581" s="10"/>
      <c r="D2581" s="10"/>
      <c r="E2581" s="10"/>
      <c r="G2581" s="10"/>
    </row>
    <row r="2582" spans="1:7" x14ac:dyDescent="0.2">
      <c r="A2582" s="10"/>
      <c r="B2582" s="10"/>
      <c r="C2582" s="10"/>
      <c r="D2582" s="10"/>
      <c r="E2582" s="10"/>
      <c r="F2582" s="10"/>
    </row>
    <row r="2583" spans="1:7" x14ac:dyDescent="0.2">
      <c r="A2583" s="10"/>
      <c r="B2583" s="10"/>
      <c r="C2583" s="10"/>
      <c r="D2583" s="10"/>
      <c r="E2583" s="10"/>
      <c r="G2583" s="10"/>
    </row>
    <row r="2584" spans="1:7" x14ac:dyDescent="0.2">
      <c r="A2584" s="10"/>
      <c r="B2584" s="10"/>
      <c r="C2584" s="10"/>
      <c r="D2584" s="10"/>
      <c r="E2584" s="10"/>
      <c r="G2584" s="10"/>
    </row>
    <row r="2585" spans="1:7" x14ac:dyDescent="0.2">
      <c r="A2585" s="10"/>
      <c r="B2585" s="10"/>
      <c r="C2585" s="10"/>
      <c r="D2585" s="10"/>
      <c r="E2585" s="10"/>
      <c r="G2585" s="10"/>
    </row>
    <row r="2586" spans="1:7" x14ac:dyDescent="0.2">
      <c r="A2586" s="10"/>
      <c r="B2586" s="10"/>
      <c r="C2586" s="10"/>
      <c r="D2586" s="10"/>
      <c r="E2586" s="10"/>
      <c r="G2586" s="10"/>
    </row>
    <row r="2587" spans="1:7" x14ac:dyDescent="0.2">
      <c r="A2587" s="10"/>
      <c r="B2587" s="10"/>
      <c r="C2587" s="10"/>
      <c r="D2587" s="10"/>
      <c r="E2587" s="10"/>
      <c r="G2587" s="10"/>
    </row>
    <row r="2588" spans="1:7" x14ac:dyDescent="0.2">
      <c r="A2588" s="10"/>
      <c r="B2588" s="10"/>
      <c r="C2588" s="10"/>
      <c r="D2588" s="10"/>
      <c r="E2588" s="10"/>
      <c r="G2588" s="10"/>
    </row>
    <row r="2589" spans="1:7" x14ac:dyDescent="0.2">
      <c r="A2589" s="10"/>
      <c r="B2589" s="10"/>
      <c r="C2589" s="10"/>
      <c r="D2589" s="10"/>
      <c r="E2589" s="10"/>
      <c r="G2589" s="10"/>
    </row>
    <row r="2590" spans="1:7" x14ac:dyDescent="0.2">
      <c r="A2590" s="10"/>
      <c r="B2590" s="10"/>
      <c r="C2590" s="10"/>
      <c r="D2590" s="10"/>
      <c r="E2590" s="10"/>
      <c r="G2590" s="10"/>
    </row>
    <row r="2591" spans="1:7" x14ac:dyDescent="0.2">
      <c r="A2591" s="10"/>
      <c r="B2591" s="10"/>
      <c r="C2591" s="10"/>
      <c r="D2591" s="10"/>
      <c r="E2591" s="10"/>
      <c r="G2591" s="10"/>
    </row>
    <row r="2592" spans="1:7" x14ac:dyDescent="0.2">
      <c r="A2592" s="10"/>
      <c r="B2592" s="10"/>
      <c r="C2592" s="10"/>
      <c r="D2592" s="10"/>
      <c r="E2592" s="10"/>
      <c r="F2592" s="10"/>
    </row>
    <row r="2593" spans="1:7" x14ac:dyDescent="0.2">
      <c r="A2593" s="10"/>
      <c r="B2593" s="10"/>
      <c r="C2593" s="10"/>
      <c r="D2593" s="10"/>
      <c r="E2593" s="10"/>
      <c r="F2593" s="10"/>
    </row>
    <row r="2594" spans="1:7" x14ac:dyDescent="0.2">
      <c r="A2594" s="10"/>
      <c r="B2594" s="10"/>
      <c r="C2594" s="10"/>
      <c r="D2594" s="10"/>
      <c r="E2594" s="10"/>
      <c r="F2594" s="10"/>
    </row>
    <row r="2595" spans="1:7" x14ac:dyDescent="0.2">
      <c r="A2595" s="10"/>
      <c r="B2595" s="10"/>
      <c r="C2595" s="10"/>
      <c r="D2595" s="10"/>
      <c r="E2595" s="10"/>
      <c r="F2595" s="10"/>
    </row>
    <row r="2596" spans="1:7" x14ac:dyDescent="0.2">
      <c r="A2596" s="10"/>
      <c r="B2596" s="10"/>
      <c r="C2596" s="10"/>
      <c r="D2596" s="10"/>
      <c r="E2596" s="10"/>
      <c r="F2596" s="10"/>
    </row>
    <row r="2597" spans="1:7" x14ac:dyDescent="0.2">
      <c r="A2597" s="10"/>
      <c r="B2597" s="10"/>
      <c r="C2597" s="10"/>
      <c r="D2597" s="10"/>
      <c r="E2597" s="10"/>
      <c r="F2597" s="10"/>
    </row>
    <row r="2598" spans="1:7" x14ac:dyDescent="0.2">
      <c r="A2598" s="10"/>
      <c r="B2598" s="10"/>
      <c r="C2598" s="10"/>
      <c r="D2598" s="10"/>
      <c r="E2598" s="10"/>
      <c r="F2598" s="10"/>
    </row>
    <row r="2599" spans="1:7" x14ac:dyDescent="0.2">
      <c r="A2599" s="10"/>
      <c r="B2599" s="10"/>
      <c r="C2599" s="10"/>
      <c r="D2599" s="10"/>
      <c r="E2599" s="10"/>
      <c r="F2599" s="10"/>
    </row>
    <row r="2600" spans="1:7" x14ac:dyDescent="0.2">
      <c r="A2600" s="10"/>
      <c r="B2600" s="10"/>
      <c r="C2600" s="10"/>
      <c r="D2600" s="10"/>
      <c r="E2600" s="10"/>
      <c r="F2600" s="10"/>
    </row>
    <row r="2601" spans="1:7" x14ac:dyDescent="0.2">
      <c r="A2601" s="10"/>
      <c r="B2601" s="10"/>
      <c r="C2601" s="10"/>
      <c r="D2601" s="10"/>
      <c r="E2601" s="10"/>
      <c r="F2601" s="10"/>
    </row>
    <row r="2602" spans="1:7" x14ac:dyDescent="0.2">
      <c r="A2602" s="10"/>
      <c r="B2602" s="10"/>
      <c r="C2602" s="10"/>
      <c r="D2602" s="10"/>
      <c r="E2602" s="10"/>
      <c r="F2602" s="10"/>
    </row>
    <row r="2603" spans="1:7" x14ac:dyDescent="0.2">
      <c r="A2603" s="10"/>
      <c r="B2603" s="10"/>
      <c r="C2603" s="10"/>
      <c r="D2603" s="10"/>
      <c r="E2603" s="10"/>
      <c r="F2603" s="10"/>
    </row>
    <row r="2604" spans="1:7" x14ac:dyDescent="0.2">
      <c r="A2604" s="10"/>
      <c r="B2604" s="10"/>
      <c r="C2604" s="10"/>
      <c r="D2604" s="10"/>
      <c r="E2604" s="10"/>
      <c r="F2604" s="10"/>
    </row>
    <row r="2605" spans="1:7" x14ac:dyDescent="0.2">
      <c r="A2605" s="10"/>
      <c r="B2605" s="10"/>
      <c r="C2605" s="10"/>
      <c r="D2605" s="10"/>
      <c r="E2605" s="10"/>
      <c r="G2605" s="10"/>
    </row>
    <row r="2606" spans="1:7" x14ac:dyDescent="0.2">
      <c r="A2606" s="10"/>
      <c r="B2606" s="10"/>
      <c r="C2606" s="10"/>
      <c r="D2606" s="10"/>
      <c r="E2606" s="10"/>
      <c r="G2606" s="10"/>
    </row>
    <row r="2607" spans="1:7" x14ac:dyDescent="0.2">
      <c r="A2607" s="10"/>
      <c r="B2607" s="10"/>
      <c r="C2607" s="10"/>
      <c r="D2607" s="10"/>
      <c r="E2607" s="10"/>
      <c r="G2607" s="10"/>
    </row>
    <row r="2608" spans="1:7" x14ac:dyDescent="0.2">
      <c r="A2608" s="10"/>
      <c r="B2608" s="10"/>
      <c r="C2608" s="10"/>
      <c r="D2608" s="10"/>
      <c r="E2608" s="10"/>
      <c r="G2608" s="10"/>
    </row>
    <row r="2609" spans="1:7" x14ac:dyDescent="0.2">
      <c r="A2609" s="10"/>
      <c r="B2609" s="10"/>
      <c r="C2609" s="10"/>
      <c r="D2609" s="10"/>
      <c r="E2609" s="10"/>
      <c r="G2609" s="10"/>
    </row>
    <row r="2610" spans="1:7" x14ac:dyDescent="0.2">
      <c r="A2610" s="10"/>
      <c r="B2610" s="10"/>
      <c r="C2610" s="10"/>
      <c r="D2610" s="10"/>
      <c r="E2610" s="10"/>
      <c r="G2610" s="10"/>
    </row>
    <row r="2611" spans="1:7" x14ac:dyDescent="0.2">
      <c r="A2611" s="10"/>
      <c r="B2611" s="10"/>
      <c r="C2611" s="10"/>
      <c r="D2611" s="10"/>
      <c r="E2611" s="10"/>
      <c r="G2611" s="10"/>
    </row>
    <row r="2612" spans="1:7" x14ac:dyDescent="0.2">
      <c r="A2612" s="10"/>
      <c r="B2612" s="10"/>
      <c r="C2612" s="10"/>
      <c r="D2612" s="10"/>
      <c r="E2612" s="10"/>
      <c r="G2612" s="10"/>
    </row>
    <row r="2613" spans="1:7" x14ac:dyDescent="0.2">
      <c r="A2613" s="10"/>
      <c r="B2613" s="10"/>
      <c r="C2613" s="10"/>
      <c r="D2613" s="10"/>
      <c r="E2613" s="10"/>
      <c r="G2613" s="10"/>
    </row>
    <row r="2614" spans="1:7" x14ac:dyDescent="0.2">
      <c r="A2614" s="10"/>
      <c r="B2614" s="10"/>
      <c r="C2614" s="10"/>
      <c r="D2614" s="10"/>
      <c r="E2614" s="10"/>
      <c r="G2614" s="10"/>
    </row>
    <row r="2615" spans="1:7" x14ac:dyDescent="0.2">
      <c r="A2615" s="10"/>
      <c r="B2615" s="10"/>
      <c r="C2615" s="10"/>
      <c r="D2615" s="10"/>
      <c r="E2615" s="10"/>
      <c r="G2615" s="10"/>
    </row>
    <row r="2616" spans="1:7" x14ac:dyDescent="0.2">
      <c r="A2616" s="10"/>
      <c r="B2616" s="10"/>
      <c r="C2616" s="10"/>
      <c r="D2616" s="10"/>
      <c r="E2616" s="10"/>
      <c r="G2616" s="10"/>
    </row>
    <row r="2617" spans="1:7" x14ac:dyDescent="0.2">
      <c r="A2617" s="10"/>
      <c r="B2617" s="10"/>
      <c r="C2617" s="10"/>
      <c r="D2617" s="10"/>
      <c r="E2617" s="10"/>
      <c r="G2617" s="10"/>
    </row>
    <row r="2618" spans="1:7" x14ac:dyDescent="0.2">
      <c r="A2618" s="10"/>
      <c r="B2618" s="10"/>
      <c r="C2618" s="10"/>
      <c r="D2618" s="10"/>
      <c r="E2618" s="10"/>
      <c r="G2618" s="10"/>
    </row>
    <row r="2619" spans="1:7" x14ac:dyDescent="0.2">
      <c r="A2619" s="10"/>
      <c r="B2619" s="10"/>
      <c r="C2619" s="10"/>
      <c r="D2619" s="10"/>
      <c r="E2619" s="10"/>
      <c r="G2619" s="10"/>
    </row>
    <row r="2620" spans="1:7" x14ac:dyDescent="0.2">
      <c r="A2620" s="10"/>
      <c r="B2620" s="10"/>
      <c r="D2620" s="10"/>
      <c r="E2620" s="10"/>
      <c r="G2620" s="10"/>
    </row>
    <row r="2621" spans="1:7" x14ac:dyDescent="0.2">
      <c r="A2621" s="10"/>
      <c r="B2621" s="10"/>
      <c r="C2621" s="10"/>
      <c r="D2621" s="10"/>
      <c r="E2621" s="10"/>
      <c r="G2621" s="10"/>
    </row>
    <row r="2622" spans="1:7" x14ac:dyDescent="0.2">
      <c r="A2622" s="10"/>
      <c r="B2622" s="10"/>
      <c r="C2622" s="10"/>
      <c r="D2622" s="10"/>
      <c r="E2622" s="10"/>
      <c r="G2622" s="10"/>
    </row>
    <row r="2623" spans="1:7" x14ac:dyDescent="0.2">
      <c r="A2623" s="10"/>
      <c r="B2623" s="10"/>
      <c r="C2623" s="10"/>
      <c r="D2623" s="10"/>
      <c r="E2623" s="10"/>
      <c r="G2623" s="10"/>
    </row>
    <row r="2624" spans="1:7" x14ac:dyDescent="0.2">
      <c r="A2624" s="10"/>
      <c r="B2624" s="10"/>
      <c r="C2624" s="10"/>
      <c r="D2624" s="10"/>
      <c r="E2624" s="10"/>
      <c r="G2624" s="10"/>
    </row>
    <row r="2625" spans="1:7" x14ac:dyDescent="0.2">
      <c r="A2625" s="10"/>
      <c r="B2625" s="10"/>
      <c r="C2625" s="10"/>
      <c r="D2625" s="10"/>
      <c r="E2625" s="10"/>
      <c r="F2625" s="10"/>
    </row>
    <row r="2626" spans="1:7" x14ac:dyDescent="0.2">
      <c r="A2626" s="10"/>
      <c r="B2626" s="10"/>
      <c r="C2626" s="10"/>
      <c r="D2626" s="10"/>
      <c r="E2626" s="10"/>
      <c r="F2626" s="10"/>
    </row>
    <row r="2627" spans="1:7" x14ac:dyDescent="0.2">
      <c r="A2627" s="10"/>
      <c r="B2627" s="10"/>
      <c r="C2627" s="10"/>
      <c r="D2627" s="10"/>
      <c r="E2627" s="10"/>
      <c r="F2627" s="10"/>
    </row>
    <row r="2628" spans="1:7" x14ac:dyDescent="0.2">
      <c r="A2628" s="10"/>
      <c r="B2628" s="10"/>
      <c r="C2628" s="10"/>
      <c r="D2628" s="10"/>
      <c r="E2628" s="10"/>
      <c r="F2628" s="10"/>
    </row>
    <row r="2629" spans="1:7" x14ac:dyDescent="0.2">
      <c r="A2629" s="10"/>
      <c r="B2629" s="10"/>
      <c r="C2629" s="10"/>
      <c r="D2629" s="10"/>
      <c r="E2629" s="10"/>
      <c r="F2629" s="10"/>
    </row>
    <row r="2630" spans="1:7" x14ac:dyDescent="0.2">
      <c r="A2630" s="10"/>
      <c r="B2630" s="10"/>
      <c r="C2630" s="10"/>
      <c r="D2630" s="10"/>
      <c r="E2630" s="10"/>
      <c r="F2630" s="10"/>
    </row>
    <row r="2631" spans="1:7" x14ac:dyDescent="0.2">
      <c r="A2631" s="10"/>
      <c r="B2631" s="10"/>
      <c r="C2631" s="10"/>
      <c r="D2631" s="10"/>
      <c r="E2631" s="10"/>
      <c r="F2631" s="10"/>
    </row>
    <row r="2632" spans="1:7" x14ac:dyDescent="0.2">
      <c r="A2632" s="10"/>
      <c r="B2632" s="10"/>
      <c r="C2632" s="10"/>
      <c r="D2632" s="10"/>
      <c r="E2632" s="10"/>
      <c r="F2632" s="10"/>
    </row>
    <row r="2633" spans="1:7" x14ac:dyDescent="0.2">
      <c r="A2633" s="10"/>
      <c r="B2633" s="10"/>
      <c r="C2633" s="10"/>
      <c r="D2633" s="10"/>
      <c r="E2633" s="10"/>
      <c r="F2633" s="10"/>
    </row>
    <row r="2634" spans="1:7" x14ac:dyDescent="0.2">
      <c r="A2634" s="10"/>
      <c r="B2634" s="10"/>
      <c r="C2634" s="10"/>
      <c r="D2634" s="10"/>
      <c r="E2634" s="10"/>
      <c r="F2634" s="10"/>
    </row>
    <row r="2635" spans="1:7" x14ac:dyDescent="0.2">
      <c r="A2635" s="10"/>
      <c r="B2635" s="10"/>
      <c r="C2635" s="10"/>
      <c r="D2635" s="10"/>
      <c r="E2635" s="10"/>
      <c r="F2635" s="10"/>
    </row>
    <row r="2636" spans="1:7" x14ac:dyDescent="0.2">
      <c r="A2636" s="10"/>
      <c r="B2636" s="10"/>
      <c r="C2636" s="10"/>
      <c r="D2636" s="10"/>
      <c r="E2636" s="10"/>
      <c r="F2636" s="10"/>
    </row>
    <row r="2637" spans="1:7" x14ac:dyDescent="0.2">
      <c r="A2637" s="10"/>
      <c r="B2637" s="10"/>
      <c r="C2637" s="10"/>
      <c r="D2637" s="10"/>
      <c r="E2637" s="10"/>
      <c r="F2637" s="10"/>
    </row>
    <row r="2638" spans="1:7" x14ac:dyDescent="0.2">
      <c r="A2638" s="10"/>
      <c r="B2638" s="10"/>
      <c r="C2638" s="10"/>
      <c r="D2638" s="10"/>
      <c r="E2638" s="10"/>
      <c r="F2638" s="10"/>
    </row>
    <row r="2639" spans="1:7" x14ac:dyDescent="0.2">
      <c r="A2639" s="10"/>
      <c r="B2639" s="10"/>
      <c r="C2639" s="10"/>
      <c r="D2639" s="10"/>
      <c r="E2639" s="10"/>
      <c r="F2639" s="10"/>
    </row>
    <row r="2640" spans="1:7" x14ac:dyDescent="0.2">
      <c r="A2640" s="10"/>
      <c r="B2640" s="10"/>
      <c r="C2640" s="10"/>
      <c r="D2640" s="10"/>
      <c r="E2640" s="10"/>
      <c r="G2640" s="10"/>
    </row>
    <row r="2641" spans="1:7" x14ac:dyDescent="0.2">
      <c r="A2641" s="10"/>
      <c r="B2641" s="10"/>
      <c r="C2641" s="10"/>
      <c r="D2641" s="10"/>
      <c r="E2641" s="10"/>
      <c r="G2641" s="10"/>
    </row>
    <row r="2642" spans="1:7" x14ac:dyDescent="0.2">
      <c r="A2642" s="10"/>
      <c r="B2642" s="10"/>
      <c r="C2642" s="10"/>
      <c r="D2642" s="10"/>
      <c r="E2642" s="10"/>
      <c r="G2642" s="10"/>
    </row>
    <row r="2643" spans="1:7" x14ac:dyDescent="0.2">
      <c r="A2643" s="10"/>
      <c r="B2643" s="10"/>
      <c r="C2643" s="10"/>
      <c r="D2643" s="10"/>
      <c r="E2643" s="10"/>
      <c r="G2643" s="10"/>
    </row>
    <row r="2644" spans="1:7" x14ac:dyDescent="0.2">
      <c r="A2644" s="10"/>
      <c r="B2644" s="10"/>
      <c r="C2644" s="10"/>
      <c r="D2644" s="10"/>
      <c r="E2644" s="10"/>
      <c r="G2644" s="10"/>
    </row>
    <row r="2645" spans="1:7" x14ac:dyDescent="0.2">
      <c r="A2645" s="10"/>
      <c r="B2645" s="10"/>
      <c r="C2645" s="10"/>
      <c r="D2645" s="10"/>
      <c r="E2645" s="10"/>
      <c r="G2645" s="10"/>
    </row>
    <row r="2646" spans="1:7" x14ac:dyDescent="0.2">
      <c r="A2646" s="10"/>
      <c r="B2646" s="10"/>
      <c r="C2646" s="10"/>
      <c r="D2646" s="10"/>
      <c r="E2646" s="10"/>
      <c r="G2646" s="10"/>
    </row>
    <row r="2647" spans="1:7" x14ac:dyDescent="0.2">
      <c r="A2647" s="10"/>
      <c r="B2647" s="10"/>
      <c r="C2647" s="10"/>
      <c r="D2647" s="10"/>
      <c r="E2647" s="10"/>
      <c r="G2647" s="10"/>
    </row>
    <row r="2648" spans="1:7" x14ac:dyDescent="0.2">
      <c r="A2648" s="10"/>
      <c r="B2648" s="10"/>
      <c r="C2648" s="10"/>
      <c r="D2648" s="10"/>
      <c r="E2648" s="10"/>
      <c r="G2648" s="10"/>
    </row>
    <row r="2649" spans="1:7" x14ac:dyDescent="0.2">
      <c r="A2649" s="10"/>
      <c r="B2649" s="10"/>
      <c r="C2649" s="10"/>
      <c r="D2649" s="10"/>
      <c r="E2649" s="10"/>
      <c r="G2649" s="10"/>
    </row>
    <row r="2650" spans="1:7" x14ac:dyDescent="0.2">
      <c r="A2650" s="10"/>
      <c r="B2650" s="10"/>
      <c r="C2650" s="10"/>
      <c r="D2650" s="10"/>
      <c r="E2650" s="10"/>
      <c r="G2650" s="10"/>
    </row>
    <row r="2651" spans="1:7" x14ac:dyDescent="0.2">
      <c r="A2651" s="10"/>
      <c r="B2651" s="10"/>
      <c r="C2651" s="10"/>
      <c r="D2651" s="10"/>
      <c r="E2651" s="10"/>
      <c r="G2651" s="10"/>
    </row>
    <row r="2652" spans="1:7" x14ac:dyDescent="0.2">
      <c r="A2652" s="10"/>
      <c r="B2652" s="10"/>
      <c r="C2652" s="10"/>
      <c r="D2652" s="10"/>
      <c r="E2652" s="10"/>
      <c r="G2652" s="10"/>
    </row>
    <row r="2653" spans="1:7" x14ac:dyDescent="0.2">
      <c r="A2653" s="10"/>
      <c r="B2653" s="10"/>
      <c r="C2653" s="10"/>
      <c r="D2653" s="10"/>
      <c r="E2653" s="10"/>
      <c r="G2653" s="10"/>
    </row>
    <row r="2654" spans="1:7" x14ac:dyDescent="0.2">
      <c r="A2654" s="10"/>
      <c r="B2654" s="10"/>
      <c r="C2654" s="10"/>
      <c r="D2654" s="10"/>
      <c r="E2654" s="10"/>
      <c r="G2654" s="10"/>
    </row>
    <row r="2655" spans="1:7" x14ac:dyDescent="0.2">
      <c r="A2655" s="10"/>
      <c r="B2655" s="10"/>
      <c r="C2655" s="10"/>
      <c r="D2655" s="10"/>
      <c r="E2655" s="10"/>
      <c r="G2655" s="10"/>
    </row>
    <row r="2656" spans="1:7" x14ac:dyDescent="0.2">
      <c r="A2656" s="10"/>
      <c r="B2656" s="10"/>
      <c r="C2656" s="10"/>
      <c r="D2656" s="10"/>
      <c r="E2656" s="10"/>
      <c r="G2656" s="10"/>
    </row>
    <row r="2657" spans="1:7" x14ac:dyDescent="0.2">
      <c r="A2657" s="10"/>
      <c r="B2657" s="10"/>
      <c r="C2657" s="10"/>
      <c r="D2657" s="10"/>
      <c r="E2657" s="10"/>
      <c r="G2657" s="10"/>
    </row>
    <row r="2658" spans="1:7" x14ac:dyDescent="0.2">
      <c r="A2658" s="10"/>
      <c r="B2658" s="10"/>
      <c r="C2658" s="10"/>
      <c r="D2658" s="10"/>
      <c r="E2658" s="10"/>
      <c r="G2658" s="10"/>
    </row>
    <row r="2659" spans="1:7" x14ac:dyDescent="0.2">
      <c r="A2659" s="10"/>
      <c r="B2659" s="10"/>
      <c r="C2659" s="10"/>
      <c r="D2659" s="10"/>
      <c r="E2659" s="10"/>
      <c r="G2659" s="10"/>
    </row>
    <row r="2660" spans="1:7" x14ac:dyDescent="0.2">
      <c r="A2660" s="10"/>
      <c r="B2660" s="10"/>
      <c r="C2660" s="10"/>
      <c r="D2660" s="10"/>
      <c r="E2660" s="10"/>
      <c r="G2660" s="10"/>
    </row>
    <row r="2661" spans="1:7" x14ac:dyDescent="0.2">
      <c r="A2661" s="10"/>
      <c r="B2661" s="10"/>
      <c r="C2661" s="10"/>
      <c r="D2661" s="10"/>
      <c r="E2661" s="10"/>
      <c r="G2661" s="10"/>
    </row>
    <row r="2662" spans="1:7" x14ac:dyDescent="0.2">
      <c r="A2662" s="10"/>
      <c r="B2662" s="10"/>
      <c r="C2662" s="10"/>
      <c r="D2662" s="10"/>
      <c r="E2662" s="10"/>
      <c r="F2662" s="10"/>
    </row>
    <row r="2663" spans="1:7" x14ac:dyDescent="0.2">
      <c r="A2663" s="10"/>
      <c r="B2663" s="10"/>
      <c r="C2663" s="10"/>
      <c r="D2663" s="10"/>
      <c r="E2663" s="10"/>
      <c r="F2663" s="10"/>
    </row>
    <row r="2664" spans="1:7" x14ac:dyDescent="0.2">
      <c r="A2664" s="10"/>
      <c r="B2664" s="10"/>
      <c r="C2664" s="10"/>
      <c r="D2664" s="10"/>
      <c r="E2664" s="10"/>
      <c r="F2664" s="10"/>
    </row>
    <row r="2665" spans="1:7" x14ac:dyDescent="0.2">
      <c r="A2665" s="10"/>
      <c r="B2665" s="10"/>
      <c r="C2665" s="10"/>
      <c r="D2665" s="10"/>
      <c r="E2665" s="10"/>
      <c r="F2665" s="10"/>
    </row>
    <row r="2666" spans="1:7" x14ac:dyDescent="0.2">
      <c r="A2666" s="10"/>
      <c r="B2666" s="10"/>
      <c r="C2666" s="10"/>
      <c r="D2666" s="10"/>
      <c r="E2666" s="10"/>
      <c r="F2666" s="10"/>
    </row>
    <row r="2667" spans="1:7" x14ac:dyDescent="0.2">
      <c r="A2667" s="10"/>
      <c r="B2667" s="10"/>
      <c r="C2667" s="10"/>
      <c r="D2667" s="10"/>
      <c r="E2667" s="10"/>
      <c r="F2667" s="10"/>
    </row>
    <row r="2668" spans="1:7" x14ac:dyDescent="0.2">
      <c r="A2668" s="10"/>
      <c r="B2668" s="10"/>
      <c r="C2668" s="10"/>
      <c r="D2668" s="10"/>
      <c r="E2668" s="10"/>
      <c r="F2668" s="10"/>
    </row>
    <row r="2669" spans="1:7" x14ac:dyDescent="0.2">
      <c r="A2669" s="10"/>
      <c r="B2669" s="10"/>
      <c r="C2669" s="10"/>
      <c r="D2669" s="10"/>
      <c r="E2669" s="10"/>
      <c r="F2669" s="10"/>
    </row>
    <row r="2670" spans="1:7" x14ac:dyDescent="0.2">
      <c r="A2670" s="10"/>
      <c r="B2670" s="10"/>
      <c r="C2670" s="10"/>
      <c r="D2670" s="10"/>
      <c r="E2670" s="10"/>
      <c r="F2670" s="10"/>
    </row>
    <row r="2671" spans="1:7" x14ac:dyDescent="0.2">
      <c r="A2671" s="10"/>
      <c r="B2671" s="10"/>
      <c r="C2671" s="10"/>
      <c r="D2671" s="10"/>
      <c r="E2671" s="10"/>
      <c r="F2671" s="10"/>
    </row>
    <row r="2672" spans="1:7" x14ac:dyDescent="0.2">
      <c r="A2672" s="10"/>
      <c r="B2672" s="10"/>
      <c r="C2672" s="10"/>
      <c r="D2672" s="10"/>
      <c r="E2672" s="10"/>
      <c r="F2672" s="10"/>
    </row>
    <row r="2673" spans="1:7" x14ac:dyDescent="0.2">
      <c r="A2673" s="10"/>
      <c r="B2673" s="10"/>
      <c r="C2673" s="10"/>
      <c r="D2673" s="10"/>
      <c r="E2673" s="10"/>
      <c r="F2673" s="10"/>
    </row>
    <row r="2674" spans="1:7" x14ac:dyDescent="0.2">
      <c r="A2674" s="10"/>
      <c r="B2674" s="10"/>
      <c r="C2674" s="10"/>
      <c r="D2674" s="10"/>
      <c r="E2674" s="10"/>
      <c r="F2674" s="10"/>
    </row>
    <row r="2675" spans="1:7" x14ac:dyDescent="0.2">
      <c r="A2675" s="10"/>
      <c r="B2675" s="10"/>
      <c r="C2675" s="10"/>
      <c r="D2675" s="10"/>
      <c r="E2675" s="10"/>
      <c r="G2675" s="10"/>
    </row>
    <row r="2676" spans="1:7" x14ac:dyDescent="0.2">
      <c r="A2676" s="10"/>
      <c r="B2676" s="10"/>
      <c r="C2676" s="10"/>
      <c r="D2676" s="10"/>
      <c r="E2676" s="10"/>
      <c r="G2676" s="10"/>
    </row>
    <row r="2677" spans="1:7" x14ac:dyDescent="0.2">
      <c r="A2677" s="10"/>
      <c r="B2677" s="10"/>
      <c r="C2677" s="10"/>
      <c r="D2677" s="10"/>
      <c r="E2677" s="10"/>
      <c r="G2677" s="10"/>
    </row>
    <row r="2678" spans="1:7" x14ac:dyDescent="0.2">
      <c r="A2678" s="10"/>
      <c r="B2678" s="10"/>
      <c r="C2678" s="10"/>
      <c r="D2678" s="10"/>
      <c r="E2678" s="10"/>
      <c r="G2678" s="10"/>
    </row>
    <row r="2679" spans="1:7" x14ac:dyDescent="0.2">
      <c r="A2679" s="10"/>
      <c r="B2679" s="10"/>
      <c r="C2679" s="10"/>
      <c r="D2679" s="10"/>
      <c r="E2679" s="10"/>
      <c r="G2679" s="10"/>
    </row>
    <row r="2680" spans="1:7" x14ac:dyDescent="0.2">
      <c r="A2680" s="10"/>
      <c r="B2680" s="10"/>
      <c r="C2680" s="10"/>
      <c r="D2680" s="10"/>
      <c r="E2680" s="10"/>
      <c r="G2680" s="10"/>
    </row>
    <row r="2681" spans="1:7" x14ac:dyDescent="0.2">
      <c r="A2681" s="10"/>
      <c r="B2681" s="10"/>
      <c r="C2681" s="10"/>
      <c r="D2681" s="10"/>
      <c r="E2681" s="10"/>
      <c r="G2681" s="10"/>
    </row>
    <row r="2682" spans="1:7" x14ac:dyDescent="0.2">
      <c r="A2682" s="10"/>
      <c r="B2682" s="10"/>
      <c r="C2682" s="10"/>
      <c r="D2682" s="10"/>
      <c r="E2682" s="10"/>
      <c r="G2682" s="10"/>
    </row>
    <row r="2683" spans="1:7" x14ac:dyDescent="0.2">
      <c r="A2683" s="10"/>
      <c r="B2683" s="10"/>
      <c r="C2683" s="10"/>
      <c r="D2683" s="10"/>
      <c r="E2683" s="10"/>
      <c r="G2683" s="10"/>
    </row>
    <row r="2684" spans="1:7" x14ac:dyDescent="0.2">
      <c r="A2684" s="10"/>
      <c r="B2684" s="10"/>
      <c r="C2684" s="10"/>
      <c r="D2684" s="10"/>
      <c r="E2684" s="10"/>
      <c r="G2684" s="10"/>
    </row>
    <row r="2685" spans="1:7" x14ac:dyDescent="0.2">
      <c r="A2685" s="10"/>
      <c r="B2685" s="10"/>
      <c r="C2685" s="10"/>
      <c r="D2685" s="10"/>
      <c r="E2685" s="10"/>
      <c r="G2685" s="10"/>
    </row>
    <row r="2686" spans="1:7" x14ac:dyDescent="0.2">
      <c r="A2686" s="10"/>
      <c r="B2686" s="10"/>
      <c r="C2686" s="10"/>
      <c r="D2686" s="10"/>
      <c r="E2686" s="10"/>
      <c r="G2686" s="10"/>
    </row>
    <row r="2687" spans="1:7" x14ac:dyDescent="0.2">
      <c r="A2687" s="10"/>
      <c r="B2687" s="10"/>
      <c r="C2687" s="10"/>
      <c r="D2687" s="10"/>
      <c r="E2687" s="10"/>
      <c r="G2687" s="10"/>
    </row>
    <row r="2688" spans="1:7" x14ac:dyDescent="0.2">
      <c r="A2688" s="10"/>
      <c r="B2688" s="10"/>
      <c r="C2688" s="10"/>
      <c r="D2688" s="10"/>
      <c r="E2688" s="10"/>
      <c r="G2688" s="10"/>
    </row>
    <row r="2689" spans="1:7" x14ac:dyDescent="0.2">
      <c r="A2689" s="10"/>
      <c r="B2689" s="10"/>
      <c r="C2689" s="10"/>
      <c r="D2689" s="10"/>
      <c r="E2689" s="10"/>
      <c r="G2689" s="10"/>
    </row>
    <row r="2690" spans="1:7" x14ac:dyDescent="0.2">
      <c r="A2690" s="10"/>
      <c r="B2690" s="10"/>
      <c r="C2690" s="10"/>
      <c r="D2690" s="10"/>
      <c r="E2690" s="10"/>
      <c r="G2690" s="10"/>
    </row>
    <row r="2691" spans="1:7" x14ac:dyDescent="0.2">
      <c r="A2691" s="10"/>
      <c r="B2691" s="10"/>
      <c r="C2691" s="10"/>
      <c r="D2691" s="10"/>
      <c r="E2691" s="10"/>
      <c r="F2691" s="10"/>
    </row>
    <row r="2692" spans="1:7" x14ac:dyDescent="0.2">
      <c r="A2692" s="10"/>
      <c r="B2692" s="10"/>
      <c r="C2692" s="10"/>
      <c r="D2692" s="10"/>
      <c r="E2692" s="10"/>
      <c r="F2692" s="10"/>
    </row>
    <row r="2693" spans="1:7" x14ac:dyDescent="0.2">
      <c r="A2693" s="10"/>
      <c r="B2693" s="10"/>
      <c r="C2693" s="10"/>
      <c r="D2693" s="10"/>
      <c r="E2693" s="10"/>
      <c r="F2693" s="10"/>
    </row>
    <row r="2694" spans="1:7" x14ac:dyDescent="0.2">
      <c r="A2694" s="10"/>
      <c r="B2694" s="10"/>
      <c r="C2694" s="10"/>
      <c r="D2694" s="10"/>
      <c r="E2694" s="10"/>
      <c r="F2694" s="10"/>
    </row>
    <row r="2695" spans="1:7" x14ac:dyDescent="0.2">
      <c r="A2695" s="10"/>
      <c r="B2695" s="10"/>
      <c r="C2695" s="10"/>
      <c r="D2695" s="10"/>
      <c r="E2695" s="10"/>
      <c r="F2695" s="10"/>
    </row>
    <row r="2696" spans="1:7" x14ac:dyDescent="0.2">
      <c r="A2696" s="10"/>
      <c r="B2696" s="10"/>
      <c r="C2696" s="10"/>
      <c r="D2696" s="10"/>
      <c r="E2696" s="10"/>
      <c r="F2696" s="10"/>
    </row>
    <row r="2697" spans="1:7" x14ac:dyDescent="0.2">
      <c r="A2697" s="10"/>
      <c r="B2697" s="10"/>
      <c r="C2697" s="10"/>
      <c r="D2697" s="10"/>
      <c r="E2697" s="10"/>
      <c r="F2697" s="10"/>
    </row>
    <row r="2698" spans="1:7" x14ac:dyDescent="0.2">
      <c r="A2698" s="10"/>
      <c r="B2698" s="10"/>
      <c r="C2698" s="10"/>
      <c r="D2698" s="10"/>
      <c r="E2698" s="10"/>
      <c r="F2698" s="10"/>
    </row>
    <row r="2699" spans="1:7" x14ac:dyDescent="0.2">
      <c r="A2699" s="10"/>
      <c r="B2699" s="10"/>
      <c r="C2699" s="10"/>
      <c r="D2699" s="10"/>
      <c r="E2699" s="10"/>
      <c r="F2699" s="10"/>
    </row>
    <row r="2700" spans="1:7" x14ac:dyDescent="0.2">
      <c r="A2700" s="10"/>
      <c r="B2700" s="10"/>
      <c r="C2700" s="10"/>
      <c r="D2700" s="10"/>
      <c r="E2700" s="10"/>
      <c r="F2700" s="10"/>
    </row>
    <row r="2701" spans="1:7" x14ac:dyDescent="0.2">
      <c r="A2701" s="10"/>
      <c r="B2701" s="10"/>
      <c r="C2701" s="10"/>
      <c r="D2701" s="10"/>
      <c r="E2701" s="10"/>
      <c r="F2701" s="10"/>
    </row>
    <row r="2702" spans="1:7" x14ac:dyDescent="0.2">
      <c r="A2702" s="10"/>
      <c r="B2702" s="10"/>
      <c r="C2702" s="10"/>
      <c r="D2702" s="10"/>
      <c r="E2702" s="10"/>
      <c r="F2702" s="10"/>
    </row>
    <row r="2703" spans="1:7" x14ac:dyDescent="0.2">
      <c r="A2703" s="10"/>
      <c r="B2703" s="10"/>
      <c r="C2703" s="10"/>
      <c r="D2703" s="10"/>
      <c r="E2703" s="10"/>
      <c r="G2703" s="10"/>
    </row>
    <row r="2704" spans="1:7" x14ac:dyDescent="0.2">
      <c r="A2704" s="10"/>
      <c r="B2704" s="10"/>
      <c r="C2704" s="10"/>
      <c r="D2704" s="10"/>
      <c r="E2704" s="10"/>
      <c r="G2704" s="10"/>
    </row>
    <row r="2705" spans="1:7" x14ac:dyDescent="0.2">
      <c r="A2705" s="10"/>
      <c r="B2705" s="10"/>
      <c r="C2705" s="10"/>
      <c r="D2705" s="10"/>
      <c r="E2705" s="10"/>
      <c r="G2705" s="10"/>
    </row>
    <row r="2706" spans="1:7" x14ac:dyDescent="0.2">
      <c r="A2706" s="10"/>
      <c r="B2706" s="10"/>
      <c r="C2706" s="10"/>
      <c r="D2706" s="10"/>
      <c r="E2706" s="10"/>
      <c r="G2706" s="10"/>
    </row>
    <row r="2707" spans="1:7" x14ac:dyDescent="0.2">
      <c r="A2707" s="10"/>
      <c r="B2707" s="10"/>
      <c r="C2707" s="10"/>
      <c r="D2707" s="10"/>
      <c r="E2707" s="10"/>
      <c r="G2707" s="10"/>
    </row>
    <row r="2708" spans="1:7" x14ac:dyDescent="0.2">
      <c r="A2708" s="10"/>
      <c r="B2708" s="10"/>
      <c r="C2708" s="10"/>
      <c r="D2708" s="10"/>
      <c r="E2708" s="10"/>
      <c r="G2708" s="10"/>
    </row>
    <row r="2709" spans="1:7" x14ac:dyDescent="0.2">
      <c r="A2709" s="10"/>
      <c r="B2709" s="10"/>
      <c r="C2709" s="10"/>
      <c r="D2709" s="10"/>
      <c r="E2709" s="10"/>
      <c r="G2709" s="10"/>
    </row>
    <row r="2710" spans="1:7" x14ac:dyDescent="0.2">
      <c r="A2710" s="10"/>
      <c r="B2710" s="10"/>
      <c r="C2710" s="10"/>
      <c r="D2710" s="10"/>
      <c r="E2710" s="10"/>
      <c r="G2710" s="10"/>
    </row>
    <row r="2711" spans="1:7" x14ac:dyDescent="0.2">
      <c r="A2711" s="10"/>
      <c r="B2711" s="10"/>
      <c r="C2711" s="10"/>
      <c r="D2711" s="10"/>
      <c r="E2711" s="10"/>
      <c r="G2711" s="10"/>
    </row>
    <row r="2712" spans="1:7" x14ac:dyDescent="0.2">
      <c r="A2712" s="10"/>
      <c r="B2712" s="10"/>
      <c r="C2712" s="10"/>
      <c r="D2712" s="10"/>
      <c r="E2712" s="10"/>
      <c r="G2712" s="10"/>
    </row>
    <row r="2713" spans="1:7" x14ac:dyDescent="0.2">
      <c r="A2713" s="10"/>
      <c r="B2713" s="10"/>
      <c r="C2713" s="10"/>
      <c r="D2713" s="10"/>
      <c r="E2713" s="10"/>
      <c r="G2713" s="10"/>
    </row>
    <row r="2714" spans="1:7" x14ac:dyDescent="0.2">
      <c r="A2714" s="10"/>
      <c r="B2714" s="10"/>
      <c r="C2714" s="10"/>
      <c r="D2714" s="10"/>
      <c r="E2714" s="10"/>
      <c r="G2714" s="10"/>
    </row>
    <row r="2715" spans="1:7" x14ac:dyDescent="0.2">
      <c r="A2715" s="10"/>
      <c r="B2715" s="10"/>
      <c r="C2715" s="10"/>
      <c r="D2715" s="10"/>
      <c r="E2715" s="10"/>
      <c r="G2715" s="10"/>
    </row>
    <row r="2716" spans="1:7" x14ac:dyDescent="0.2">
      <c r="A2716" s="10"/>
      <c r="B2716" s="10"/>
      <c r="C2716" s="10"/>
      <c r="D2716" s="10"/>
      <c r="E2716" s="10"/>
      <c r="G2716" s="10"/>
    </row>
    <row r="2717" spans="1:7" x14ac:dyDescent="0.2">
      <c r="A2717" s="10"/>
      <c r="B2717" s="10"/>
      <c r="C2717" s="10"/>
      <c r="D2717" s="10"/>
      <c r="E2717" s="10"/>
      <c r="G2717" s="10"/>
    </row>
    <row r="2718" spans="1:7" x14ac:dyDescent="0.2">
      <c r="A2718" s="10"/>
      <c r="B2718" s="10"/>
      <c r="C2718" s="10"/>
      <c r="D2718" s="10"/>
      <c r="E2718" s="10"/>
      <c r="G2718" s="10"/>
    </row>
    <row r="2719" spans="1:7" x14ac:dyDescent="0.2">
      <c r="A2719" s="10"/>
      <c r="B2719" s="10"/>
      <c r="C2719" s="10"/>
      <c r="D2719" s="10"/>
      <c r="E2719" s="10"/>
      <c r="G2719" s="10"/>
    </row>
    <row r="2720" spans="1:7" x14ac:dyDescent="0.2">
      <c r="A2720" s="10"/>
      <c r="B2720" s="10"/>
      <c r="C2720" s="10"/>
      <c r="D2720" s="10"/>
      <c r="E2720" s="10"/>
      <c r="G2720" s="10"/>
    </row>
    <row r="2721" spans="1:7" x14ac:dyDescent="0.2">
      <c r="A2721" s="10"/>
      <c r="B2721" s="10"/>
      <c r="C2721" s="10"/>
      <c r="D2721" s="10"/>
      <c r="E2721" s="10"/>
      <c r="F2721" s="10"/>
    </row>
    <row r="2722" spans="1:7" x14ac:dyDescent="0.2">
      <c r="A2722" s="10"/>
      <c r="B2722" s="10"/>
      <c r="C2722" s="10"/>
      <c r="D2722" s="10"/>
      <c r="E2722" s="10"/>
      <c r="F2722" s="10"/>
    </row>
    <row r="2723" spans="1:7" x14ac:dyDescent="0.2">
      <c r="A2723" s="10"/>
      <c r="B2723" s="10"/>
      <c r="C2723" s="10"/>
      <c r="D2723" s="10"/>
      <c r="E2723" s="10"/>
      <c r="F2723" s="10"/>
    </row>
    <row r="2724" spans="1:7" x14ac:dyDescent="0.2">
      <c r="A2724" s="10"/>
      <c r="B2724" s="10"/>
      <c r="C2724" s="10"/>
      <c r="D2724" s="10"/>
      <c r="E2724" s="10"/>
      <c r="F2724" s="10"/>
    </row>
    <row r="2725" spans="1:7" x14ac:dyDescent="0.2">
      <c r="A2725" s="10"/>
      <c r="B2725" s="10"/>
      <c r="C2725" s="10"/>
      <c r="D2725" s="10"/>
      <c r="E2725" s="10"/>
      <c r="F2725" s="10"/>
    </row>
    <row r="2726" spans="1:7" x14ac:dyDescent="0.2">
      <c r="A2726" s="10"/>
      <c r="B2726" s="10"/>
      <c r="C2726" s="10"/>
      <c r="D2726" s="10"/>
      <c r="E2726" s="10"/>
      <c r="F2726" s="10"/>
    </row>
    <row r="2727" spans="1:7" x14ac:dyDescent="0.2">
      <c r="A2727" s="10"/>
      <c r="B2727" s="10"/>
      <c r="C2727" s="10"/>
      <c r="D2727" s="10"/>
      <c r="E2727" s="10"/>
      <c r="F2727" s="10"/>
    </row>
    <row r="2728" spans="1:7" x14ac:dyDescent="0.2">
      <c r="A2728" s="10"/>
      <c r="B2728" s="10"/>
      <c r="C2728" s="10"/>
      <c r="D2728" s="10"/>
      <c r="E2728" s="10"/>
      <c r="F2728" s="10"/>
    </row>
    <row r="2729" spans="1:7" x14ac:dyDescent="0.2">
      <c r="A2729" s="10"/>
      <c r="B2729" s="10"/>
      <c r="C2729" s="10"/>
      <c r="D2729" s="10"/>
      <c r="E2729" s="10"/>
      <c r="F2729" s="10"/>
    </row>
    <row r="2730" spans="1:7" x14ac:dyDescent="0.2">
      <c r="A2730" s="10"/>
      <c r="B2730" s="10"/>
      <c r="C2730" s="10"/>
      <c r="D2730" s="10"/>
      <c r="E2730" s="10"/>
      <c r="F2730" s="10"/>
    </row>
    <row r="2731" spans="1:7" x14ac:dyDescent="0.2">
      <c r="A2731" s="10"/>
      <c r="B2731" s="10"/>
      <c r="C2731" s="10"/>
      <c r="D2731" s="10"/>
      <c r="E2731" s="10"/>
      <c r="F2731" s="10"/>
    </row>
    <row r="2732" spans="1:7" x14ac:dyDescent="0.2">
      <c r="A2732" s="10"/>
      <c r="B2732" s="10"/>
      <c r="C2732" s="10"/>
      <c r="D2732" s="10"/>
      <c r="E2732" s="10"/>
      <c r="F2732" s="10"/>
    </row>
    <row r="2733" spans="1:7" x14ac:dyDescent="0.2">
      <c r="A2733" s="10"/>
      <c r="B2733" s="10"/>
      <c r="C2733" s="10"/>
      <c r="D2733" s="10"/>
      <c r="E2733" s="10"/>
      <c r="F2733" s="10"/>
    </row>
    <row r="2734" spans="1:7" x14ac:dyDescent="0.2">
      <c r="A2734" s="10"/>
      <c r="B2734" s="10"/>
      <c r="C2734" s="10"/>
      <c r="D2734" s="10"/>
      <c r="E2734" s="10"/>
      <c r="F2734" s="10"/>
    </row>
    <row r="2735" spans="1:7" x14ac:dyDescent="0.2">
      <c r="A2735" s="10"/>
      <c r="B2735" s="10"/>
      <c r="C2735" s="10"/>
      <c r="D2735" s="10"/>
      <c r="E2735" s="10"/>
      <c r="F2735" s="10"/>
    </row>
    <row r="2736" spans="1:7" x14ac:dyDescent="0.2">
      <c r="A2736" s="10"/>
      <c r="B2736" s="10"/>
      <c r="C2736" s="10"/>
      <c r="D2736" s="10"/>
      <c r="E2736" s="10"/>
      <c r="G2736" s="10"/>
    </row>
    <row r="2737" spans="1:7" x14ac:dyDescent="0.2">
      <c r="A2737" s="10"/>
      <c r="B2737" s="10"/>
      <c r="C2737" s="10"/>
      <c r="D2737" s="10"/>
      <c r="E2737" s="10"/>
      <c r="G2737" s="10"/>
    </row>
    <row r="2738" spans="1:7" x14ac:dyDescent="0.2">
      <c r="A2738" s="10"/>
      <c r="B2738" s="10"/>
      <c r="C2738" s="10"/>
      <c r="D2738" s="10"/>
      <c r="E2738" s="10"/>
      <c r="G2738" s="10"/>
    </row>
    <row r="2739" spans="1:7" x14ac:dyDescent="0.2">
      <c r="A2739" s="10"/>
      <c r="B2739" s="10"/>
      <c r="C2739" s="10"/>
      <c r="D2739" s="10"/>
      <c r="E2739" s="10"/>
      <c r="G2739" s="10"/>
    </row>
    <row r="2740" spans="1:7" x14ac:dyDescent="0.2">
      <c r="A2740" s="10"/>
      <c r="B2740" s="10"/>
      <c r="C2740" s="10"/>
      <c r="D2740" s="10"/>
      <c r="E2740" s="10"/>
      <c r="G2740" s="10"/>
    </row>
    <row r="2741" spans="1:7" x14ac:dyDescent="0.2">
      <c r="A2741" s="10"/>
      <c r="B2741" s="10"/>
      <c r="C2741" s="10"/>
      <c r="D2741" s="10"/>
      <c r="E2741" s="10"/>
      <c r="G2741" s="10"/>
    </row>
    <row r="2742" spans="1:7" x14ac:dyDescent="0.2">
      <c r="A2742" s="10"/>
      <c r="B2742" s="10"/>
      <c r="C2742" s="10"/>
      <c r="D2742" s="10"/>
      <c r="E2742" s="10"/>
      <c r="G2742" s="10"/>
    </row>
    <row r="2743" spans="1:7" x14ac:dyDescent="0.2">
      <c r="A2743" s="10"/>
      <c r="B2743" s="10"/>
      <c r="C2743" s="10"/>
      <c r="D2743" s="10"/>
      <c r="E2743" s="10"/>
      <c r="G2743" s="10"/>
    </row>
    <row r="2744" spans="1:7" x14ac:dyDescent="0.2">
      <c r="A2744" s="10"/>
      <c r="B2744" s="10"/>
      <c r="C2744" s="10"/>
      <c r="D2744" s="10"/>
      <c r="E2744" s="10"/>
      <c r="G2744" s="10"/>
    </row>
    <row r="2745" spans="1:7" x14ac:dyDescent="0.2">
      <c r="A2745" s="10"/>
      <c r="B2745" s="10"/>
      <c r="C2745" s="10"/>
      <c r="D2745" s="10"/>
      <c r="E2745" s="10"/>
      <c r="G2745" s="10"/>
    </row>
    <row r="2746" spans="1:7" x14ac:dyDescent="0.2">
      <c r="A2746" s="10"/>
      <c r="B2746" s="10"/>
      <c r="C2746" s="10"/>
      <c r="D2746" s="10"/>
      <c r="E2746" s="10"/>
      <c r="G2746" s="10"/>
    </row>
    <row r="2747" spans="1:7" x14ac:dyDescent="0.2">
      <c r="A2747" s="10"/>
      <c r="B2747" s="10"/>
      <c r="C2747" s="10"/>
      <c r="D2747" s="10"/>
      <c r="E2747" s="10"/>
      <c r="G2747" s="10"/>
    </row>
    <row r="2748" spans="1:7" x14ac:dyDescent="0.2">
      <c r="A2748" s="10"/>
      <c r="B2748" s="10"/>
      <c r="C2748" s="10"/>
      <c r="D2748" s="10"/>
      <c r="E2748" s="10"/>
      <c r="G2748" s="10"/>
    </row>
    <row r="2749" spans="1:7" x14ac:dyDescent="0.2">
      <c r="A2749" s="10"/>
      <c r="B2749" s="10"/>
      <c r="C2749" s="10"/>
      <c r="D2749" s="10"/>
      <c r="E2749" s="10"/>
      <c r="G2749" s="10"/>
    </row>
    <row r="2750" spans="1:7" x14ac:dyDescent="0.2">
      <c r="A2750" s="10"/>
      <c r="B2750" s="10"/>
      <c r="C2750" s="10"/>
      <c r="D2750" s="10"/>
      <c r="E2750" s="10"/>
      <c r="G2750" s="10"/>
    </row>
    <row r="2751" spans="1:7" x14ac:dyDescent="0.2">
      <c r="A2751" s="10"/>
      <c r="B2751" s="10"/>
      <c r="C2751" s="10"/>
      <c r="D2751" s="10"/>
      <c r="E2751" s="10"/>
      <c r="F2751" s="10"/>
    </row>
    <row r="2752" spans="1:7" x14ac:dyDescent="0.2">
      <c r="A2752" s="10"/>
      <c r="B2752" s="10"/>
      <c r="C2752" s="10"/>
      <c r="D2752" s="10"/>
      <c r="E2752" s="10"/>
      <c r="F2752" s="10"/>
    </row>
    <row r="2753" spans="1:7" x14ac:dyDescent="0.2">
      <c r="A2753" s="10"/>
      <c r="B2753" s="10"/>
      <c r="C2753" s="10"/>
      <c r="D2753" s="10"/>
      <c r="E2753" s="10"/>
      <c r="F2753" s="10"/>
    </row>
    <row r="2754" spans="1:7" x14ac:dyDescent="0.2">
      <c r="A2754" s="10"/>
      <c r="B2754" s="10"/>
      <c r="C2754" s="10"/>
      <c r="D2754" s="10"/>
      <c r="E2754" s="10"/>
      <c r="F2754" s="10"/>
    </row>
    <row r="2755" spans="1:7" x14ac:dyDescent="0.2">
      <c r="A2755" s="10"/>
      <c r="B2755" s="10"/>
      <c r="C2755" s="10"/>
      <c r="D2755" s="10"/>
      <c r="E2755" s="10"/>
      <c r="F2755" s="10"/>
    </row>
    <row r="2756" spans="1:7" x14ac:dyDescent="0.2">
      <c r="A2756" s="10"/>
      <c r="B2756" s="10"/>
      <c r="C2756" s="10"/>
      <c r="D2756" s="10"/>
      <c r="E2756" s="10"/>
      <c r="F2756" s="10"/>
    </row>
    <row r="2757" spans="1:7" x14ac:dyDescent="0.2">
      <c r="A2757" s="10"/>
      <c r="B2757" s="10"/>
      <c r="C2757" s="10"/>
      <c r="D2757" s="10"/>
      <c r="E2757" s="10"/>
      <c r="F2757" s="10"/>
    </row>
    <row r="2758" spans="1:7" x14ac:dyDescent="0.2">
      <c r="A2758" s="10"/>
      <c r="B2758" s="10"/>
      <c r="C2758" s="10"/>
      <c r="D2758" s="10"/>
      <c r="E2758" s="10"/>
      <c r="F2758" s="10"/>
    </row>
    <row r="2759" spans="1:7" x14ac:dyDescent="0.2">
      <c r="A2759" s="10"/>
      <c r="B2759" s="10"/>
      <c r="C2759" s="10"/>
      <c r="D2759" s="10"/>
      <c r="E2759" s="10"/>
      <c r="F2759" s="10"/>
    </row>
    <row r="2760" spans="1:7" x14ac:dyDescent="0.2">
      <c r="A2760" s="10"/>
      <c r="B2760" s="10"/>
      <c r="C2760" s="10"/>
      <c r="D2760" s="10"/>
      <c r="E2760" s="10"/>
      <c r="F2760" s="10"/>
    </row>
    <row r="2761" spans="1:7" x14ac:dyDescent="0.2">
      <c r="A2761" s="10"/>
      <c r="B2761" s="10"/>
      <c r="C2761" s="10"/>
      <c r="D2761" s="10"/>
      <c r="E2761" s="10"/>
      <c r="F2761" s="10"/>
    </row>
    <row r="2762" spans="1:7" x14ac:dyDescent="0.2">
      <c r="A2762" s="10"/>
      <c r="B2762" s="10"/>
      <c r="C2762" s="10"/>
      <c r="D2762" s="10"/>
      <c r="E2762" s="10"/>
      <c r="F2762" s="10"/>
    </row>
    <row r="2763" spans="1:7" x14ac:dyDescent="0.2">
      <c r="A2763" s="10"/>
      <c r="B2763" s="10"/>
      <c r="C2763" s="10"/>
      <c r="D2763" s="10"/>
      <c r="E2763" s="10"/>
      <c r="F2763" s="10"/>
    </row>
    <row r="2764" spans="1:7" x14ac:dyDescent="0.2">
      <c r="A2764" s="10"/>
      <c r="B2764" s="10"/>
      <c r="C2764" s="10"/>
      <c r="D2764" s="10"/>
      <c r="E2764" s="10"/>
      <c r="F2764" s="10"/>
    </row>
    <row r="2765" spans="1:7" x14ac:dyDescent="0.2">
      <c r="A2765" s="10"/>
      <c r="B2765" s="10"/>
      <c r="C2765" s="10"/>
      <c r="D2765" s="10"/>
      <c r="E2765" s="10"/>
      <c r="F2765" s="10"/>
    </row>
    <row r="2766" spans="1:7" x14ac:dyDescent="0.2">
      <c r="A2766" s="10"/>
      <c r="B2766" s="10"/>
      <c r="C2766" s="10"/>
      <c r="D2766" s="10"/>
      <c r="E2766" s="10"/>
      <c r="G2766" s="10"/>
    </row>
    <row r="2767" spans="1:7" x14ac:dyDescent="0.2">
      <c r="A2767" s="10"/>
      <c r="B2767" s="10"/>
      <c r="C2767" s="10"/>
      <c r="D2767" s="10"/>
      <c r="E2767" s="10"/>
      <c r="G2767" s="10"/>
    </row>
    <row r="2768" spans="1:7" x14ac:dyDescent="0.2">
      <c r="A2768" s="10"/>
      <c r="B2768" s="10"/>
      <c r="C2768" s="10"/>
      <c r="D2768" s="10"/>
      <c r="E2768" s="10"/>
      <c r="G2768" s="10"/>
    </row>
    <row r="2769" spans="1:7" x14ac:dyDescent="0.2">
      <c r="A2769" s="10"/>
      <c r="B2769" s="10"/>
      <c r="C2769" s="10"/>
      <c r="D2769" s="10"/>
      <c r="E2769" s="10"/>
      <c r="G2769" s="10"/>
    </row>
    <row r="2770" spans="1:7" x14ac:dyDescent="0.2">
      <c r="A2770" s="10"/>
      <c r="B2770" s="10"/>
      <c r="C2770" s="10"/>
      <c r="D2770" s="10"/>
      <c r="E2770" s="10"/>
      <c r="G2770" s="10"/>
    </row>
    <row r="2771" spans="1:7" x14ac:dyDescent="0.2">
      <c r="A2771" s="10"/>
      <c r="B2771" s="10"/>
      <c r="C2771" s="10"/>
      <c r="D2771" s="10"/>
      <c r="E2771" s="10"/>
      <c r="G2771" s="10"/>
    </row>
    <row r="2772" spans="1:7" x14ac:dyDescent="0.2">
      <c r="A2772" s="10"/>
      <c r="B2772" s="10"/>
      <c r="C2772" s="10"/>
      <c r="D2772" s="10"/>
      <c r="E2772" s="10"/>
      <c r="G2772" s="10"/>
    </row>
    <row r="2773" spans="1:7" x14ac:dyDescent="0.2">
      <c r="A2773" s="10"/>
      <c r="B2773" s="10"/>
      <c r="C2773" s="10"/>
      <c r="D2773" s="10"/>
      <c r="E2773" s="10"/>
      <c r="G2773" s="10"/>
    </row>
    <row r="2774" spans="1:7" x14ac:dyDescent="0.2">
      <c r="A2774" s="10"/>
      <c r="B2774" s="10"/>
      <c r="C2774" s="10"/>
      <c r="D2774" s="10"/>
      <c r="E2774" s="10"/>
      <c r="G2774" s="10"/>
    </row>
    <row r="2775" spans="1:7" x14ac:dyDescent="0.2">
      <c r="A2775" s="10"/>
      <c r="B2775" s="10"/>
      <c r="C2775" s="10"/>
      <c r="D2775" s="10"/>
      <c r="E2775" s="10"/>
      <c r="G2775" s="10"/>
    </row>
    <row r="2776" spans="1:7" x14ac:dyDescent="0.2">
      <c r="A2776" s="10"/>
      <c r="B2776" s="10"/>
      <c r="C2776" s="10"/>
      <c r="D2776" s="10"/>
      <c r="E2776" s="10"/>
      <c r="G2776" s="10"/>
    </row>
    <row r="2777" spans="1:7" x14ac:dyDescent="0.2">
      <c r="A2777" s="10"/>
      <c r="B2777" s="10"/>
      <c r="C2777" s="10"/>
      <c r="D2777" s="10"/>
      <c r="E2777" s="10"/>
      <c r="G2777" s="10"/>
    </row>
    <row r="2778" spans="1:7" x14ac:dyDescent="0.2">
      <c r="A2778" s="10"/>
      <c r="B2778" s="10"/>
      <c r="C2778" s="10"/>
      <c r="D2778" s="10"/>
      <c r="E2778" s="10"/>
      <c r="G2778" s="10"/>
    </row>
    <row r="2779" spans="1:7" x14ac:dyDescent="0.2">
      <c r="A2779" s="10"/>
      <c r="B2779" s="10"/>
      <c r="C2779" s="10"/>
      <c r="D2779" s="10"/>
      <c r="E2779" s="10"/>
      <c r="G2779" s="10"/>
    </row>
    <row r="2780" spans="1:7" x14ac:dyDescent="0.2">
      <c r="A2780" s="10"/>
      <c r="B2780" s="10"/>
      <c r="C2780" s="10"/>
      <c r="D2780" s="10"/>
      <c r="E2780" s="10"/>
      <c r="F2780" s="10"/>
    </row>
    <row r="2781" spans="1:7" x14ac:dyDescent="0.2">
      <c r="A2781" s="10"/>
      <c r="B2781" s="10"/>
      <c r="C2781" s="10"/>
      <c r="D2781" s="10"/>
      <c r="E2781" s="10"/>
      <c r="F2781" s="10"/>
    </row>
    <row r="2782" spans="1:7" x14ac:dyDescent="0.2">
      <c r="A2782" s="10"/>
      <c r="B2782" s="10"/>
      <c r="C2782" s="10"/>
      <c r="D2782" s="10"/>
      <c r="E2782" s="10"/>
      <c r="F2782" s="10"/>
    </row>
    <row r="2783" spans="1:7" x14ac:dyDescent="0.2">
      <c r="A2783" s="10"/>
      <c r="B2783" s="10"/>
      <c r="C2783" s="10"/>
      <c r="D2783" s="10"/>
      <c r="E2783" s="10"/>
      <c r="F2783" s="10"/>
    </row>
    <row r="2784" spans="1:7" x14ac:dyDescent="0.2">
      <c r="A2784" s="10"/>
      <c r="B2784" s="10"/>
      <c r="C2784" s="10"/>
      <c r="D2784" s="10"/>
      <c r="E2784" s="10"/>
      <c r="F2784" s="10"/>
    </row>
    <row r="2785" spans="1:7" x14ac:dyDescent="0.2">
      <c r="A2785" s="10"/>
      <c r="B2785" s="10"/>
      <c r="C2785" s="10"/>
      <c r="D2785" s="10"/>
      <c r="E2785" s="10"/>
      <c r="F2785" s="10"/>
    </row>
    <row r="2786" spans="1:7" x14ac:dyDescent="0.2">
      <c r="A2786" s="10"/>
      <c r="B2786" s="10"/>
      <c r="C2786" s="10"/>
      <c r="D2786" s="10"/>
      <c r="E2786" s="10"/>
      <c r="F2786" s="10"/>
    </row>
    <row r="2787" spans="1:7" x14ac:dyDescent="0.2">
      <c r="A2787" s="10"/>
      <c r="B2787" s="10"/>
      <c r="C2787" s="10"/>
      <c r="D2787" s="10"/>
      <c r="E2787" s="10"/>
      <c r="F2787" s="10"/>
    </row>
    <row r="2788" spans="1:7" x14ac:dyDescent="0.2">
      <c r="A2788" s="10"/>
      <c r="B2788" s="10"/>
      <c r="C2788" s="10"/>
      <c r="D2788" s="10"/>
      <c r="E2788" s="10"/>
      <c r="F2788" s="10"/>
    </row>
    <row r="2789" spans="1:7" x14ac:dyDescent="0.2">
      <c r="A2789" s="10"/>
      <c r="B2789" s="10"/>
      <c r="C2789" s="10"/>
      <c r="D2789" s="10"/>
      <c r="E2789" s="10"/>
      <c r="F2789" s="10"/>
    </row>
    <row r="2790" spans="1:7" x14ac:dyDescent="0.2">
      <c r="A2790" s="10"/>
      <c r="B2790" s="10"/>
      <c r="C2790" s="10"/>
      <c r="D2790" s="10"/>
      <c r="E2790" s="10"/>
      <c r="F2790" s="10"/>
    </row>
    <row r="2791" spans="1:7" x14ac:dyDescent="0.2">
      <c r="A2791" s="10"/>
      <c r="B2791" s="10"/>
      <c r="C2791" s="10"/>
      <c r="D2791" s="10"/>
      <c r="E2791" s="10"/>
      <c r="F2791" s="10"/>
    </row>
    <row r="2792" spans="1:7" x14ac:dyDescent="0.2">
      <c r="A2792" s="10"/>
      <c r="B2792" s="10"/>
      <c r="C2792" s="10"/>
      <c r="D2792" s="10"/>
      <c r="E2792" s="10"/>
      <c r="F2792" s="10"/>
    </row>
    <row r="2793" spans="1:7" x14ac:dyDescent="0.2">
      <c r="A2793" s="10"/>
      <c r="B2793" s="10"/>
      <c r="C2793" s="10"/>
      <c r="D2793" s="10"/>
      <c r="E2793" s="10"/>
      <c r="F2793" s="10"/>
    </row>
    <row r="2794" spans="1:7" x14ac:dyDescent="0.2">
      <c r="A2794" s="10"/>
      <c r="B2794" s="10"/>
      <c r="C2794" s="10"/>
      <c r="D2794" s="10"/>
      <c r="E2794" s="10"/>
      <c r="F2794" s="10"/>
    </row>
    <row r="2795" spans="1:7" x14ac:dyDescent="0.2">
      <c r="A2795" s="10"/>
      <c r="B2795" s="10"/>
      <c r="C2795" s="10"/>
      <c r="D2795" s="10"/>
      <c r="E2795" s="10"/>
      <c r="F2795" s="10"/>
    </row>
    <row r="2796" spans="1:7" x14ac:dyDescent="0.2">
      <c r="A2796" s="10"/>
      <c r="B2796" s="10"/>
      <c r="C2796" s="10"/>
      <c r="D2796" s="10"/>
      <c r="E2796" s="10"/>
      <c r="G2796" s="10"/>
    </row>
    <row r="2797" spans="1:7" x14ac:dyDescent="0.2">
      <c r="A2797" s="10"/>
      <c r="B2797" s="10"/>
      <c r="C2797" s="10"/>
      <c r="D2797" s="10"/>
      <c r="E2797" s="10"/>
      <c r="G2797" s="10"/>
    </row>
    <row r="2798" spans="1:7" x14ac:dyDescent="0.2">
      <c r="A2798" s="10"/>
      <c r="B2798" s="10"/>
      <c r="C2798" s="10"/>
      <c r="D2798" s="10"/>
      <c r="E2798" s="10"/>
      <c r="G2798" s="10"/>
    </row>
    <row r="2799" spans="1:7" x14ac:dyDescent="0.2">
      <c r="A2799" s="10"/>
      <c r="B2799" s="10"/>
      <c r="C2799" s="10"/>
      <c r="D2799" s="10"/>
      <c r="E2799" s="10"/>
      <c r="G2799" s="10"/>
    </row>
    <row r="2800" spans="1:7" x14ac:dyDescent="0.2">
      <c r="A2800" s="10"/>
      <c r="B2800" s="10"/>
      <c r="C2800" s="10"/>
      <c r="D2800" s="10"/>
      <c r="E2800" s="10"/>
      <c r="G2800" s="10"/>
    </row>
    <row r="2801" spans="1:7" x14ac:dyDescent="0.2">
      <c r="A2801" s="10"/>
      <c r="B2801" s="10"/>
      <c r="C2801" s="10"/>
      <c r="D2801" s="10"/>
      <c r="E2801" s="10"/>
      <c r="G2801" s="10"/>
    </row>
    <row r="2802" spans="1:7" x14ac:dyDescent="0.2">
      <c r="A2802" s="10"/>
      <c r="B2802" s="10"/>
      <c r="C2802" s="10"/>
      <c r="D2802" s="10"/>
      <c r="E2802" s="10"/>
      <c r="G2802" s="10"/>
    </row>
    <row r="2803" spans="1:7" x14ac:dyDescent="0.2">
      <c r="A2803" s="10"/>
      <c r="B2803" s="10"/>
      <c r="C2803" s="10"/>
      <c r="D2803" s="10"/>
      <c r="E2803" s="10"/>
      <c r="G2803" s="10"/>
    </row>
    <row r="2804" spans="1:7" x14ac:dyDescent="0.2">
      <c r="A2804" s="10"/>
      <c r="B2804" s="10"/>
      <c r="C2804" s="10"/>
      <c r="D2804" s="10"/>
      <c r="E2804" s="10"/>
      <c r="G2804" s="10"/>
    </row>
    <row r="2805" spans="1:7" x14ac:dyDescent="0.2">
      <c r="A2805" s="10"/>
      <c r="B2805" s="10"/>
      <c r="C2805" s="10"/>
      <c r="D2805" s="10"/>
      <c r="E2805" s="10"/>
      <c r="G2805" s="10"/>
    </row>
    <row r="2806" spans="1:7" x14ac:dyDescent="0.2">
      <c r="A2806" s="10"/>
      <c r="B2806" s="10"/>
      <c r="D2806" s="10"/>
      <c r="E2806" s="10"/>
      <c r="G2806" s="10"/>
    </row>
    <row r="2807" spans="1:7" x14ac:dyDescent="0.2">
      <c r="A2807" s="10"/>
      <c r="B2807" s="10"/>
      <c r="C2807" s="10"/>
      <c r="D2807" s="10"/>
      <c r="E2807" s="10"/>
      <c r="G2807" s="10"/>
    </row>
    <row r="2808" spans="1:7" x14ac:dyDescent="0.2">
      <c r="A2808" s="10"/>
      <c r="B2808" s="10"/>
      <c r="C2808" s="10"/>
      <c r="D2808" s="10"/>
      <c r="E2808" s="10"/>
      <c r="G2808" s="10"/>
    </row>
    <row r="2809" spans="1:7" x14ac:dyDescent="0.2">
      <c r="A2809" s="10"/>
      <c r="B2809" s="10"/>
      <c r="C2809" s="10"/>
      <c r="D2809" s="10"/>
      <c r="E2809" s="10"/>
      <c r="G2809" s="10"/>
    </row>
    <row r="2810" spans="1:7" x14ac:dyDescent="0.2">
      <c r="A2810" s="10"/>
      <c r="B2810" s="10"/>
      <c r="C2810" s="10"/>
      <c r="D2810" s="10"/>
      <c r="E2810" s="10"/>
      <c r="G2810" s="10"/>
    </row>
    <row r="2811" spans="1:7" x14ac:dyDescent="0.2">
      <c r="A2811" s="10"/>
      <c r="B2811" s="10"/>
      <c r="C2811" s="10"/>
      <c r="D2811" s="10"/>
      <c r="E2811" s="10"/>
      <c r="G2811" s="10"/>
    </row>
    <row r="2812" spans="1:7" x14ac:dyDescent="0.2">
      <c r="A2812" s="10"/>
      <c r="B2812" s="10"/>
      <c r="C2812" s="10"/>
      <c r="D2812" s="10"/>
      <c r="E2812" s="10"/>
      <c r="F2812" s="10"/>
    </row>
    <row r="2813" spans="1:7" x14ac:dyDescent="0.2">
      <c r="A2813" s="10"/>
      <c r="B2813" s="10"/>
      <c r="C2813" s="10"/>
      <c r="D2813" s="10"/>
      <c r="E2813" s="10"/>
      <c r="F2813" s="10"/>
    </row>
    <row r="2814" spans="1:7" x14ac:dyDescent="0.2">
      <c r="A2814" s="10"/>
      <c r="B2814" s="10"/>
      <c r="C2814" s="10"/>
      <c r="D2814" s="10"/>
      <c r="E2814" s="10"/>
      <c r="F2814" s="10"/>
    </row>
    <row r="2815" spans="1:7" x14ac:dyDescent="0.2">
      <c r="A2815" s="10"/>
      <c r="B2815" s="10"/>
      <c r="C2815" s="10"/>
      <c r="D2815" s="10"/>
      <c r="E2815" s="10"/>
      <c r="F2815" s="10"/>
    </row>
    <row r="2816" spans="1:7" x14ac:dyDescent="0.2">
      <c r="A2816" s="10"/>
      <c r="B2816" s="10"/>
      <c r="C2816" s="10"/>
      <c r="D2816" s="10"/>
      <c r="E2816" s="10"/>
      <c r="F2816" s="10"/>
    </row>
    <row r="2817" spans="1:7" x14ac:dyDescent="0.2">
      <c r="A2817" s="10"/>
      <c r="B2817" s="10"/>
      <c r="C2817" s="10"/>
      <c r="D2817" s="10"/>
      <c r="E2817" s="10"/>
      <c r="F2817" s="10"/>
    </row>
    <row r="2818" spans="1:7" x14ac:dyDescent="0.2">
      <c r="A2818" s="10"/>
      <c r="B2818" s="10"/>
      <c r="C2818" s="10"/>
      <c r="D2818" s="10"/>
      <c r="E2818" s="10"/>
      <c r="F2818" s="10"/>
    </row>
    <row r="2819" spans="1:7" x14ac:dyDescent="0.2">
      <c r="A2819" s="10"/>
      <c r="B2819" s="10"/>
      <c r="C2819" s="10"/>
      <c r="D2819" s="10"/>
      <c r="E2819" s="10"/>
      <c r="F2819" s="10"/>
    </row>
    <row r="2820" spans="1:7" x14ac:dyDescent="0.2">
      <c r="A2820" s="10"/>
      <c r="B2820" s="10"/>
      <c r="C2820" s="10"/>
      <c r="D2820" s="10"/>
      <c r="E2820" s="10"/>
      <c r="F2820" s="10"/>
    </row>
    <row r="2821" spans="1:7" x14ac:dyDescent="0.2">
      <c r="A2821" s="10"/>
      <c r="B2821" s="10"/>
      <c r="C2821" s="10"/>
      <c r="D2821" s="10"/>
      <c r="E2821" s="10"/>
      <c r="F2821" s="10"/>
    </row>
    <row r="2822" spans="1:7" x14ac:dyDescent="0.2">
      <c r="A2822" s="10"/>
      <c r="B2822" s="10"/>
      <c r="C2822" s="10"/>
      <c r="D2822" s="10"/>
      <c r="E2822" s="10"/>
      <c r="F2822" s="10"/>
    </row>
    <row r="2823" spans="1:7" x14ac:dyDescent="0.2">
      <c r="A2823" s="10"/>
      <c r="B2823" s="10"/>
      <c r="C2823" s="10"/>
      <c r="D2823" s="10"/>
      <c r="E2823" s="10"/>
      <c r="F2823" s="10"/>
    </row>
    <row r="2824" spans="1:7" x14ac:dyDescent="0.2">
      <c r="A2824" s="10"/>
      <c r="B2824" s="10"/>
      <c r="C2824" s="10"/>
      <c r="D2824" s="10"/>
      <c r="E2824" s="10"/>
      <c r="F2824" s="10"/>
    </row>
    <row r="2825" spans="1:7" x14ac:dyDescent="0.2">
      <c r="A2825" s="10"/>
      <c r="B2825" s="10"/>
      <c r="C2825" s="10"/>
      <c r="D2825" s="10"/>
      <c r="E2825" s="10"/>
      <c r="G2825" s="10"/>
    </row>
    <row r="2826" spans="1:7" x14ac:dyDescent="0.2">
      <c r="A2826" s="10"/>
      <c r="B2826" s="10"/>
      <c r="C2826" s="10"/>
      <c r="D2826" s="10"/>
      <c r="E2826" s="10"/>
      <c r="G2826" s="10"/>
    </row>
    <row r="2827" spans="1:7" x14ac:dyDescent="0.2">
      <c r="A2827" s="10"/>
      <c r="B2827" s="10"/>
      <c r="C2827" s="10"/>
      <c r="D2827" s="10"/>
      <c r="E2827" s="10"/>
      <c r="G2827" s="10"/>
    </row>
    <row r="2828" spans="1:7" x14ac:dyDescent="0.2">
      <c r="A2828" s="10"/>
      <c r="B2828" s="10"/>
      <c r="C2828" s="10"/>
      <c r="D2828" s="10"/>
      <c r="E2828" s="10"/>
      <c r="G2828" s="10"/>
    </row>
    <row r="2829" spans="1:7" x14ac:dyDescent="0.2">
      <c r="A2829" s="10"/>
      <c r="B2829" s="10"/>
      <c r="C2829" s="10"/>
      <c r="D2829" s="10"/>
      <c r="E2829" s="10"/>
      <c r="G2829" s="10"/>
    </row>
    <row r="2830" spans="1:7" x14ac:dyDescent="0.2">
      <c r="A2830" s="10"/>
      <c r="B2830" s="10"/>
      <c r="C2830" s="10"/>
      <c r="D2830" s="10"/>
      <c r="E2830" s="10"/>
      <c r="G2830" s="10"/>
    </row>
    <row r="2831" spans="1:7" x14ac:dyDescent="0.2">
      <c r="A2831" s="10"/>
      <c r="B2831" s="10"/>
      <c r="C2831" s="10"/>
      <c r="D2831" s="10"/>
      <c r="E2831" s="10"/>
      <c r="G2831" s="10"/>
    </row>
    <row r="2832" spans="1:7" x14ac:dyDescent="0.2">
      <c r="A2832" s="10"/>
      <c r="B2832" s="10"/>
      <c r="C2832" s="10"/>
      <c r="D2832" s="10"/>
      <c r="E2832" s="10"/>
      <c r="G2832" s="10"/>
    </row>
    <row r="2833" spans="1:7" x14ac:dyDescent="0.2">
      <c r="A2833" s="10"/>
      <c r="B2833" s="10"/>
      <c r="C2833" s="10"/>
      <c r="D2833" s="10"/>
      <c r="E2833" s="10"/>
      <c r="G2833" s="10"/>
    </row>
    <row r="2834" spans="1:7" x14ac:dyDescent="0.2">
      <c r="A2834" s="10"/>
      <c r="B2834" s="10"/>
      <c r="C2834" s="10"/>
      <c r="D2834" s="10"/>
      <c r="E2834" s="10"/>
      <c r="G2834" s="10"/>
    </row>
    <row r="2835" spans="1:7" x14ac:dyDescent="0.2">
      <c r="A2835" s="10"/>
      <c r="B2835" s="10"/>
      <c r="C2835" s="10"/>
      <c r="D2835" s="10"/>
      <c r="E2835" s="10"/>
      <c r="G2835" s="10"/>
    </row>
    <row r="2836" spans="1:7" x14ac:dyDescent="0.2">
      <c r="A2836" s="10"/>
      <c r="B2836" s="10"/>
      <c r="C2836" s="10"/>
      <c r="D2836" s="10"/>
      <c r="E2836" s="10"/>
      <c r="G2836" s="10"/>
    </row>
    <row r="2837" spans="1:7" x14ac:dyDescent="0.2">
      <c r="A2837" s="10"/>
      <c r="B2837" s="10"/>
      <c r="C2837" s="10"/>
      <c r="D2837" s="10"/>
      <c r="E2837" s="10"/>
      <c r="G2837" s="10"/>
    </row>
    <row r="2838" spans="1:7" x14ac:dyDescent="0.2">
      <c r="A2838" s="10"/>
      <c r="B2838" s="10"/>
      <c r="C2838" s="10"/>
      <c r="D2838" s="10"/>
      <c r="E2838" s="10"/>
      <c r="G2838" s="10"/>
    </row>
    <row r="2839" spans="1:7" x14ac:dyDescent="0.2">
      <c r="A2839" s="10"/>
      <c r="B2839" s="10"/>
      <c r="C2839" s="10"/>
      <c r="D2839" s="10"/>
      <c r="E2839" s="10"/>
      <c r="G2839" s="10"/>
    </row>
    <row r="2840" spans="1:7" x14ac:dyDescent="0.2">
      <c r="A2840" s="10"/>
      <c r="B2840" s="10"/>
      <c r="C2840" s="10"/>
      <c r="D2840" s="10"/>
      <c r="E2840" s="10"/>
      <c r="G2840" s="10"/>
    </row>
    <row r="2841" spans="1:7" x14ac:dyDescent="0.2">
      <c r="A2841" s="10"/>
      <c r="B2841" s="10"/>
      <c r="C2841" s="10"/>
      <c r="D2841" s="10"/>
      <c r="E2841" s="10"/>
      <c r="G2841" s="10"/>
    </row>
    <row r="2842" spans="1:7" x14ac:dyDescent="0.2">
      <c r="A2842" s="10"/>
      <c r="B2842" s="10"/>
      <c r="C2842" s="10"/>
      <c r="D2842" s="10"/>
      <c r="E2842" s="10"/>
      <c r="G2842" s="10"/>
    </row>
    <row r="2843" spans="1:7" x14ac:dyDescent="0.2">
      <c r="A2843" s="10"/>
      <c r="B2843" s="10"/>
      <c r="C2843" s="10"/>
      <c r="D2843" s="10"/>
      <c r="E2843" s="10"/>
      <c r="G2843" s="10"/>
    </row>
    <row r="2844" spans="1:7" x14ac:dyDescent="0.2">
      <c r="A2844" s="10"/>
      <c r="B2844" s="10"/>
      <c r="C2844" s="10"/>
      <c r="D2844" s="10"/>
      <c r="E2844" s="10"/>
      <c r="G2844" s="10"/>
    </row>
    <row r="2845" spans="1:7" x14ac:dyDescent="0.2">
      <c r="A2845" s="10"/>
      <c r="B2845" s="10"/>
      <c r="C2845" s="10"/>
      <c r="D2845" s="10"/>
      <c r="E2845" s="10"/>
      <c r="G2845" s="10"/>
    </row>
    <row r="2846" spans="1:7" x14ac:dyDescent="0.2">
      <c r="A2846" s="10"/>
      <c r="B2846" s="10"/>
      <c r="C2846" s="10"/>
      <c r="D2846" s="10"/>
      <c r="E2846" s="10"/>
      <c r="G2846" s="10"/>
    </row>
    <row r="2847" spans="1:7" x14ac:dyDescent="0.2">
      <c r="A2847" s="10"/>
      <c r="B2847" s="10"/>
      <c r="C2847" s="10"/>
      <c r="D2847" s="10"/>
      <c r="E2847" s="10"/>
      <c r="G2847" s="10"/>
    </row>
    <row r="2848" spans="1:7" x14ac:dyDescent="0.2">
      <c r="A2848" s="10"/>
      <c r="B2848" s="10"/>
      <c r="C2848" s="10"/>
      <c r="D2848" s="10"/>
      <c r="E2848" s="10"/>
      <c r="G2848" s="10"/>
    </row>
    <row r="2849" spans="1:7" x14ac:dyDescent="0.2">
      <c r="A2849" s="10"/>
      <c r="B2849" s="10"/>
      <c r="C2849" s="10"/>
      <c r="D2849" s="10"/>
      <c r="E2849" s="10"/>
      <c r="F2849" s="10"/>
    </row>
    <row r="2850" spans="1:7" x14ac:dyDescent="0.2">
      <c r="A2850" s="10"/>
      <c r="B2850" s="10"/>
      <c r="C2850" s="10"/>
      <c r="D2850" s="10"/>
      <c r="E2850" s="10"/>
      <c r="F2850" s="10"/>
    </row>
    <row r="2851" spans="1:7" x14ac:dyDescent="0.2">
      <c r="A2851" s="10"/>
      <c r="B2851" s="10"/>
      <c r="C2851" s="10"/>
      <c r="D2851" s="10"/>
      <c r="E2851" s="10"/>
      <c r="F2851" s="10"/>
    </row>
    <row r="2852" spans="1:7" x14ac:dyDescent="0.2">
      <c r="A2852" s="10"/>
      <c r="B2852" s="10"/>
      <c r="C2852" s="10"/>
      <c r="D2852" s="10"/>
      <c r="E2852" s="10"/>
      <c r="F2852" s="10"/>
    </row>
    <row r="2853" spans="1:7" x14ac:dyDescent="0.2">
      <c r="A2853" s="10"/>
      <c r="B2853" s="10"/>
      <c r="C2853" s="10"/>
      <c r="D2853" s="10"/>
      <c r="E2853" s="10"/>
      <c r="F2853" s="10"/>
    </row>
    <row r="2854" spans="1:7" x14ac:dyDescent="0.2">
      <c r="A2854" s="10"/>
      <c r="B2854" s="10"/>
      <c r="C2854" s="10"/>
      <c r="D2854" s="10"/>
      <c r="E2854" s="10"/>
      <c r="F2854" s="10"/>
    </row>
    <row r="2855" spans="1:7" x14ac:dyDescent="0.2">
      <c r="A2855" s="10"/>
      <c r="B2855" s="10"/>
      <c r="C2855" s="10"/>
      <c r="D2855" s="10"/>
      <c r="E2855" s="10"/>
      <c r="F2855" s="10"/>
    </row>
    <row r="2856" spans="1:7" x14ac:dyDescent="0.2">
      <c r="A2856" s="10"/>
      <c r="B2856" s="10"/>
      <c r="C2856" s="10"/>
      <c r="D2856" s="10"/>
      <c r="E2856" s="10"/>
      <c r="F2856" s="10"/>
    </row>
    <row r="2857" spans="1:7" x14ac:dyDescent="0.2">
      <c r="A2857" s="10"/>
      <c r="B2857" s="10"/>
      <c r="C2857" s="10"/>
      <c r="D2857" s="10"/>
      <c r="E2857" s="10"/>
      <c r="F2857" s="10"/>
    </row>
    <row r="2858" spans="1:7" x14ac:dyDescent="0.2">
      <c r="A2858" s="10"/>
      <c r="B2858" s="10"/>
      <c r="C2858" s="10"/>
      <c r="D2858" s="10"/>
      <c r="E2858" s="10"/>
      <c r="F2858" s="10"/>
    </row>
    <row r="2859" spans="1:7" x14ac:dyDescent="0.2">
      <c r="A2859" s="10"/>
      <c r="B2859" s="10"/>
      <c r="C2859" s="10"/>
      <c r="D2859" s="10"/>
      <c r="E2859" s="10"/>
      <c r="F2859" s="10"/>
    </row>
    <row r="2860" spans="1:7" x14ac:dyDescent="0.2">
      <c r="A2860" s="10"/>
      <c r="B2860" s="10"/>
      <c r="C2860" s="10"/>
      <c r="D2860" s="10"/>
      <c r="E2860" s="10"/>
      <c r="G2860" s="10"/>
    </row>
    <row r="2861" spans="1:7" x14ac:dyDescent="0.2">
      <c r="A2861" s="10"/>
      <c r="B2861" s="10"/>
      <c r="C2861" s="10"/>
      <c r="D2861" s="10"/>
      <c r="E2861" s="10"/>
      <c r="G2861" s="10"/>
    </row>
    <row r="2862" spans="1:7" x14ac:dyDescent="0.2">
      <c r="A2862" s="10"/>
      <c r="B2862" s="10"/>
      <c r="C2862" s="10"/>
      <c r="D2862" s="10"/>
      <c r="E2862" s="10"/>
      <c r="F2862" s="10"/>
    </row>
    <row r="2863" spans="1:7" x14ac:dyDescent="0.2">
      <c r="A2863" s="10"/>
      <c r="B2863" s="10"/>
      <c r="C2863" s="10"/>
      <c r="D2863" s="10"/>
      <c r="E2863" s="10"/>
      <c r="F2863" s="10"/>
    </row>
    <row r="2864" spans="1:7" x14ac:dyDescent="0.2">
      <c r="A2864" s="10"/>
      <c r="B2864" s="10"/>
      <c r="C2864" s="10"/>
      <c r="D2864" s="10"/>
      <c r="E2864" s="10"/>
      <c r="F2864" s="10"/>
    </row>
    <row r="2865" spans="1:7" x14ac:dyDescent="0.2">
      <c r="A2865" s="10"/>
      <c r="B2865" s="10"/>
      <c r="C2865" s="10"/>
      <c r="D2865" s="10"/>
      <c r="E2865" s="10"/>
      <c r="F2865" s="10"/>
    </row>
    <row r="2866" spans="1:7" x14ac:dyDescent="0.2">
      <c r="A2866" s="10"/>
      <c r="B2866" s="10"/>
      <c r="C2866" s="10"/>
      <c r="D2866" s="10"/>
      <c r="E2866" s="10"/>
      <c r="F2866" s="10"/>
    </row>
    <row r="2867" spans="1:7" x14ac:dyDescent="0.2">
      <c r="A2867" s="10"/>
      <c r="B2867" s="10"/>
      <c r="C2867" s="10"/>
      <c r="D2867" s="10"/>
      <c r="E2867" s="10"/>
      <c r="F2867" s="10"/>
    </row>
    <row r="2868" spans="1:7" x14ac:dyDescent="0.2">
      <c r="A2868" s="10"/>
      <c r="B2868" s="10"/>
      <c r="C2868" s="10"/>
      <c r="D2868" s="10"/>
      <c r="E2868" s="10"/>
      <c r="G2868" s="10"/>
    </row>
    <row r="2869" spans="1:7" x14ac:dyDescent="0.2">
      <c r="A2869" s="10"/>
      <c r="B2869" s="10"/>
      <c r="C2869" s="10"/>
      <c r="D2869" s="10"/>
      <c r="E2869" s="10"/>
      <c r="G2869" s="10"/>
    </row>
    <row r="2870" spans="1:7" x14ac:dyDescent="0.2">
      <c r="A2870" s="10"/>
      <c r="B2870" s="10"/>
      <c r="C2870" s="10"/>
      <c r="D2870" s="10"/>
      <c r="E2870" s="10"/>
      <c r="F2870" s="10"/>
    </row>
    <row r="2871" spans="1:7" x14ac:dyDescent="0.2">
      <c r="A2871" s="10"/>
      <c r="B2871" s="10"/>
      <c r="C2871" s="10"/>
      <c r="D2871" s="10"/>
      <c r="E2871" s="10"/>
      <c r="G2871" s="10"/>
    </row>
    <row r="2872" spans="1:7" x14ac:dyDescent="0.2">
      <c r="A2872" s="10"/>
      <c r="B2872" s="10"/>
      <c r="C2872" s="10"/>
      <c r="D2872" s="10"/>
      <c r="E2872" s="10"/>
      <c r="G2872" s="10"/>
    </row>
    <row r="2873" spans="1:7" x14ac:dyDescent="0.2">
      <c r="A2873" s="10"/>
      <c r="B2873" s="10"/>
      <c r="C2873" s="10"/>
      <c r="D2873" s="10"/>
      <c r="E2873" s="10"/>
      <c r="G2873" s="10"/>
    </row>
    <row r="2874" spans="1:7" x14ac:dyDescent="0.2">
      <c r="A2874" s="10"/>
      <c r="B2874" s="10"/>
      <c r="C2874" s="10"/>
      <c r="D2874" s="10"/>
      <c r="E2874" s="10"/>
      <c r="G2874" s="10"/>
    </row>
    <row r="2875" spans="1:7" x14ac:dyDescent="0.2">
      <c r="A2875" s="10"/>
      <c r="B2875" s="10"/>
      <c r="C2875" s="10"/>
      <c r="D2875" s="10"/>
      <c r="E2875" s="10"/>
      <c r="G2875" s="10"/>
    </row>
    <row r="2876" spans="1:7" x14ac:dyDescent="0.2">
      <c r="A2876" s="10"/>
      <c r="B2876" s="10"/>
      <c r="C2876" s="10"/>
      <c r="D2876" s="10"/>
      <c r="E2876" s="10"/>
      <c r="G2876" s="10"/>
    </row>
    <row r="2877" spans="1:7" x14ac:dyDescent="0.2">
      <c r="A2877" s="10"/>
      <c r="B2877" s="10"/>
      <c r="C2877" s="10"/>
      <c r="D2877" s="10"/>
      <c r="E2877" s="10"/>
      <c r="G2877" s="10"/>
    </row>
    <row r="2878" spans="1:7" x14ac:dyDescent="0.2">
      <c r="A2878" s="10"/>
      <c r="B2878" s="10"/>
      <c r="C2878" s="10"/>
      <c r="D2878" s="10"/>
      <c r="E2878" s="10"/>
      <c r="G2878" s="10"/>
    </row>
    <row r="2879" spans="1:7" x14ac:dyDescent="0.2">
      <c r="A2879" s="10"/>
      <c r="B2879" s="10"/>
      <c r="C2879" s="10"/>
      <c r="D2879" s="10"/>
      <c r="E2879" s="10"/>
      <c r="G2879" s="10"/>
    </row>
    <row r="2880" spans="1:7" x14ac:dyDescent="0.2">
      <c r="A2880" s="10"/>
      <c r="B2880" s="10"/>
      <c r="C2880" s="10"/>
      <c r="D2880" s="10"/>
      <c r="E2880" s="10"/>
      <c r="G2880" s="10"/>
    </row>
    <row r="2881" spans="1:10" x14ac:dyDescent="0.2">
      <c r="A2881" s="10"/>
      <c r="B2881" s="10"/>
      <c r="C2881" s="10"/>
      <c r="D2881" s="10"/>
      <c r="E2881" s="10"/>
      <c r="G2881" s="10"/>
      <c r="J2881" s="49"/>
    </row>
    <row r="2882" spans="1:10" x14ac:dyDescent="0.2">
      <c r="A2882" s="10"/>
      <c r="B2882" s="10"/>
      <c r="C2882" s="10"/>
      <c r="D2882" s="10"/>
      <c r="E2882" s="10"/>
      <c r="G2882" s="10"/>
    </row>
    <row r="2883" spans="1:10" x14ac:dyDescent="0.2">
      <c r="A2883" s="10"/>
    </row>
    <row r="2884" spans="1:10" x14ac:dyDescent="0.2">
      <c r="A2884" s="10"/>
    </row>
    <row r="2885" spans="1:10" x14ac:dyDescent="0.2">
      <c r="A2885" s="10"/>
    </row>
    <row r="2886" spans="1:10" x14ac:dyDescent="0.2">
      <c r="A2886" s="10"/>
      <c r="B2886" s="10"/>
      <c r="D2886" s="10"/>
      <c r="E2886" s="10"/>
      <c r="G2886" s="10"/>
    </row>
    <row r="2887" spans="1:10" x14ac:dyDescent="0.2">
      <c r="A2887" s="10"/>
    </row>
    <row r="2888" spans="1:10" x14ac:dyDescent="0.2">
      <c r="A2888" s="10"/>
    </row>
    <row r="2889" spans="1:10" x14ac:dyDescent="0.2">
      <c r="A2889" s="10"/>
      <c r="B2889" s="10"/>
    </row>
    <row r="2890" spans="1:10" x14ac:dyDescent="0.2">
      <c r="A2890" s="10"/>
      <c r="B2890" s="10"/>
    </row>
  </sheetData>
  <pageMargins left="0.7" right="0.7" top="0.75" bottom="0.75" header="0.3" footer="0.3"/>
  <pageSetup scale="72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2:AC346"/>
  <sheetViews>
    <sheetView zoomScale="87" zoomScaleNormal="87" workbookViewId="0">
      <selection activeCell="A12" sqref="A12"/>
    </sheetView>
  </sheetViews>
  <sheetFormatPr defaultRowHeight="12.75" x14ac:dyDescent="0.2"/>
  <cols>
    <col min="1" max="1" width="2.28515625" style="42" customWidth="1"/>
    <col min="2" max="2" width="17.28515625" style="198" customWidth="1"/>
    <col min="3" max="3" width="62.42578125" style="42" bestFit="1" customWidth="1"/>
    <col min="4" max="4" width="20" style="42" bestFit="1" customWidth="1"/>
    <col min="5" max="5" width="13.85546875" style="42" bestFit="1" customWidth="1"/>
    <col min="6" max="6" width="12.5703125" style="42" customWidth="1"/>
    <col min="7" max="7" width="17.7109375" style="42" customWidth="1"/>
    <col min="8" max="8" width="19.85546875" style="42" bestFit="1" customWidth="1"/>
    <col min="9" max="9" width="14.5703125" style="42" bestFit="1" customWidth="1"/>
    <col min="10" max="10" width="13.85546875" style="42" bestFit="1" customWidth="1"/>
    <col min="11" max="11" width="14.5703125" style="42" bestFit="1" customWidth="1"/>
    <col min="12" max="12" width="13.85546875" style="42" bestFit="1" customWidth="1"/>
    <col min="13" max="13" width="9.140625" style="42" bestFit="1" customWidth="1"/>
    <col min="14" max="14" width="14.7109375" style="42" customWidth="1"/>
    <col min="15" max="15" width="16" style="42" customWidth="1"/>
    <col min="16" max="16" width="13" style="42" bestFit="1" customWidth="1"/>
    <col min="17" max="17" width="13.7109375" style="42" bestFit="1" customWidth="1"/>
    <col min="18" max="21" width="13.7109375" style="42" customWidth="1"/>
    <col min="22" max="22" width="13.5703125" style="42" customWidth="1"/>
    <col min="23" max="23" width="13.42578125" style="42" bestFit="1" customWidth="1"/>
    <col min="24" max="24" width="14.42578125" style="42" bestFit="1" customWidth="1"/>
    <col min="25" max="25" width="13.7109375" style="42" bestFit="1" customWidth="1"/>
    <col min="26" max="26" width="14.42578125" style="42" bestFit="1" customWidth="1"/>
    <col min="27" max="28" width="12.5703125" style="42" bestFit="1" customWidth="1"/>
    <col min="29" max="16384" width="9.140625" style="42"/>
  </cols>
  <sheetData>
    <row r="2" spans="3:29" ht="40.5" customHeight="1" x14ac:dyDescent="0.2">
      <c r="C2" s="151" t="str">
        <f>Criteria!E9</f>
        <v>ABC TRUST</v>
      </c>
      <c r="Y2" s="150" t="s">
        <v>90</v>
      </c>
      <c r="Z2" s="150"/>
    </row>
    <row r="3" spans="3:29" ht="12.75" customHeight="1" x14ac:dyDescent="0.2">
      <c r="C3" s="63" t="s">
        <v>89</v>
      </c>
      <c r="D3" s="63" t="str">
        <f>Criteria!E20</f>
        <v>29 FEBRUARY 2024</v>
      </c>
      <c r="E3" s="63"/>
      <c r="F3" s="63"/>
      <c r="G3" s="63"/>
    </row>
    <row r="4" spans="3:29" ht="40.5" customHeight="1" x14ac:dyDescent="0.2">
      <c r="C4" s="187" t="s">
        <v>112</v>
      </c>
      <c r="D4" s="63"/>
      <c r="E4" s="63"/>
      <c r="F4" s="63"/>
      <c r="G4" s="63"/>
      <c r="Y4" s="150" t="s">
        <v>91</v>
      </c>
      <c r="Z4" s="150"/>
    </row>
    <row r="5" spans="3:29" x14ac:dyDescent="0.2"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</row>
    <row r="7" spans="3:29" x14ac:dyDescent="0.2">
      <c r="C7" s="64" t="s">
        <v>1125</v>
      </c>
      <c r="S7" s="512" t="s">
        <v>692</v>
      </c>
      <c r="T7" s="513"/>
      <c r="U7" s="514"/>
    </row>
    <row r="8" spans="3:29" x14ac:dyDescent="0.2">
      <c r="I8" s="19" t="s">
        <v>1126</v>
      </c>
      <c r="J8" s="19"/>
      <c r="K8" s="19"/>
      <c r="L8" s="19" t="s">
        <v>741</v>
      </c>
      <c r="M8" s="19"/>
      <c r="N8" s="19"/>
      <c r="O8" s="19"/>
      <c r="P8" s="19"/>
      <c r="Q8" s="19"/>
      <c r="R8" s="19" t="s">
        <v>683</v>
      </c>
      <c r="S8" s="241" t="s">
        <v>683</v>
      </c>
      <c r="T8" s="242" t="s">
        <v>690</v>
      </c>
      <c r="U8" s="243" t="s">
        <v>684</v>
      </c>
      <c r="V8" s="19"/>
      <c r="W8" s="19"/>
      <c r="X8" s="19" t="s">
        <v>1126</v>
      </c>
      <c r="Y8" s="19"/>
      <c r="Z8" s="19"/>
    </row>
    <row r="9" spans="3:29" x14ac:dyDescent="0.2">
      <c r="C9" s="221"/>
      <c r="D9" s="63"/>
      <c r="E9" s="63"/>
      <c r="F9" s="63"/>
      <c r="G9" s="63"/>
      <c r="H9" s="64"/>
      <c r="I9" s="21" t="s">
        <v>1069</v>
      </c>
      <c r="J9" s="21" t="s">
        <v>575</v>
      </c>
      <c r="K9" s="21" t="s">
        <v>574</v>
      </c>
      <c r="L9" s="21" t="s">
        <v>276</v>
      </c>
      <c r="M9" s="21"/>
      <c r="N9" s="21" t="s">
        <v>576</v>
      </c>
      <c r="O9" s="21" t="s">
        <v>577</v>
      </c>
      <c r="P9" s="21" t="s">
        <v>682</v>
      </c>
      <c r="Q9" s="21" t="s">
        <v>578</v>
      </c>
      <c r="R9" s="21" t="s">
        <v>1158</v>
      </c>
      <c r="S9" s="244" t="s">
        <v>685</v>
      </c>
      <c r="T9" s="21" t="s">
        <v>691</v>
      </c>
      <c r="U9" s="245" t="s">
        <v>686</v>
      </c>
      <c r="V9" s="21" t="s">
        <v>554</v>
      </c>
      <c r="W9" s="21" t="s">
        <v>573</v>
      </c>
      <c r="X9" s="21" t="s">
        <v>1069</v>
      </c>
      <c r="Y9" s="21" t="s">
        <v>575</v>
      </c>
      <c r="Z9" s="21" t="s">
        <v>574</v>
      </c>
    </row>
    <row r="10" spans="3:29" x14ac:dyDescent="0.2">
      <c r="C10" s="228" t="s">
        <v>1124</v>
      </c>
      <c r="D10" s="63"/>
      <c r="E10" s="63"/>
      <c r="F10" s="63"/>
      <c r="G10" s="63"/>
      <c r="H10" s="64"/>
      <c r="I10" s="228">
        <f>I33</f>
        <v>0</v>
      </c>
      <c r="J10" s="228">
        <f t="shared" ref="J10:Z10" si="0">J33</f>
        <v>0</v>
      </c>
      <c r="K10" s="228">
        <f t="shared" si="0"/>
        <v>0</v>
      </c>
      <c r="L10" s="228">
        <f t="shared" si="0"/>
        <v>0</v>
      </c>
      <c r="M10" s="228"/>
      <c r="N10" s="228">
        <f t="shared" si="0"/>
        <v>0</v>
      </c>
      <c r="O10" s="228">
        <f t="shared" si="0"/>
        <v>0</v>
      </c>
      <c r="P10" s="228">
        <f t="shared" si="0"/>
        <v>0</v>
      </c>
      <c r="Q10" s="228">
        <f t="shared" si="0"/>
        <v>0</v>
      </c>
      <c r="R10" s="228"/>
      <c r="S10" s="246"/>
      <c r="T10" s="228"/>
      <c r="U10" s="247"/>
      <c r="V10" s="228">
        <f t="shared" si="0"/>
        <v>0</v>
      </c>
      <c r="W10" s="228">
        <f t="shared" si="0"/>
        <v>0</v>
      </c>
      <c r="X10" s="228">
        <f t="shared" si="0"/>
        <v>0</v>
      </c>
      <c r="Y10" s="228">
        <f t="shared" si="0"/>
        <v>0</v>
      </c>
      <c r="Z10" s="228">
        <f t="shared" si="0"/>
        <v>0</v>
      </c>
      <c r="AA10" s="42" t="b">
        <f>I10+L10-N10=X10</f>
        <v>1</v>
      </c>
      <c r="AC10" s="42" t="b">
        <f t="shared" ref="AC10:AC14" si="1">X10-Y10=Z10</f>
        <v>1</v>
      </c>
    </row>
    <row r="11" spans="3:29" x14ac:dyDescent="0.2">
      <c r="C11" s="42" t="str">
        <f>B35</f>
        <v>PROPERTY</v>
      </c>
      <c r="I11" s="42">
        <f t="shared" ref="I11:Z11" si="2">I121</f>
        <v>0</v>
      </c>
      <c r="J11" s="42">
        <f t="shared" si="2"/>
        <v>0</v>
      </c>
      <c r="K11" s="42">
        <f t="shared" si="2"/>
        <v>0</v>
      </c>
      <c r="L11" s="42">
        <f t="shared" si="2"/>
        <v>0</v>
      </c>
      <c r="N11" s="42">
        <f t="shared" ref="N11:O11" si="3">N121</f>
        <v>0</v>
      </c>
      <c r="O11" s="42">
        <f t="shared" si="3"/>
        <v>0</v>
      </c>
      <c r="P11" s="42">
        <f t="shared" si="2"/>
        <v>0</v>
      </c>
      <c r="Q11" s="42">
        <f t="shared" si="2"/>
        <v>0</v>
      </c>
      <c r="R11" s="42">
        <f>R121</f>
        <v>0</v>
      </c>
      <c r="S11" s="246">
        <f t="shared" ref="S11:U11" si="4">S121</f>
        <v>0</v>
      </c>
      <c r="T11" s="228">
        <f t="shared" ref="T11" si="5">T121</f>
        <v>0</v>
      </c>
      <c r="U11" s="247">
        <f t="shared" si="4"/>
        <v>0</v>
      </c>
      <c r="V11" s="42">
        <f t="shared" ref="V11" si="6">V121</f>
        <v>0</v>
      </c>
      <c r="W11" s="42">
        <f t="shared" si="2"/>
        <v>0</v>
      </c>
      <c r="X11" s="42">
        <f t="shared" si="2"/>
        <v>0</v>
      </c>
      <c r="Y11" s="42">
        <f t="shared" si="2"/>
        <v>0</v>
      </c>
      <c r="Z11" s="42">
        <f t="shared" si="2"/>
        <v>0</v>
      </c>
      <c r="AA11" s="42" t="b">
        <f t="shared" ref="AA11:AA14" si="7">I11+L11-N11=X11</f>
        <v>1</v>
      </c>
      <c r="AB11" s="42" t="b">
        <f>J11-O11-R11+W11=Y11</f>
        <v>1</v>
      </c>
      <c r="AC11" s="42" t="b">
        <f t="shared" si="1"/>
        <v>1</v>
      </c>
    </row>
    <row r="12" spans="3:29" x14ac:dyDescent="0.2">
      <c r="C12" s="42" t="str">
        <f>B123</f>
        <v>PLANT AND EQUIPMENT</v>
      </c>
      <c r="I12" s="42">
        <f t="shared" ref="I12:Z12" si="8">I164</f>
        <v>0</v>
      </c>
      <c r="J12" s="42">
        <f t="shared" si="8"/>
        <v>0</v>
      </c>
      <c r="K12" s="42">
        <f t="shared" si="8"/>
        <v>0</v>
      </c>
      <c r="L12" s="42">
        <f t="shared" si="8"/>
        <v>0</v>
      </c>
      <c r="N12" s="42">
        <f t="shared" ref="N12:O12" si="9">N164</f>
        <v>0</v>
      </c>
      <c r="O12" s="42">
        <f t="shared" si="9"/>
        <v>0</v>
      </c>
      <c r="P12" s="42">
        <f t="shared" si="8"/>
        <v>0</v>
      </c>
      <c r="Q12" s="42">
        <f t="shared" si="8"/>
        <v>0</v>
      </c>
      <c r="S12" s="246">
        <f t="shared" ref="S12:U12" si="10">S164</f>
        <v>0</v>
      </c>
      <c r="T12" s="228">
        <f t="shared" ref="T12" si="11">T164</f>
        <v>0</v>
      </c>
      <c r="U12" s="247">
        <f t="shared" si="10"/>
        <v>0</v>
      </c>
      <c r="V12" s="42">
        <f t="shared" ref="V12" si="12">V164</f>
        <v>0</v>
      </c>
      <c r="W12" s="42">
        <f t="shared" si="8"/>
        <v>0</v>
      </c>
      <c r="X12" s="42">
        <f t="shared" si="8"/>
        <v>0</v>
      </c>
      <c r="Y12" s="42">
        <f t="shared" si="8"/>
        <v>0</v>
      </c>
      <c r="Z12" s="42">
        <f t="shared" si="8"/>
        <v>0</v>
      </c>
      <c r="AA12" s="42" t="b">
        <f t="shared" si="7"/>
        <v>1</v>
      </c>
      <c r="AB12" s="42" t="b">
        <f t="shared" ref="AB12:AB14" si="13">J12-O12+W12=Y12</f>
        <v>1</v>
      </c>
      <c r="AC12" s="42" t="b">
        <f t="shared" si="1"/>
        <v>1</v>
      </c>
    </row>
    <row r="13" spans="3:29" x14ac:dyDescent="0.2">
      <c r="C13" s="42" t="str">
        <f>B167</f>
        <v>MOTOR VEHICLES</v>
      </c>
      <c r="I13" s="42">
        <f t="shared" ref="I13:Z13" si="14">I198</f>
        <v>0</v>
      </c>
      <c r="J13" s="42">
        <f t="shared" si="14"/>
        <v>0</v>
      </c>
      <c r="K13" s="42">
        <f t="shared" si="14"/>
        <v>0</v>
      </c>
      <c r="L13" s="42">
        <f t="shared" si="14"/>
        <v>0</v>
      </c>
      <c r="N13" s="42">
        <f t="shared" ref="N13:O13" si="15">N198</f>
        <v>0</v>
      </c>
      <c r="O13" s="42">
        <f t="shared" si="15"/>
        <v>0</v>
      </c>
      <c r="P13" s="42">
        <f t="shared" si="14"/>
        <v>0</v>
      </c>
      <c r="Q13" s="42">
        <f t="shared" si="14"/>
        <v>0</v>
      </c>
      <c r="S13" s="246">
        <f t="shared" ref="S13:U13" si="16">S198</f>
        <v>0</v>
      </c>
      <c r="T13" s="228">
        <f t="shared" ref="T13" si="17">T198</f>
        <v>0</v>
      </c>
      <c r="U13" s="247">
        <f t="shared" si="16"/>
        <v>0</v>
      </c>
      <c r="V13" s="42">
        <f t="shared" ref="V13" si="18">V198</f>
        <v>0</v>
      </c>
      <c r="W13" s="42">
        <f t="shared" si="14"/>
        <v>0</v>
      </c>
      <c r="X13" s="42">
        <f t="shared" si="14"/>
        <v>0</v>
      </c>
      <c r="Y13" s="42">
        <f t="shared" si="14"/>
        <v>0</v>
      </c>
      <c r="Z13" s="42">
        <f t="shared" si="14"/>
        <v>0</v>
      </c>
      <c r="AA13" s="42" t="b">
        <f t="shared" si="7"/>
        <v>1</v>
      </c>
      <c r="AB13" s="42" t="b">
        <f t="shared" si="13"/>
        <v>1</v>
      </c>
      <c r="AC13" s="42" t="b">
        <f t="shared" si="1"/>
        <v>1</v>
      </c>
    </row>
    <row r="14" spans="3:29" x14ac:dyDescent="0.2">
      <c r="C14" s="42" t="str">
        <f>B201</f>
        <v>ELECTRONIC EQUIPMENT</v>
      </c>
      <c r="I14" s="42">
        <f t="shared" ref="I14:Z14" si="19">I237</f>
        <v>0</v>
      </c>
      <c r="J14" s="42">
        <f t="shared" si="19"/>
        <v>0</v>
      </c>
      <c r="K14" s="42">
        <f t="shared" si="19"/>
        <v>0</v>
      </c>
      <c r="L14" s="42">
        <f t="shared" si="19"/>
        <v>0</v>
      </c>
      <c r="N14" s="42">
        <f t="shared" ref="N14:O14" si="20">N237</f>
        <v>0</v>
      </c>
      <c r="O14" s="42">
        <f t="shared" si="20"/>
        <v>0</v>
      </c>
      <c r="P14" s="42">
        <f t="shared" si="19"/>
        <v>0</v>
      </c>
      <c r="Q14" s="42">
        <f t="shared" si="19"/>
        <v>0</v>
      </c>
      <c r="S14" s="246">
        <f t="shared" ref="S14:U14" si="21">S237</f>
        <v>0</v>
      </c>
      <c r="T14" s="228">
        <f t="shared" ref="T14" si="22">T237</f>
        <v>0</v>
      </c>
      <c r="U14" s="247">
        <f t="shared" si="21"/>
        <v>0</v>
      </c>
      <c r="V14" s="42">
        <f t="shared" ref="V14" si="23">V237</f>
        <v>0</v>
      </c>
      <c r="W14" s="42">
        <f t="shared" si="19"/>
        <v>0</v>
      </c>
      <c r="X14" s="42">
        <f t="shared" si="19"/>
        <v>0</v>
      </c>
      <c r="Y14" s="42">
        <f t="shared" si="19"/>
        <v>0</v>
      </c>
      <c r="Z14" s="42">
        <f t="shared" si="19"/>
        <v>0</v>
      </c>
      <c r="AA14" s="42" t="b">
        <f t="shared" si="7"/>
        <v>1</v>
      </c>
      <c r="AB14" s="42" t="b">
        <f t="shared" si="13"/>
        <v>1</v>
      </c>
      <c r="AC14" s="42" t="b">
        <f t="shared" si="1"/>
        <v>1</v>
      </c>
    </row>
    <row r="15" spans="3:29" x14ac:dyDescent="0.2">
      <c r="C15" s="42" t="str">
        <f>B240</f>
        <v>FURNITURE AND FITTINGS</v>
      </c>
      <c r="I15" s="42">
        <f t="shared" ref="I15:Z15" si="24">I342</f>
        <v>0</v>
      </c>
      <c r="J15" s="42">
        <f t="shared" si="24"/>
        <v>0</v>
      </c>
      <c r="K15" s="42">
        <f t="shared" si="24"/>
        <v>0</v>
      </c>
      <c r="L15" s="42">
        <f t="shared" si="24"/>
        <v>0</v>
      </c>
      <c r="N15" s="42">
        <f t="shared" ref="N15:O15" si="25">N342</f>
        <v>0</v>
      </c>
      <c r="O15" s="42">
        <f t="shared" si="25"/>
        <v>0</v>
      </c>
      <c r="P15" s="42">
        <f t="shared" si="24"/>
        <v>0</v>
      </c>
      <c r="Q15" s="42">
        <f t="shared" si="24"/>
        <v>0</v>
      </c>
      <c r="S15" s="246">
        <f t="shared" ref="S15:U15" si="26">S342</f>
        <v>0</v>
      </c>
      <c r="T15" s="228">
        <f t="shared" ref="T15" si="27">T342</f>
        <v>0</v>
      </c>
      <c r="U15" s="247">
        <f t="shared" si="26"/>
        <v>0</v>
      </c>
      <c r="V15" s="42">
        <f t="shared" ref="V15" si="28">V342</f>
        <v>0</v>
      </c>
      <c r="W15" s="42">
        <f t="shared" si="24"/>
        <v>0</v>
      </c>
      <c r="X15" s="42">
        <f t="shared" si="24"/>
        <v>0</v>
      </c>
      <c r="Y15" s="42">
        <f t="shared" si="24"/>
        <v>0</v>
      </c>
      <c r="Z15" s="42">
        <f t="shared" si="24"/>
        <v>0</v>
      </c>
      <c r="AA15" s="42" t="b">
        <f>I15+L15-N15=X15</f>
        <v>1</v>
      </c>
      <c r="AB15" s="42" t="b">
        <f>J15-O15+W15=Y15</f>
        <v>1</v>
      </c>
      <c r="AC15" s="42" t="b">
        <f>X15-Y15=Z15</f>
        <v>1</v>
      </c>
    </row>
    <row r="16" spans="3:29" ht="13.5" thickBot="1" x14ac:dyDescent="0.25">
      <c r="I16" s="139">
        <f>SUM(I10:I15)</f>
        <v>0</v>
      </c>
      <c r="J16" s="139">
        <f t="shared" ref="J16:Z16" si="29">SUM(J10:J15)</f>
        <v>0</v>
      </c>
      <c r="K16" s="139">
        <f t="shared" si="29"/>
        <v>0</v>
      </c>
      <c r="L16" s="139">
        <f t="shared" si="29"/>
        <v>0</v>
      </c>
      <c r="M16" s="139">
        <f t="shared" si="29"/>
        <v>0</v>
      </c>
      <c r="N16" s="139">
        <f t="shared" si="29"/>
        <v>0</v>
      </c>
      <c r="O16" s="139">
        <f t="shared" si="29"/>
        <v>0</v>
      </c>
      <c r="P16" s="139">
        <f t="shared" si="29"/>
        <v>0</v>
      </c>
      <c r="Q16" s="139">
        <f>SUM(Q10:Q15)</f>
        <v>0</v>
      </c>
      <c r="R16" s="139">
        <f>SUM(R10:R15)</f>
        <v>0</v>
      </c>
      <c r="S16" s="248">
        <f>SUM(S10:S15)</f>
        <v>0</v>
      </c>
      <c r="T16" s="139">
        <f>SUM(T10:T15)</f>
        <v>0</v>
      </c>
      <c r="U16" s="249">
        <f t="shared" ref="U16" si="30">SUM(U10:U15)</f>
        <v>0</v>
      </c>
      <c r="V16" s="139">
        <f t="shared" si="29"/>
        <v>0</v>
      </c>
      <c r="W16" s="139">
        <f t="shared" si="29"/>
        <v>0</v>
      </c>
      <c r="X16" s="139">
        <f t="shared" si="29"/>
        <v>0</v>
      </c>
      <c r="Y16" s="139">
        <f t="shared" si="29"/>
        <v>0</v>
      </c>
      <c r="Z16" s="139">
        <f t="shared" si="29"/>
        <v>0</v>
      </c>
    </row>
    <row r="17" spans="2:26" ht="13.5" thickTop="1" x14ac:dyDescent="0.2">
      <c r="I17" s="63"/>
      <c r="J17" s="63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</row>
    <row r="18" spans="2:26" x14ac:dyDescent="0.2">
      <c r="C18" s="42" t="s">
        <v>642</v>
      </c>
      <c r="I18" s="42">
        <f>TrialBalance!L227+TrialBalance!L240+TrialBalance!L248+TrialBalance!L256+TrialBalance!L264+TrialBalance!L236</f>
        <v>0</v>
      </c>
      <c r="J18" s="42">
        <f>-(TrialBalance!L231+TrialBalance!L244+TrialBalance!L252+TrialBalance!L260+TrialBalance!L268)</f>
        <v>0</v>
      </c>
      <c r="K18" s="42">
        <f>I18-J18</f>
        <v>0</v>
      </c>
      <c r="L18" s="42">
        <f>TrialBalance!L228+TrialBalance!L241+TrialBalance!L249+TrialBalance!L257+TrialBalance!L265+TrialBalance!L237</f>
        <v>0</v>
      </c>
      <c r="N18" s="42">
        <f>-TrialBalance!L229-TrialBalance!L242-TrialBalance!L250-TrialBalance!L258-TrialBalance!L266-TrialBalance!L238</f>
        <v>0</v>
      </c>
      <c r="O18" s="42">
        <f>TrialBalance!L233+TrialBalance!L246+TrialBalance!L254+TrialBalance!L262+TrialBalance!L270</f>
        <v>0</v>
      </c>
      <c r="Q18" s="42">
        <f>-TrialBalance!L81-TrialBalanceA!I81-TrialBalanceB!I81-TrialBalanceC!I81</f>
        <v>0</v>
      </c>
      <c r="R18" s="42">
        <f>TrialBalance!L234</f>
        <v>0</v>
      </c>
      <c r="W18" s="42">
        <f>SUM(TrialBalance!L41:L43)+SUM(TrialBalance!L95:L96)+SUM(TrialBalanceA!I41:I43)+SUM(TrialBalanceA!I95:I96)+SUM(TrialBalanceB!I41:I43)+SUM(TrialBalanceB!I95:I96)+SUM(TrialBalanceC!I41:I43)+SUM(TrialBalanceC!I95:I96)</f>
        <v>0</v>
      </c>
      <c r="X18" s="42">
        <f>SUM(TrialBalance!L227:L229)+SUM(TrialBalance!L240:L242)+SUM(TrialBalance!L248:L250)+SUM(TrialBalance!L256:L258)+SUM(TrialBalance!L264:L266)+SUM(TrialBalance!L236:L238)</f>
        <v>0</v>
      </c>
      <c r="Y18" s="42">
        <f>-(SUM(TrialBalance!L231:L234)+SUM(TrialBalance!L244:L246)+SUM(TrialBalance!L252:L254)+SUM(TrialBalance!L260:L262)+SUM(TrialBalance!L268:L270))</f>
        <v>0</v>
      </c>
      <c r="Z18" s="42">
        <f>X18-Y18</f>
        <v>0</v>
      </c>
    </row>
    <row r="19" spans="2:26" ht="15" x14ac:dyDescent="0.35">
      <c r="C19" s="42" t="s">
        <v>553</v>
      </c>
      <c r="I19" s="116">
        <f>ROUND(I16-I18,0)</f>
        <v>0</v>
      </c>
      <c r="J19" s="116">
        <f t="shared" ref="J19:Z19" si="31">ROUND(J16-J18,0)</f>
        <v>0</v>
      </c>
      <c r="K19" s="116">
        <f t="shared" si="31"/>
        <v>0</v>
      </c>
      <c r="L19" s="116">
        <f t="shared" si="31"/>
        <v>0</v>
      </c>
      <c r="M19" s="116"/>
      <c r="N19" s="116">
        <f t="shared" si="31"/>
        <v>0</v>
      </c>
      <c r="O19" s="116">
        <f t="shared" si="31"/>
        <v>0</v>
      </c>
      <c r="P19" s="116"/>
      <c r="Q19" s="116">
        <f t="shared" si="31"/>
        <v>0</v>
      </c>
      <c r="R19" s="116">
        <f t="shared" si="31"/>
        <v>0</v>
      </c>
      <c r="S19" s="116"/>
      <c r="T19" s="116"/>
      <c r="U19" s="116"/>
      <c r="V19" s="116"/>
      <c r="W19" s="116">
        <f t="shared" si="31"/>
        <v>0</v>
      </c>
      <c r="X19" s="116">
        <f t="shared" si="31"/>
        <v>0</v>
      </c>
      <c r="Y19" s="116">
        <f t="shared" si="31"/>
        <v>0</v>
      </c>
      <c r="Z19" s="116">
        <f t="shared" si="31"/>
        <v>0</v>
      </c>
    </row>
    <row r="22" spans="2:26" x14ac:dyDescent="0.2">
      <c r="B22" s="199" t="s">
        <v>1124</v>
      </c>
      <c r="I22" s="238"/>
      <c r="J22" s="238"/>
    </row>
    <row r="23" spans="2:26" x14ac:dyDescent="0.2">
      <c r="B23" s="200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spans="2:26" x14ac:dyDescent="0.2">
      <c r="B24" s="201" t="s">
        <v>27</v>
      </c>
      <c r="C24" s="67" t="s">
        <v>231</v>
      </c>
      <c r="D24" s="67"/>
      <c r="E24" s="107"/>
      <c r="F24" s="108"/>
      <c r="G24" s="107"/>
      <c r="H24" s="107"/>
      <c r="I24" s="21" t="s">
        <v>1069</v>
      </c>
      <c r="J24" s="21"/>
      <c r="K24" s="21" t="s">
        <v>574</v>
      </c>
      <c r="L24" s="21" t="s">
        <v>385</v>
      </c>
      <c r="M24" s="21"/>
      <c r="N24" s="21" t="s">
        <v>675</v>
      </c>
      <c r="O24" s="21"/>
      <c r="P24" s="21"/>
      <c r="Q24" s="21"/>
      <c r="R24" s="21"/>
      <c r="S24" s="21"/>
      <c r="T24" s="21"/>
      <c r="U24" s="21"/>
      <c r="V24" s="21"/>
      <c r="W24" s="21"/>
      <c r="X24" s="21" t="s">
        <v>1127</v>
      </c>
      <c r="Y24" s="21"/>
      <c r="Z24" s="21" t="s">
        <v>574</v>
      </c>
    </row>
    <row r="26" spans="2:26" x14ac:dyDescent="0.2">
      <c r="B26" s="176"/>
      <c r="C26" s="227"/>
      <c r="K26" s="42">
        <f t="shared" ref="K26:K32" si="32">I26-J26</f>
        <v>0</v>
      </c>
      <c r="X26" s="42">
        <f t="shared" ref="X26:X31" si="33">K26+L26-N26</f>
        <v>0</v>
      </c>
      <c r="Z26" s="42">
        <f>X26-Y26</f>
        <v>0</v>
      </c>
    </row>
    <row r="27" spans="2:26" x14ac:dyDescent="0.2">
      <c r="B27" s="176"/>
      <c r="C27" s="227"/>
      <c r="I27" s="228"/>
      <c r="K27" s="42">
        <f t="shared" si="32"/>
        <v>0</v>
      </c>
      <c r="X27" s="42">
        <f t="shared" si="33"/>
        <v>0</v>
      </c>
      <c r="Z27" s="42">
        <f t="shared" ref="Z27:Z31" si="34">X27-Y27</f>
        <v>0</v>
      </c>
    </row>
    <row r="28" spans="2:26" x14ac:dyDescent="0.2">
      <c r="K28" s="42">
        <f t="shared" si="32"/>
        <v>0</v>
      </c>
      <c r="X28" s="42">
        <f t="shared" si="33"/>
        <v>0</v>
      </c>
      <c r="Z28" s="42">
        <f t="shared" si="34"/>
        <v>0</v>
      </c>
    </row>
    <row r="29" spans="2:26" x14ac:dyDescent="0.2">
      <c r="K29" s="42">
        <f t="shared" si="32"/>
        <v>0</v>
      </c>
      <c r="X29" s="42">
        <f t="shared" si="33"/>
        <v>0</v>
      </c>
      <c r="Z29" s="42">
        <f t="shared" si="34"/>
        <v>0</v>
      </c>
    </row>
    <row r="30" spans="2:26" x14ac:dyDescent="0.2">
      <c r="K30" s="42">
        <f t="shared" si="32"/>
        <v>0</v>
      </c>
      <c r="X30" s="42">
        <f t="shared" si="33"/>
        <v>0</v>
      </c>
      <c r="Z30" s="42">
        <f t="shared" si="34"/>
        <v>0</v>
      </c>
    </row>
    <row r="31" spans="2:26" x14ac:dyDescent="0.2">
      <c r="K31" s="42">
        <f t="shared" si="32"/>
        <v>0</v>
      </c>
      <c r="X31" s="42">
        <f t="shared" si="33"/>
        <v>0</v>
      </c>
      <c r="Z31" s="42">
        <f t="shared" si="34"/>
        <v>0</v>
      </c>
    </row>
    <row r="32" spans="2:26" x14ac:dyDescent="0.2">
      <c r="K32" s="42">
        <f t="shared" si="32"/>
        <v>0</v>
      </c>
      <c r="X32" s="42">
        <f t="shared" ref="X32" si="35">K32+L32-N32</f>
        <v>0</v>
      </c>
      <c r="Z32" s="42">
        <f t="shared" ref="Z32" si="36">X32-Y32</f>
        <v>0</v>
      </c>
    </row>
    <row r="33" spans="2:26" ht="13.5" thickBot="1" x14ac:dyDescent="0.25">
      <c r="I33" s="50">
        <f>SUM(I25:I32)</f>
        <v>0</v>
      </c>
      <c r="J33" s="50">
        <f t="shared" ref="J33:Z33" si="37">SUM(J25:J32)</f>
        <v>0</v>
      </c>
      <c r="K33" s="50">
        <f t="shared" si="37"/>
        <v>0</v>
      </c>
      <c r="L33" s="50">
        <f t="shared" si="37"/>
        <v>0</v>
      </c>
      <c r="M33" s="50">
        <f t="shared" si="37"/>
        <v>0</v>
      </c>
      <c r="N33" s="50">
        <f t="shared" si="37"/>
        <v>0</v>
      </c>
      <c r="O33" s="50">
        <f t="shared" si="37"/>
        <v>0</v>
      </c>
      <c r="P33" s="50">
        <f t="shared" si="37"/>
        <v>0</v>
      </c>
      <c r="Q33" s="50">
        <f t="shared" si="37"/>
        <v>0</v>
      </c>
      <c r="R33" s="50"/>
      <c r="S33" s="50">
        <f t="shared" si="37"/>
        <v>0</v>
      </c>
      <c r="T33" s="50">
        <f t="shared" si="37"/>
        <v>0</v>
      </c>
      <c r="U33" s="50">
        <f t="shared" si="37"/>
        <v>0</v>
      </c>
      <c r="V33" s="50">
        <f t="shared" si="37"/>
        <v>0</v>
      </c>
      <c r="W33" s="50">
        <f t="shared" si="37"/>
        <v>0</v>
      </c>
      <c r="X33" s="50">
        <f t="shared" si="37"/>
        <v>0</v>
      </c>
      <c r="Y33" s="50">
        <f t="shared" si="37"/>
        <v>0</v>
      </c>
      <c r="Z33" s="50">
        <f t="shared" si="37"/>
        <v>0</v>
      </c>
    </row>
    <row r="34" spans="2:26" ht="13.5" thickTop="1" x14ac:dyDescent="0.2"/>
    <row r="35" spans="2:26" x14ac:dyDescent="0.2">
      <c r="B35" s="199" t="s">
        <v>1053</v>
      </c>
      <c r="I35" s="274">
        <v>0.02</v>
      </c>
      <c r="J35" s="42" t="s">
        <v>273</v>
      </c>
    </row>
    <row r="36" spans="2:26" x14ac:dyDescent="0.2">
      <c r="B36" s="200"/>
      <c r="E36" s="7"/>
      <c r="F36" s="7"/>
      <c r="G36" s="7"/>
      <c r="H36" s="7"/>
      <c r="I36" s="19"/>
      <c r="J36" s="19"/>
      <c r="K36" s="19"/>
      <c r="L36" s="19"/>
      <c r="M36" s="19"/>
      <c r="N36" s="19"/>
      <c r="O36" s="19"/>
      <c r="P36" s="19"/>
      <c r="Q36" s="19"/>
      <c r="R36" s="19" t="s">
        <v>683</v>
      </c>
      <c r="S36" s="257" t="s">
        <v>683</v>
      </c>
      <c r="T36" s="258" t="s">
        <v>690</v>
      </c>
      <c r="U36" s="259" t="s">
        <v>684</v>
      </c>
      <c r="V36" s="19"/>
      <c r="W36" s="19"/>
      <c r="X36" s="19"/>
      <c r="Y36" s="19"/>
      <c r="Z36" s="19"/>
    </row>
    <row r="37" spans="2:26" x14ac:dyDescent="0.2">
      <c r="B37" s="201" t="s">
        <v>27</v>
      </c>
      <c r="C37" s="67" t="s">
        <v>231</v>
      </c>
      <c r="D37" s="67"/>
      <c r="E37" s="239" t="s">
        <v>622</v>
      </c>
      <c r="F37" s="240" t="s">
        <v>487</v>
      </c>
      <c r="G37" s="239" t="s">
        <v>488</v>
      </c>
      <c r="H37" s="239" t="s">
        <v>579</v>
      </c>
      <c r="I37" s="21" t="s">
        <v>384</v>
      </c>
      <c r="J37" s="21" t="s">
        <v>575</v>
      </c>
      <c r="K37" s="21" t="s">
        <v>574</v>
      </c>
      <c r="L37" s="21" t="s">
        <v>276</v>
      </c>
      <c r="M37" s="21" t="s">
        <v>422</v>
      </c>
      <c r="N37" s="21" t="s">
        <v>576</v>
      </c>
      <c r="O37" s="21" t="s">
        <v>577</v>
      </c>
      <c r="P37" s="21" t="s">
        <v>681</v>
      </c>
      <c r="Q37" s="21" t="s">
        <v>578</v>
      </c>
      <c r="R37" s="21" t="s">
        <v>1158</v>
      </c>
      <c r="S37" s="244" t="s">
        <v>685</v>
      </c>
      <c r="T37" s="21" t="s">
        <v>691</v>
      </c>
      <c r="U37" s="245" t="s">
        <v>686</v>
      </c>
      <c r="V37" s="21" t="s">
        <v>554</v>
      </c>
      <c r="W37" s="21" t="s">
        <v>573</v>
      </c>
      <c r="X37" s="21" t="s">
        <v>384</v>
      </c>
      <c r="Y37" s="21" t="s">
        <v>575</v>
      </c>
      <c r="Z37" s="21" t="s">
        <v>574</v>
      </c>
    </row>
    <row r="39" spans="2:26" x14ac:dyDescent="0.2">
      <c r="K39" s="42">
        <f t="shared" ref="K39:K46" si="38">I39-J39</f>
        <v>0</v>
      </c>
      <c r="M39" s="42">
        <v>12</v>
      </c>
      <c r="W39" s="193">
        <f t="shared" ref="W39:W70" si="39">ROUND(IF(L39&gt;0,L39*I$35*M39/12,IF(K39=0,0,IF(I39*I$35*M39/12&gt;=K39,K39-1,I39*I$35*M39/12))),2)+V39</f>
        <v>0</v>
      </c>
      <c r="X39" s="42">
        <f>I39+L39-N39</f>
        <v>0</v>
      </c>
      <c r="Y39" s="42">
        <f t="shared" ref="Y39:Y96" si="40">J39-R39+W39-O39</f>
        <v>0</v>
      </c>
      <c r="Z39" s="42">
        <f t="shared" ref="Z39" si="41">X39-Y39</f>
        <v>0</v>
      </c>
    </row>
    <row r="40" spans="2:26" x14ac:dyDescent="0.2">
      <c r="B40" s="91"/>
      <c r="C40" s="167"/>
      <c r="D40" s="167"/>
      <c r="E40" s="167"/>
      <c r="F40" s="168"/>
      <c r="G40" s="1"/>
      <c r="H40" s="167"/>
      <c r="K40" s="42">
        <f t="shared" si="38"/>
        <v>0</v>
      </c>
      <c r="M40" s="42">
        <v>12</v>
      </c>
      <c r="W40" s="193">
        <f t="shared" si="39"/>
        <v>0</v>
      </c>
      <c r="X40" s="42">
        <f t="shared" ref="X40:X103" si="42">I40+L40-N40</f>
        <v>0</v>
      </c>
      <c r="Y40" s="42">
        <f t="shared" si="40"/>
        <v>0</v>
      </c>
      <c r="Z40" s="42">
        <f t="shared" ref="Z40:Z103" si="43">X40-Y40</f>
        <v>0</v>
      </c>
    </row>
    <row r="41" spans="2:26" ht="15" x14ac:dyDescent="0.35">
      <c r="B41" s="91"/>
      <c r="C41" s="169" t="s">
        <v>489</v>
      </c>
      <c r="D41" s="169"/>
      <c r="E41" s="167"/>
      <c r="F41" s="168"/>
      <c r="G41" s="1"/>
      <c r="H41" s="167"/>
      <c r="K41" s="42">
        <f t="shared" si="38"/>
        <v>0</v>
      </c>
      <c r="M41" s="42">
        <v>12</v>
      </c>
      <c r="W41" s="193">
        <f t="shared" si="39"/>
        <v>0</v>
      </c>
      <c r="X41" s="42">
        <f t="shared" si="42"/>
        <v>0</v>
      </c>
      <c r="Y41" s="42">
        <f t="shared" si="40"/>
        <v>0</v>
      </c>
      <c r="Z41" s="42">
        <f t="shared" si="43"/>
        <v>0</v>
      </c>
    </row>
    <row r="42" spans="2:26" ht="15" x14ac:dyDescent="0.35">
      <c r="B42" s="91"/>
      <c r="C42" s="169"/>
      <c r="D42" s="169"/>
      <c r="E42" s="167"/>
      <c r="F42" s="168"/>
      <c r="G42" s="1"/>
      <c r="H42" s="167"/>
      <c r="K42" s="42">
        <f t="shared" si="38"/>
        <v>0</v>
      </c>
      <c r="M42" s="42">
        <v>12</v>
      </c>
      <c r="W42" s="193">
        <f t="shared" si="39"/>
        <v>0</v>
      </c>
      <c r="X42" s="42">
        <f t="shared" si="42"/>
        <v>0</v>
      </c>
      <c r="Y42" s="42">
        <f t="shared" si="40"/>
        <v>0</v>
      </c>
      <c r="Z42" s="42">
        <f t="shared" si="43"/>
        <v>0</v>
      </c>
    </row>
    <row r="43" spans="2:26" x14ac:dyDescent="0.2">
      <c r="B43" s="176"/>
      <c r="C43" s="167"/>
      <c r="D43" s="179"/>
      <c r="E43" s="167"/>
      <c r="F43" s="177"/>
      <c r="G43" s="1"/>
      <c r="H43" s="167"/>
      <c r="K43" s="42">
        <f t="shared" si="38"/>
        <v>0</v>
      </c>
      <c r="M43" s="42">
        <v>12</v>
      </c>
      <c r="W43" s="193">
        <f t="shared" si="39"/>
        <v>0</v>
      </c>
      <c r="X43" s="42">
        <f t="shared" si="42"/>
        <v>0</v>
      </c>
      <c r="Y43" s="42">
        <f t="shared" si="40"/>
        <v>0</v>
      </c>
      <c r="Z43" s="42">
        <f t="shared" si="43"/>
        <v>0</v>
      </c>
    </row>
    <row r="44" spans="2:26" x14ac:dyDescent="0.2">
      <c r="B44" s="176"/>
      <c r="C44" s="167"/>
      <c r="D44" s="224"/>
      <c r="E44" s="224"/>
      <c r="F44" s="225"/>
      <c r="G44" s="226"/>
      <c r="H44" s="227"/>
      <c r="I44" s="228"/>
      <c r="J44" s="228"/>
      <c r="K44" s="42">
        <f t="shared" si="38"/>
        <v>0</v>
      </c>
      <c r="M44" s="42">
        <v>12</v>
      </c>
      <c r="W44" s="193">
        <f t="shared" si="39"/>
        <v>0</v>
      </c>
      <c r="X44" s="42">
        <f t="shared" si="42"/>
        <v>0</v>
      </c>
      <c r="Y44" s="42">
        <f>J44-R44+W44-O44</f>
        <v>0</v>
      </c>
      <c r="Z44" s="42">
        <f t="shared" si="43"/>
        <v>0</v>
      </c>
    </row>
    <row r="45" spans="2:26" x14ac:dyDescent="0.2">
      <c r="B45" s="176"/>
      <c r="C45" s="227"/>
      <c r="D45" s="227"/>
      <c r="E45" s="227"/>
      <c r="F45" s="225"/>
      <c r="G45" s="226"/>
      <c r="H45" s="227"/>
      <c r="I45" s="228"/>
      <c r="J45" s="228"/>
      <c r="K45" s="42">
        <f t="shared" si="38"/>
        <v>0</v>
      </c>
      <c r="M45" s="42">
        <v>12</v>
      </c>
      <c r="W45" s="193">
        <f t="shared" si="39"/>
        <v>0</v>
      </c>
      <c r="X45" s="42">
        <f t="shared" si="42"/>
        <v>0</v>
      </c>
      <c r="Y45" s="42">
        <f t="shared" si="40"/>
        <v>0</v>
      </c>
      <c r="Z45" s="42">
        <f t="shared" si="43"/>
        <v>0</v>
      </c>
    </row>
    <row r="46" spans="2:26" x14ac:dyDescent="0.2">
      <c r="B46" s="176"/>
      <c r="C46" s="227"/>
      <c r="D46" s="227"/>
      <c r="E46" s="227"/>
      <c r="F46" s="228"/>
      <c r="G46" s="229"/>
      <c r="H46" s="227"/>
      <c r="I46" s="228"/>
      <c r="J46" s="228"/>
      <c r="K46" s="42">
        <f t="shared" si="38"/>
        <v>0</v>
      </c>
      <c r="M46" s="42">
        <v>12</v>
      </c>
      <c r="W46" s="193">
        <f t="shared" si="39"/>
        <v>0</v>
      </c>
      <c r="X46" s="42">
        <f t="shared" si="42"/>
        <v>0</v>
      </c>
      <c r="Y46" s="42">
        <f t="shared" si="40"/>
        <v>0</v>
      </c>
      <c r="Z46" s="42">
        <f t="shared" si="43"/>
        <v>0</v>
      </c>
    </row>
    <row r="47" spans="2:26" ht="15" x14ac:dyDescent="0.35">
      <c r="B47" s="176"/>
      <c r="C47" s="230"/>
      <c r="D47" s="228"/>
      <c r="E47" s="227"/>
      <c r="F47" s="228"/>
      <c r="G47" s="231"/>
      <c r="H47" s="227"/>
      <c r="I47" s="228"/>
      <c r="J47" s="228"/>
      <c r="K47" s="42">
        <f t="shared" ref="K47:K96" si="44">I47-J47</f>
        <v>0</v>
      </c>
      <c r="M47" s="42">
        <v>12</v>
      </c>
      <c r="W47" s="193">
        <f t="shared" si="39"/>
        <v>0</v>
      </c>
      <c r="X47" s="42">
        <f t="shared" si="42"/>
        <v>0</v>
      </c>
      <c r="Y47" s="42">
        <f t="shared" si="40"/>
        <v>0</v>
      </c>
      <c r="Z47" s="42">
        <f t="shared" si="43"/>
        <v>0</v>
      </c>
    </row>
    <row r="48" spans="2:26" x14ac:dyDescent="0.2">
      <c r="B48" s="176"/>
      <c r="C48" s="224"/>
      <c r="D48" s="228"/>
      <c r="E48" s="224"/>
      <c r="F48" s="228"/>
      <c r="G48" s="231"/>
      <c r="H48" s="224"/>
      <c r="I48" s="228"/>
      <c r="J48" s="228"/>
      <c r="K48" s="42">
        <f t="shared" si="44"/>
        <v>0</v>
      </c>
      <c r="M48" s="42">
        <v>12</v>
      </c>
      <c r="W48" s="193">
        <f t="shared" si="39"/>
        <v>0</v>
      </c>
      <c r="X48" s="42">
        <f t="shared" si="42"/>
        <v>0</v>
      </c>
      <c r="Y48" s="42">
        <f t="shared" si="40"/>
        <v>0</v>
      </c>
      <c r="Z48" s="42">
        <f t="shared" si="43"/>
        <v>0</v>
      </c>
    </row>
    <row r="49" spans="2:26" x14ac:dyDescent="0.2">
      <c r="B49" s="176"/>
      <c r="C49" s="227"/>
      <c r="D49" s="228"/>
      <c r="E49" s="227"/>
      <c r="F49" s="228"/>
      <c r="G49" s="231"/>
      <c r="H49" s="227"/>
      <c r="I49" s="228"/>
      <c r="J49" s="228"/>
      <c r="K49" s="42">
        <f t="shared" si="44"/>
        <v>0</v>
      </c>
      <c r="M49" s="42">
        <v>12</v>
      </c>
      <c r="W49" s="193">
        <f t="shared" si="39"/>
        <v>0</v>
      </c>
      <c r="X49" s="42">
        <f t="shared" si="42"/>
        <v>0</v>
      </c>
      <c r="Y49" s="42">
        <f t="shared" si="40"/>
        <v>0</v>
      </c>
      <c r="Z49" s="42">
        <f t="shared" si="43"/>
        <v>0</v>
      </c>
    </row>
    <row r="50" spans="2:26" x14ac:dyDescent="0.2">
      <c r="B50" s="176"/>
      <c r="C50" s="227"/>
      <c r="D50" s="228"/>
      <c r="E50" s="227"/>
      <c r="F50" s="228"/>
      <c r="G50" s="231"/>
      <c r="H50" s="227"/>
      <c r="I50" s="228"/>
      <c r="J50" s="228"/>
      <c r="K50" s="42">
        <f t="shared" si="44"/>
        <v>0</v>
      </c>
      <c r="M50" s="42">
        <v>12</v>
      </c>
      <c r="W50" s="193">
        <f t="shared" si="39"/>
        <v>0</v>
      </c>
      <c r="X50" s="42">
        <f t="shared" si="42"/>
        <v>0</v>
      </c>
      <c r="Y50" s="42">
        <f t="shared" si="40"/>
        <v>0</v>
      </c>
      <c r="Z50" s="42">
        <f t="shared" si="43"/>
        <v>0</v>
      </c>
    </row>
    <row r="51" spans="2:26" x14ac:dyDescent="0.2">
      <c r="B51" s="176"/>
      <c r="C51" s="227"/>
      <c r="D51" s="228"/>
      <c r="E51" s="232"/>
      <c r="F51" s="228"/>
      <c r="G51" s="229"/>
      <c r="H51" s="227"/>
      <c r="I51" s="228"/>
      <c r="J51" s="228"/>
      <c r="K51" s="42">
        <f t="shared" ref="K51:K92" si="45">I51-J51</f>
        <v>0</v>
      </c>
      <c r="M51" s="42">
        <v>12</v>
      </c>
      <c r="W51" s="193">
        <f t="shared" si="39"/>
        <v>0</v>
      </c>
      <c r="X51" s="42">
        <f t="shared" si="42"/>
        <v>0</v>
      </c>
      <c r="Y51" s="42">
        <f t="shared" si="40"/>
        <v>0</v>
      </c>
      <c r="Z51" s="42">
        <f t="shared" si="43"/>
        <v>0</v>
      </c>
    </row>
    <row r="52" spans="2:26" x14ac:dyDescent="0.2">
      <c r="B52" s="176"/>
      <c r="C52" s="227"/>
      <c r="D52" s="228"/>
      <c r="E52" s="227"/>
      <c r="F52" s="228"/>
      <c r="G52" s="231"/>
      <c r="H52" s="227"/>
      <c r="I52" s="228"/>
      <c r="J52" s="228"/>
      <c r="K52" s="42">
        <f t="shared" si="45"/>
        <v>0</v>
      </c>
      <c r="M52" s="42">
        <v>12</v>
      </c>
      <c r="W52" s="193">
        <f t="shared" si="39"/>
        <v>0</v>
      </c>
      <c r="X52" s="42">
        <f t="shared" si="42"/>
        <v>0</v>
      </c>
      <c r="Y52" s="42">
        <f t="shared" si="40"/>
        <v>0</v>
      </c>
      <c r="Z52" s="42">
        <f t="shared" si="43"/>
        <v>0</v>
      </c>
    </row>
    <row r="53" spans="2:26" x14ac:dyDescent="0.2">
      <c r="B53" s="176"/>
      <c r="C53" s="227"/>
      <c r="D53" s="228"/>
      <c r="E53" s="232"/>
      <c r="F53" s="228"/>
      <c r="G53" s="229"/>
      <c r="H53" s="227"/>
      <c r="I53" s="228"/>
      <c r="J53" s="228"/>
      <c r="K53" s="42">
        <f t="shared" si="45"/>
        <v>0</v>
      </c>
      <c r="M53" s="42">
        <v>12</v>
      </c>
      <c r="W53" s="193">
        <f t="shared" si="39"/>
        <v>0</v>
      </c>
      <c r="X53" s="42">
        <f t="shared" si="42"/>
        <v>0</v>
      </c>
      <c r="Y53" s="42">
        <f t="shared" si="40"/>
        <v>0</v>
      </c>
      <c r="Z53" s="42">
        <f t="shared" si="43"/>
        <v>0</v>
      </c>
    </row>
    <row r="54" spans="2:26" x14ac:dyDescent="0.2">
      <c r="B54" s="176"/>
      <c r="C54" s="227"/>
      <c r="D54" s="228"/>
      <c r="E54" s="227"/>
      <c r="F54" s="228"/>
      <c r="G54" s="231"/>
      <c r="H54" s="227"/>
      <c r="I54" s="228"/>
      <c r="J54" s="228"/>
      <c r="K54" s="42">
        <f t="shared" ref="K54:K80" si="46">I54-J54</f>
        <v>0</v>
      </c>
      <c r="M54" s="42">
        <v>12</v>
      </c>
      <c r="W54" s="193">
        <f t="shared" si="39"/>
        <v>0</v>
      </c>
      <c r="X54" s="42">
        <f t="shared" si="42"/>
        <v>0</v>
      </c>
      <c r="Y54" s="42">
        <f t="shared" si="40"/>
        <v>0</v>
      </c>
      <c r="Z54" s="42">
        <f t="shared" si="43"/>
        <v>0</v>
      </c>
    </row>
    <row r="55" spans="2:26" x14ac:dyDescent="0.2">
      <c r="B55" s="176"/>
      <c r="C55" s="227"/>
      <c r="D55" s="228"/>
      <c r="E55" s="232"/>
      <c r="F55" s="228"/>
      <c r="G55" s="229"/>
      <c r="H55" s="227"/>
      <c r="I55" s="228"/>
      <c r="J55" s="228"/>
      <c r="K55" s="42">
        <f t="shared" si="46"/>
        <v>0</v>
      </c>
      <c r="M55" s="42">
        <v>12</v>
      </c>
      <c r="W55" s="193">
        <f t="shared" si="39"/>
        <v>0</v>
      </c>
      <c r="X55" s="42">
        <f t="shared" si="42"/>
        <v>0</v>
      </c>
      <c r="Y55" s="42">
        <f t="shared" si="40"/>
        <v>0</v>
      </c>
      <c r="Z55" s="42">
        <f t="shared" si="43"/>
        <v>0</v>
      </c>
    </row>
    <row r="56" spans="2:26" x14ac:dyDescent="0.2">
      <c r="B56" s="176"/>
      <c r="C56" s="227"/>
      <c r="D56" s="228"/>
      <c r="E56" s="227"/>
      <c r="F56" s="228"/>
      <c r="G56" s="231"/>
      <c r="H56" s="227"/>
      <c r="I56" s="228"/>
      <c r="J56" s="228"/>
      <c r="K56" s="42">
        <f t="shared" si="46"/>
        <v>0</v>
      </c>
      <c r="M56" s="42">
        <v>12</v>
      </c>
      <c r="W56" s="193">
        <f t="shared" si="39"/>
        <v>0</v>
      </c>
      <c r="X56" s="42">
        <f t="shared" si="42"/>
        <v>0</v>
      </c>
      <c r="Y56" s="42">
        <f t="shared" si="40"/>
        <v>0</v>
      </c>
      <c r="Z56" s="42">
        <f t="shared" si="43"/>
        <v>0</v>
      </c>
    </row>
    <row r="57" spans="2:26" x14ac:dyDescent="0.2">
      <c r="B57" s="176"/>
      <c r="C57" s="227"/>
      <c r="D57" s="228"/>
      <c r="E57" s="232"/>
      <c r="F57" s="228"/>
      <c r="G57" s="229"/>
      <c r="H57" s="227"/>
      <c r="I57" s="228"/>
      <c r="J57" s="228"/>
      <c r="K57" s="42">
        <f t="shared" si="46"/>
        <v>0</v>
      </c>
      <c r="M57" s="42">
        <v>12</v>
      </c>
      <c r="W57" s="193">
        <f t="shared" si="39"/>
        <v>0</v>
      </c>
      <c r="X57" s="42">
        <f t="shared" si="42"/>
        <v>0</v>
      </c>
      <c r="Y57" s="42">
        <f t="shared" si="40"/>
        <v>0</v>
      </c>
      <c r="Z57" s="42">
        <f t="shared" si="43"/>
        <v>0</v>
      </c>
    </row>
    <row r="58" spans="2:26" x14ac:dyDescent="0.2">
      <c r="B58" s="176"/>
      <c r="C58" s="227"/>
      <c r="D58" s="228"/>
      <c r="E58" s="227"/>
      <c r="F58" s="228"/>
      <c r="G58" s="229"/>
      <c r="H58" s="227"/>
      <c r="I58" s="228"/>
      <c r="J58" s="228"/>
      <c r="K58" s="42">
        <f t="shared" si="46"/>
        <v>0</v>
      </c>
      <c r="M58" s="42">
        <v>12</v>
      </c>
      <c r="W58" s="193">
        <f t="shared" si="39"/>
        <v>0</v>
      </c>
      <c r="X58" s="42">
        <f t="shared" si="42"/>
        <v>0</v>
      </c>
      <c r="Y58" s="42">
        <f t="shared" si="40"/>
        <v>0</v>
      </c>
      <c r="Z58" s="42">
        <f t="shared" si="43"/>
        <v>0</v>
      </c>
    </row>
    <row r="59" spans="2:26" x14ac:dyDescent="0.2">
      <c r="B59" s="176"/>
      <c r="C59" s="227"/>
      <c r="D59" s="228"/>
      <c r="E59" s="232"/>
      <c r="F59" s="228"/>
      <c r="G59" s="229"/>
      <c r="H59" s="227"/>
      <c r="I59" s="228"/>
      <c r="J59" s="228"/>
      <c r="K59" s="42">
        <f t="shared" si="46"/>
        <v>0</v>
      </c>
      <c r="M59" s="42">
        <v>12</v>
      </c>
      <c r="W59" s="193">
        <f t="shared" si="39"/>
        <v>0</v>
      </c>
      <c r="X59" s="42">
        <f t="shared" si="42"/>
        <v>0</v>
      </c>
      <c r="Y59" s="42">
        <f t="shared" si="40"/>
        <v>0</v>
      </c>
      <c r="Z59" s="42">
        <f t="shared" si="43"/>
        <v>0</v>
      </c>
    </row>
    <row r="60" spans="2:26" x14ac:dyDescent="0.2">
      <c r="B60" s="176"/>
      <c r="C60" s="227"/>
      <c r="D60" s="228"/>
      <c r="E60" s="227"/>
      <c r="F60" s="228"/>
      <c r="G60" s="229"/>
      <c r="H60" s="227"/>
      <c r="I60" s="228"/>
      <c r="J60" s="228"/>
      <c r="K60" s="42">
        <f t="shared" si="46"/>
        <v>0</v>
      </c>
      <c r="M60" s="42">
        <v>12</v>
      </c>
      <c r="W60" s="193">
        <f t="shared" si="39"/>
        <v>0</v>
      </c>
      <c r="X60" s="42">
        <f t="shared" si="42"/>
        <v>0</v>
      </c>
      <c r="Y60" s="42">
        <f t="shared" si="40"/>
        <v>0</v>
      </c>
      <c r="Z60" s="42">
        <f t="shared" si="43"/>
        <v>0</v>
      </c>
    </row>
    <row r="61" spans="2:26" x14ac:dyDescent="0.2">
      <c r="B61" s="176"/>
      <c r="C61" s="227"/>
      <c r="D61" s="228"/>
      <c r="E61" s="232"/>
      <c r="F61" s="228"/>
      <c r="G61" s="229"/>
      <c r="H61" s="227"/>
      <c r="I61" s="228"/>
      <c r="J61" s="228"/>
      <c r="K61" s="42">
        <f t="shared" si="46"/>
        <v>0</v>
      </c>
      <c r="M61" s="42">
        <v>12</v>
      </c>
      <c r="W61" s="193">
        <f t="shared" si="39"/>
        <v>0</v>
      </c>
      <c r="X61" s="42">
        <f t="shared" si="42"/>
        <v>0</v>
      </c>
      <c r="Y61" s="42">
        <f t="shared" si="40"/>
        <v>0</v>
      </c>
      <c r="Z61" s="42">
        <f t="shared" si="43"/>
        <v>0</v>
      </c>
    </row>
    <row r="62" spans="2:26" x14ac:dyDescent="0.2">
      <c r="B62" s="176"/>
      <c r="C62" s="227"/>
      <c r="D62" s="228"/>
      <c r="E62" s="227"/>
      <c r="F62" s="228"/>
      <c r="G62" s="229"/>
      <c r="H62" s="227"/>
      <c r="I62" s="228"/>
      <c r="J62" s="228"/>
      <c r="K62" s="42">
        <f t="shared" si="46"/>
        <v>0</v>
      </c>
      <c r="M62" s="42">
        <v>12</v>
      </c>
      <c r="W62" s="193">
        <f t="shared" si="39"/>
        <v>0</v>
      </c>
      <c r="X62" s="42">
        <f t="shared" si="42"/>
        <v>0</v>
      </c>
      <c r="Y62" s="42">
        <f t="shared" si="40"/>
        <v>0</v>
      </c>
      <c r="Z62" s="42">
        <f t="shared" si="43"/>
        <v>0</v>
      </c>
    </row>
    <row r="63" spans="2:26" x14ac:dyDescent="0.2">
      <c r="B63" s="176"/>
      <c r="C63" s="227"/>
      <c r="D63" s="228"/>
      <c r="E63" s="232"/>
      <c r="F63" s="228"/>
      <c r="G63" s="229"/>
      <c r="H63" s="227"/>
      <c r="I63" s="228"/>
      <c r="J63" s="228"/>
      <c r="K63" s="42">
        <f t="shared" si="46"/>
        <v>0</v>
      </c>
      <c r="M63" s="42">
        <v>12</v>
      </c>
      <c r="W63" s="193">
        <f t="shared" si="39"/>
        <v>0</v>
      </c>
      <c r="X63" s="42">
        <f t="shared" si="42"/>
        <v>0</v>
      </c>
      <c r="Y63" s="42">
        <f t="shared" si="40"/>
        <v>0</v>
      </c>
      <c r="Z63" s="42">
        <f t="shared" si="43"/>
        <v>0</v>
      </c>
    </row>
    <row r="64" spans="2:26" x14ac:dyDescent="0.2">
      <c r="B64" s="176"/>
      <c r="C64" s="227"/>
      <c r="D64" s="228"/>
      <c r="E64" s="227"/>
      <c r="F64" s="228"/>
      <c r="G64" s="229"/>
      <c r="H64" s="227"/>
      <c r="I64" s="228"/>
      <c r="J64" s="228"/>
      <c r="K64" s="42">
        <f t="shared" si="46"/>
        <v>0</v>
      </c>
      <c r="M64" s="42">
        <v>12</v>
      </c>
      <c r="W64" s="193">
        <f t="shared" si="39"/>
        <v>0</v>
      </c>
      <c r="X64" s="42">
        <f t="shared" si="42"/>
        <v>0</v>
      </c>
      <c r="Y64" s="42">
        <f t="shared" si="40"/>
        <v>0</v>
      </c>
      <c r="Z64" s="42">
        <f t="shared" si="43"/>
        <v>0</v>
      </c>
    </row>
    <row r="65" spans="2:26" x14ac:dyDescent="0.2">
      <c r="B65" s="176"/>
      <c r="C65" s="227"/>
      <c r="D65" s="228"/>
      <c r="E65" s="232"/>
      <c r="F65" s="228"/>
      <c r="G65" s="229"/>
      <c r="H65" s="227"/>
      <c r="I65" s="228"/>
      <c r="J65" s="228"/>
      <c r="K65" s="42">
        <f t="shared" si="46"/>
        <v>0</v>
      </c>
      <c r="M65" s="42">
        <v>12</v>
      </c>
      <c r="W65" s="193">
        <f t="shared" si="39"/>
        <v>0</v>
      </c>
      <c r="X65" s="42">
        <f t="shared" si="42"/>
        <v>0</v>
      </c>
      <c r="Y65" s="42">
        <f t="shared" si="40"/>
        <v>0</v>
      </c>
      <c r="Z65" s="42">
        <f t="shared" si="43"/>
        <v>0</v>
      </c>
    </row>
    <row r="66" spans="2:26" x14ac:dyDescent="0.2">
      <c r="B66" s="176"/>
      <c r="C66" s="227"/>
      <c r="D66" s="228"/>
      <c r="E66" s="227"/>
      <c r="F66" s="228"/>
      <c r="G66" s="229"/>
      <c r="H66" s="227"/>
      <c r="I66" s="228"/>
      <c r="J66" s="228"/>
      <c r="K66" s="42">
        <f t="shared" si="46"/>
        <v>0</v>
      </c>
      <c r="M66" s="42">
        <v>12</v>
      </c>
      <c r="W66" s="193">
        <f t="shared" si="39"/>
        <v>0</v>
      </c>
      <c r="X66" s="42">
        <f t="shared" si="42"/>
        <v>0</v>
      </c>
      <c r="Y66" s="42">
        <f t="shared" si="40"/>
        <v>0</v>
      </c>
      <c r="Z66" s="42">
        <f t="shared" si="43"/>
        <v>0</v>
      </c>
    </row>
    <row r="67" spans="2:26" x14ac:dyDescent="0.2">
      <c r="B67" s="176"/>
      <c r="C67" s="227"/>
      <c r="D67" s="228"/>
      <c r="E67" s="232"/>
      <c r="F67" s="228"/>
      <c r="G67" s="229"/>
      <c r="H67" s="227"/>
      <c r="I67" s="228"/>
      <c r="J67" s="228"/>
      <c r="K67" s="42">
        <f t="shared" si="46"/>
        <v>0</v>
      </c>
      <c r="M67" s="42">
        <v>12</v>
      </c>
      <c r="W67" s="193">
        <f t="shared" si="39"/>
        <v>0</v>
      </c>
      <c r="X67" s="42">
        <f t="shared" si="42"/>
        <v>0</v>
      </c>
      <c r="Y67" s="42">
        <f t="shared" si="40"/>
        <v>0</v>
      </c>
      <c r="Z67" s="42">
        <f t="shared" si="43"/>
        <v>0</v>
      </c>
    </row>
    <row r="68" spans="2:26" x14ac:dyDescent="0.2">
      <c r="B68" s="176"/>
      <c r="C68" s="227"/>
      <c r="D68" s="228"/>
      <c r="E68" s="227"/>
      <c r="F68" s="228"/>
      <c r="G68" s="229"/>
      <c r="H68" s="227"/>
      <c r="I68" s="228"/>
      <c r="J68" s="228"/>
      <c r="K68" s="42">
        <f t="shared" si="46"/>
        <v>0</v>
      </c>
      <c r="M68" s="42">
        <v>12</v>
      </c>
      <c r="W68" s="193">
        <f t="shared" si="39"/>
        <v>0</v>
      </c>
      <c r="X68" s="42">
        <f t="shared" si="42"/>
        <v>0</v>
      </c>
      <c r="Y68" s="42">
        <f t="shared" si="40"/>
        <v>0</v>
      </c>
      <c r="Z68" s="42">
        <f t="shared" si="43"/>
        <v>0</v>
      </c>
    </row>
    <row r="69" spans="2:26" x14ac:dyDescent="0.2">
      <c r="B69" s="176"/>
      <c r="C69" s="227"/>
      <c r="D69" s="228"/>
      <c r="E69" s="232"/>
      <c r="F69" s="228"/>
      <c r="G69" s="229"/>
      <c r="H69" s="227"/>
      <c r="I69" s="228"/>
      <c r="J69" s="228"/>
      <c r="K69" s="42">
        <f t="shared" si="46"/>
        <v>0</v>
      </c>
      <c r="M69" s="42">
        <v>12</v>
      </c>
      <c r="W69" s="193">
        <f t="shared" si="39"/>
        <v>0</v>
      </c>
      <c r="X69" s="42">
        <f t="shared" si="42"/>
        <v>0</v>
      </c>
      <c r="Y69" s="42">
        <f t="shared" si="40"/>
        <v>0</v>
      </c>
      <c r="Z69" s="42">
        <f t="shared" si="43"/>
        <v>0</v>
      </c>
    </row>
    <row r="70" spans="2:26" x14ac:dyDescent="0.2">
      <c r="B70" s="176"/>
      <c r="C70" s="227"/>
      <c r="D70" s="228"/>
      <c r="E70" s="227"/>
      <c r="F70" s="228"/>
      <c r="G70" s="229"/>
      <c r="H70" s="227"/>
      <c r="I70" s="228"/>
      <c r="J70" s="228"/>
      <c r="K70" s="42">
        <f t="shared" si="46"/>
        <v>0</v>
      </c>
      <c r="M70" s="42">
        <v>12</v>
      </c>
      <c r="W70" s="193">
        <f t="shared" si="39"/>
        <v>0</v>
      </c>
      <c r="X70" s="42">
        <f t="shared" si="42"/>
        <v>0</v>
      </c>
      <c r="Y70" s="42">
        <f t="shared" si="40"/>
        <v>0</v>
      </c>
      <c r="Z70" s="42">
        <f t="shared" si="43"/>
        <v>0</v>
      </c>
    </row>
    <row r="71" spans="2:26" x14ac:dyDescent="0.2">
      <c r="B71" s="176"/>
      <c r="C71" s="227"/>
      <c r="D71" s="228"/>
      <c r="E71" s="232"/>
      <c r="F71" s="228"/>
      <c r="G71" s="229"/>
      <c r="H71" s="227"/>
      <c r="I71" s="228"/>
      <c r="J71" s="228"/>
      <c r="K71" s="42">
        <f t="shared" si="46"/>
        <v>0</v>
      </c>
      <c r="M71" s="42">
        <v>12</v>
      </c>
      <c r="W71" s="193">
        <f t="shared" ref="W71:W102" si="47">ROUND(IF(L71&gt;0,L71*I$35*M71/12,IF(K71=0,0,IF(I71*I$35*M71/12&gt;=K71,K71-1,I71*I$35*M71/12))),2)+V71</f>
        <v>0</v>
      </c>
      <c r="X71" s="42">
        <f t="shared" si="42"/>
        <v>0</v>
      </c>
      <c r="Y71" s="42">
        <f t="shared" si="40"/>
        <v>0</v>
      </c>
      <c r="Z71" s="42">
        <f t="shared" si="43"/>
        <v>0</v>
      </c>
    </row>
    <row r="72" spans="2:26" x14ac:dyDescent="0.2">
      <c r="B72" s="176"/>
      <c r="C72" s="227"/>
      <c r="D72" s="228"/>
      <c r="E72" s="227"/>
      <c r="F72" s="228"/>
      <c r="G72" s="231"/>
      <c r="H72" s="227"/>
      <c r="I72" s="228"/>
      <c r="J72" s="228"/>
      <c r="K72" s="42">
        <f t="shared" si="46"/>
        <v>0</v>
      </c>
      <c r="M72" s="42">
        <v>12</v>
      </c>
      <c r="W72" s="193">
        <f t="shared" si="47"/>
        <v>0</v>
      </c>
      <c r="X72" s="42">
        <f t="shared" si="42"/>
        <v>0</v>
      </c>
      <c r="Y72" s="42">
        <f t="shared" si="40"/>
        <v>0</v>
      </c>
      <c r="Z72" s="42">
        <f t="shared" si="43"/>
        <v>0</v>
      </c>
    </row>
    <row r="73" spans="2:26" x14ac:dyDescent="0.2">
      <c r="B73" s="176"/>
      <c r="C73" s="227"/>
      <c r="D73" s="228"/>
      <c r="E73" s="227"/>
      <c r="F73" s="228"/>
      <c r="G73" s="231"/>
      <c r="H73" s="227"/>
      <c r="I73" s="228"/>
      <c r="J73" s="228"/>
      <c r="K73" s="42">
        <f t="shared" si="46"/>
        <v>0</v>
      </c>
      <c r="M73" s="42">
        <v>12</v>
      </c>
      <c r="W73" s="193">
        <f t="shared" si="47"/>
        <v>0</v>
      </c>
      <c r="X73" s="42">
        <f t="shared" si="42"/>
        <v>0</v>
      </c>
      <c r="Y73" s="42">
        <f t="shared" si="40"/>
        <v>0</v>
      </c>
      <c r="Z73" s="42">
        <f t="shared" si="43"/>
        <v>0</v>
      </c>
    </row>
    <row r="74" spans="2:26" x14ac:dyDescent="0.2">
      <c r="B74" s="176"/>
      <c r="C74" s="227"/>
      <c r="D74" s="228"/>
      <c r="E74" s="227"/>
      <c r="F74" s="228"/>
      <c r="G74" s="231"/>
      <c r="H74" s="227"/>
      <c r="I74" s="228"/>
      <c r="J74" s="228"/>
      <c r="K74" s="42">
        <f t="shared" si="46"/>
        <v>0</v>
      </c>
      <c r="M74" s="42">
        <v>12</v>
      </c>
      <c r="W74" s="193">
        <f t="shared" si="47"/>
        <v>0</v>
      </c>
      <c r="X74" s="42">
        <f t="shared" si="42"/>
        <v>0</v>
      </c>
      <c r="Y74" s="42">
        <f>J74-R74+W74-O74</f>
        <v>0</v>
      </c>
      <c r="Z74" s="42">
        <f t="shared" si="43"/>
        <v>0</v>
      </c>
    </row>
    <row r="75" spans="2:26" x14ac:dyDescent="0.2">
      <c r="B75" s="176"/>
      <c r="C75" s="227"/>
      <c r="D75" s="228"/>
      <c r="E75" s="227"/>
      <c r="F75" s="228"/>
      <c r="G75" s="229"/>
      <c r="H75" s="227"/>
      <c r="I75" s="228"/>
      <c r="J75" s="228"/>
      <c r="K75" s="42">
        <f t="shared" si="46"/>
        <v>0</v>
      </c>
      <c r="M75" s="42">
        <v>12</v>
      </c>
      <c r="W75" s="193">
        <f t="shared" si="47"/>
        <v>0</v>
      </c>
      <c r="X75" s="42">
        <f t="shared" si="42"/>
        <v>0</v>
      </c>
      <c r="Y75" s="42">
        <f t="shared" si="40"/>
        <v>0</v>
      </c>
      <c r="Z75" s="42">
        <f t="shared" si="43"/>
        <v>0</v>
      </c>
    </row>
    <row r="76" spans="2:26" x14ac:dyDescent="0.2">
      <c r="B76" s="176"/>
      <c r="C76" s="227"/>
      <c r="D76" s="228"/>
      <c r="E76" s="227"/>
      <c r="F76" s="228"/>
      <c r="G76" s="231"/>
      <c r="H76" s="227"/>
      <c r="I76" s="228"/>
      <c r="J76" s="228"/>
      <c r="K76" s="42">
        <f t="shared" si="46"/>
        <v>0</v>
      </c>
      <c r="M76" s="42">
        <v>12</v>
      </c>
      <c r="W76" s="193">
        <f t="shared" si="47"/>
        <v>0</v>
      </c>
      <c r="X76" s="42">
        <f t="shared" si="42"/>
        <v>0</v>
      </c>
      <c r="Y76" s="42">
        <f t="shared" si="40"/>
        <v>0</v>
      </c>
      <c r="Z76" s="42">
        <f t="shared" si="43"/>
        <v>0</v>
      </c>
    </row>
    <row r="77" spans="2:26" x14ac:dyDescent="0.2">
      <c r="B77" s="176"/>
      <c r="C77" s="227"/>
      <c r="D77" s="228"/>
      <c r="E77" s="227"/>
      <c r="F77" s="228"/>
      <c r="G77" s="229"/>
      <c r="H77" s="227"/>
      <c r="I77" s="228"/>
      <c r="J77" s="228"/>
      <c r="K77" s="42">
        <f t="shared" si="46"/>
        <v>0</v>
      </c>
      <c r="M77" s="42">
        <v>12</v>
      </c>
      <c r="W77" s="193">
        <f t="shared" si="47"/>
        <v>0</v>
      </c>
      <c r="X77" s="42">
        <f t="shared" si="42"/>
        <v>0</v>
      </c>
      <c r="Y77" s="42">
        <f t="shared" si="40"/>
        <v>0</v>
      </c>
      <c r="Z77" s="42">
        <f t="shared" si="43"/>
        <v>0</v>
      </c>
    </row>
    <row r="78" spans="2:26" x14ac:dyDescent="0.2">
      <c r="B78" s="91"/>
      <c r="C78" s="227"/>
      <c r="D78" s="228"/>
      <c r="E78" s="227"/>
      <c r="F78" s="233"/>
      <c r="G78" s="226"/>
      <c r="H78" s="227"/>
      <c r="I78" s="228"/>
      <c r="J78" s="228"/>
      <c r="K78" s="42">
        <f t="shared" si="46"/>
        <v>0</v>
      </c>
      <c r="M78" s="42">
        <v>12</v>
      </c>
      <c r="W78" s="193">
        <f t="shared" si="47"/>
        <v>0</v>
      </c>
      <c r="X78" s="42">
        <f t="shared" si="42"/>
        <v>0</v>
      </c>
      <c r="Y78" s="42">
        <f t="shared" si="40"/>
        <v>0</v>
      </c>
      <c r="Z78" s="42">
        <f t="shared" si="43"/>
        <v>0</v>
      </c>
    </row>
    <row r="79" spans="2:26" x14ac:dyDescent="0.2">
      <c r="B79" s="91"/>
      <c r="C79" s="227"/>
      <c r="D79" s="227"/>
      <c r="E79" s="227"/>
      <c r="F79" s="233"/>
      <c r="G79" s="226"/>
      <c r="H79" s="227"/>
      <c r="I79" s="228"/>
      <c r="J79" s="228"/>
      <c r="K79" s="42">
        <f t="shared" si="46"/>
        <v>0</v>
      </c>
      <c r="M79" s="42">
        <v>12</v>
      </c>
      <c r="W79" s="193">
        <f t="shared" si="47"/>
        <v>0</v>
      </c>
      <c r="X79" s="42">
        <f t="shared" si="42"/>
        <v>0</v>
      </c>
      <c r="Y79" s="42">
        <f t="shared" si="40"/>
        <v>0</v>
      </c>
      <c r="Z79" s="42">
        <f t="shared" si="43"/>
        <v>0</v>
      </c>
    </row>
    <row r="80" spans="2:26" x14ac:dyDescent="0.2">
      <c r="B80" s="91"/>
      <c r="C80" s="227"/>
      <c r="D80" s="234"/>
      <c r="E80" s="227"/>
      <c r="F80" s="233"/>
      <c r="G80" s="226"/>
      <c r="H80" s="227"/>
      <c r="I80" s="228"/>
      <c r="J80" s="228"/>
      <c r="K80" s="42">
        <f t="shared" si="46"/>
        <v>0</v>
      </c>
      <c r="M80" s="42">
        <v>12</v>
      </c>
      <c r="W80" s="193">
        <f t="shared" si="47"/>
        <v>0</v>
      </c>
      <c r="X80" s="42">
        <f t="shared" si="42"/>
        <v>0</v>
      </c>
      <c r="Y80" s="42">
        <f t="shared" si="40"/>
        <v>0</v>
      </c>
      <c r="Z80" s="42">
        <f t="shared" si="43"/>
        <v>0</v>
      </c>
    </row>
    <row r="81" spans="2:26" x14ac:dyDescent="0.2">
      <c r="B81" s="91"/>
      <c r="C81" s="227"/>
      <c r="D81" s="234"/>
      <c r="E81" s="227"/>
      <c r="F81" s="233"/>
      <c r="G81" s="226"/>
      <c r="H81" s="227"/>
      <c r="I81" s="228"/>
      <c r="J81" s="228"/>
      <c r="K81" s="42">
        <f t="shared" ref="K81:K90" si="48">I81-J81</f>
        <v>0</v>
      </c>
      <c r="M81" s="42">
        <v>12</v>
      </c>
      <c r="W81" s="193">
        <f t="shared" si="47"/>
        <v>0</v>
      </c>
      <c r="X81" s="42">
        <f t="shared" si="42"/>
        <v>0</v>
      </c>
      <c r="Y81" s="42">
        <f t="shared" si="40"/>
        <v>0</v>
      </c>
      <c r="Z81" s="42">
        <f t="shared" si="43"/>
        <v>0</v>
      </c>
    </row>
    <row r="82" spans="2:26" x14ac:dyDescent="0.2">
      <c r="B82" s="91"/>
      <c r="C82" s="227"/>
      <c r="D82" s="234"/>
      <c r="E82" s="227"/>
      <c r="F82" s="233"/>
      <c r="G82" s="226"/>
      <c r="H82" s="227"/>
      <c r="I82" s="228"/>
      <c r="J82" s="228"/>
      <c r="K82" s="42">
        <f t="shared" ref="K82" si="49">I82-J82</f>
        <v>0</v>
      </c>
      <c r="M82" s="42">
        <v>12</v>
      </c>
      <c r="W82" s="193">
        <f t="shared" si="47"/>
        <v>0</v>
      </c>
      <c r="X82" s="42">
        <f t="shared" si="42"/>
        <v>0</v>
      </c>
      <c r="Y82" s="42">
        <f t="shared" si="40"/>
        <v>0</v>
      </c>
      <c r="Z82" s="42">
        <f t="shared" si="43"/>
        <v>0</v>
      </c>
    </row>
    <row r="83" spans="2:26" x14ac:dyDescent="0.2">
      <c r="B83" s="91"/>
      <c r="C83" s="227"/>
      <c r="D83" s="234"/>
      <c r="E83" s="227"/>
      <c r="F83" s="233"/>
      <c r="G83" s="226"/>
      <c r="H83" s="227"/>
      <c r="I83" s="228"/>
      <c r="J83" s="228"/>
      <c r="K83" s="42">
        <f t="shared" si="48"/>
        <v>0</v>
      </c>
      <c r="M83" s="42">
        <v>12</v>
      </c>
      <c r="W83" s="193">
        <f t="shared" si="47"/>
        <v>0</v>
      </c>
      <c r="X83" s="42">
        <f t="shared" si="42"/>
        <v>0</v>
      </c>
      <c r="Y83" s="42">
        <f t="shared" si="40"/>
        <v>0</v>
      </c>
      <c r="Z83" s="42">
        <f t="shared" si="43"/>
        <v>0</v>
      </c>
    </row>
    <row r="84" spans="2:26" x14ac:dyDescent="0.2">
      <c r="B84" s="91"/>
      <c r="C84" s="227"/>
      <c r="D84" s="234"/>
      <c r="E84" s="227"/>
      <c r="F84" s="233"/>
      <c r="G84" s="226"/>
      <c r="H84" s="227"/>
      <c r="I84" s="228"/>
      <c r="J84" s="228"/>
      <c r="K84" s="42">
        <f t="shared" si="48"/>
        <v>0</v>
      </c>
      <c r="M84" s="42">
        <v>12</v>
      </c>
      <c r="W84" s="193">
        <f t="shared" si="47"/>
        <v>0</v>
      </c>
      <c r="X84" s="42">
        <f t="shared" si="42"/>
        <v>0</v>
      </c>
      <c r="Y84" s="42">
        <f t="shared" si="40"/>
        <v>0</v>
      </c>
      <c r="Z84" s="42">
        <f t="shared" si="43"/>
        <v>0</v>
      </c>
    </row>
    <row r="85" spans="2:26" x14ac:dyDescent="0.2">
      <c r="B85" s="91"/>
      <c r="C85" s="227"/>
      <c r="D85" s="234"/>
      <c r="E85" s="227"/>
      <c r="F85" s="233"/>
      <c r="G85" s="226"/>
      <c r="H85" s="227"/>
      <c r="I85" s="228"/>
      <c r="J85" s="228"/>
      <c r="K85" s="42">
        <f t="shared" si="48"/>
        <v>0</v>
      </c>
      <c r="M85" s="42">
        <v>12</v>
      </c>
      <c r="W85" s="193">
        <f t="shared" si="47"/>
        <v>0</v>
      </c>
      <c r="X85" s="42">
        <f t="shared" si="42"/>
        <v>0</v>
      </c>
      <c r="Y85" s="42">
        <f t="shared" si="40"/>
        <v>0</v>
      </c>
      <c r="Z85" s="42">
        <f t="shared" si="43"/>
        <v>0</v>
      </c>
    </row>
    <row r="86" spans="2:26" x14ac:dyDescent="0.2">
      <c r="B86" s="91"/>
      <c r="C86" s="227"/>
      <c r="D86" s="234"/>
      <c r="E86" s="227"/>
      <c r="F86" s="233"/>
      <c r="G86" s="226"/>
      <c r="H86" s="227"/>
      <c r="I86" s="228"/>
      <c r="J86" s="228"/>
      <c r="K86" s="42">
        <f t="shared" si="48"/>
        <v>0</v>
      </c>
      <c r="M86" s="42">
        <v>12</v>
      </c>
      <c r="W86" s="193">
        <f t="shared" si="47"/>
        <v>0</v>
      </c>
      <c r="X86" s="42">
        <f t="shared" si="42"/>
        <v>0</v>
      </c>
      <c r="Y86" s="42">
        <f t="shared" si="40"/>
        <v>0</v>
      </c>
      <c r="Z86" s="42">
        <f t="shared" si="43"/>
        <v>0</v>
      </c>
    </row>
    <row r="87" spans="2:26" x14ac:dyDescent="0.2">
      <c r="B87" s="91"/>
      <c r="C87" s="227"/>
      <c r="D87" s="234"/>
      <c r="E87" s="227"/>
      <c r="F87" s="233"/>
      <c r="G87" s="226"/>
      <c r="H87" s="227"/>
      <c r="I87" s="228"/>
      <c r="J87" s="228"/>
      <c r="K87" s="42">
        <f t="shared" si="48"/>
        <v>0</v>
      </c>
      <c r="M87" s="42">
        <v>12</v>
      </c>
      <c r="W87" s="193">
        <f t="shared" si="47"/>
        <v>0</v>
      </c>
      <c r="X87" s="42">
        <f t="shared" si="42"/>
        <v>0</v>
      </c>
      <c r="Y87" s="42">
        <f t="shared" si="40"/>
        <v>0</v>
      </c>
      <c r="Z87" s="42">
        <f t="shared" si="43"/>
        <v>0</v>
      </c>
    </row>
    <row r="88" spans="2:26" x14ac:dyDescent="0.2">
      <c r="B88" s="91"/>
      <c r="C88" s="227"/>
      <c r="D88" s="227"/>
      <c r="E88" s="227"/>
      <c r="F88" s="233"/>
      <c r="G88" s="226"/>
      <c r="H88" s="227"/>
      <c r="I88" s="228"/>
      <c r="J88" s="228"/>
      <c r="K88" s="42">
        <f t="shared" si="48"/>
        <v>0</v>
      </c>
      <c r="M88" s="42">
        <v>12</v>
      </c>
      <c r="W88" s="193">
        <f t="shared" si="47"/>
        <v>0</v>
      </c>
      <c r="X88" s="42">
        <f t="shared" si="42"/>
        <v>0</v>
      </c>
      <c r="Y88" s="42">
        <f t="shared" si="40"/>
        <v>0</v>
      </c>
      <c r="Z88" s="42">
        <f t="shared" si="43"/>
        <v>0</v>
      </c>
    </row>
    <row r="89" spans="2:26" x14ac:dyDescent="0.2">
      <c r="B89" s="91"/>
      <c r="C89" s="227"/>
      <c r="D89" s="227"/>
      <c r="E89" s="227"/>
      <c r="F89" s="233"/>
      <c r="G89" s="1"/>
      <c r="H89" s="227"/>
      <c r="I89" s="228"/>
      <c r="J89" s="228"/>
      <c r="K89" s="42">
        <f t="shared" si="48"/>
        <v>0</v>
      </c>
      <c r="M89" s="42">
        <v>12</v>
      </c>
      <c r="W89" s="193">
        <f t="shared" si="47"/>
        <v>0</v>
      </c>
      <c r="X89" s="42">
        <f t="shared" si="42"/>
        <v>0</v>
      </c>
      <c r="Y89" s="42">
        <f t="shared" si="40"/>
        <v>0</v>
      </c>
      <c r="Z89" s="42">
        <f t="shared" si="43"/>
        <v>0</v>
      </c>
    </row>
    <row r="90" spans="2:26" x14ac:dyDescent="0.2">
      <c r="B90" s="91"/>
      <c r="C90" s="227"/>
      <c r="D90" s="227"/>
      <c r="E90" s="232"/>
      <c r="F90" s="233"/>
      <c r="G90" s="235"/>
      <c r="H90" s="227"/>
      <c r="I90" s="228"/>
      <c r="J90" s="228"/>
      <c r="K90" s="42">
        <f t="shared" si="48"/>
        <v>0</v>
      </c>
      <c r="M90" s="42">
        <v>12</v>
      </c>
      <c r="W90" s="193">
        <f t="shared" si="47"/>
        <v>0</v>
      </c>
      <c r="X90" s="42">
        <f t="shared" si="42"/>
        <v>0</v>
      </c>
      <c r="Y90" s="42">
        <f t="shared" si="40"/>
        <v>0</v>
      </c>
      <c r="Z90" s="42">
        <f t="shared" si="43"/>
        <v>0</v>
      </c>
    </row>
    <row r="91" spans="2:26" x14ac:dyDescent="0.2">
      <c r="B91" s="91"/>
      <c r="C91" s="167"/>
      <c r="D91" s="167"/>
      <c r="E91" s="167"/>
      <c r="F91" s="168"/>
      <c r="G91" s="1"/>
      <c r="H91" s="167"/>
      <c r="K91" s="42">
        <f t="shared" si="45"/>
        <v>0</v>
      </c>
      <c r="M91" s="42">
        <v>12</v>
      </c>
      <c r="W91" s="193">
        <f t="shared" si="47"/>
        <v>0</v>
      </c>
      <c r="X91" s="42">
        <f t="shared" si="42"/>
        <v>0</v>
      </c>
      <c r="Y91" s="42">
        <f t="shared" si="40"/>
        <v>0</v>
      </c>
      <c r="Z91" s="42">
        <f t="shared" si="43"/>
        <v>0</v>
      </c>
    </row>
    <row r="92" spans="2:26" x14ac:dyDescent="0.2">
      <c r="B92" s="91"/>
      <c r="C92" s="167"/>
      <c r="D92" s="167"/>
      <c r="E92" s="167"/>
      <c r="F92" s="168"/>
      <c r="G92" s="1"/>
      <c r="H92" s="167"/>
      <c r="K92" s="42">
        <f t="shared" si="45"/>
        <v>0</v>
      </c>
      <c r="M92" s="42">
        <v>12</v>
      </c>
      <c r="W92" s="193">
        <f t="shared" si="47"/>
        <v>0</v>
      </c>
      <c r="X92" s="42">
        <f t="shared" si="42"/>
        <v>0</v>
      </c>
      <c r="Y92" s="42">
        <f t="shared" si="40"/>
        <v>0</v>
      </c>
      <c r="Z92" s="42">
        <f t="shared" si="43"/>
        <v>0</v>
      </c>
    </row>
    <row r="93" spans="2:26" x14ac:dyDescent="0.2">
      <c r="B93" s="91"/>
      <c r="C93" s="167"/>
      <c r="D93" s="167"/>
      <c r="E93" s="167"/>
      <c r="F93" s="168"/>
      <c r="G93" s="1"/>
      <c r="H93" s="167"/>
      <c r="K93" s="42">
        <f t="shared" si="44"/>
        <v>0</v>
      </c>
      <c r="M93" s="42">
        <v>12</v>
      </c>
      <c r="W93" s="193">
        <f t="shared" si="47"/>
        <v>0</v>
      </c>
      <c r="X93" s="42">
        <f t="shared" si="42"/>
        <v>0</v>
      </c>
      <c r="Y93" s="42">
        <f t="shared" si="40"/>
        <v>0</v>
      </c>
      <c r="Z93" s="42">
        <f t="shared" si="43"/>
        <v>0</v>
      </c>
    </row>
    <row r="94" spans="2:26" ht="15" x14ac:dyDescent="0.35">
      <c r="B94" s="91"/>
      <c r="C94" s="169" t="s">
        <v>490</v>
      </c>
      <c r="D94" s="169"/>
      <c r="E94" s="167"/>
      <c r="F94" s="168"/>
      <c r="G94" s="1"/>
      <c r="H94" s="167"/>
      <c r="K94" s="42">
        <f t="shared" si="44"/>
        <v>0</v>
      </c>
      <c r="M94" s="42">
        <v>12</v>
      </c>
      <c r="W94" s="193">
        <f t="shared" si="47"/>
        <v>0</v>
      </c>
      <c r="X94" s="42">
        <f t="shared" si="42"/>
        <v>0</v>
      </c>
      <c r="Y94" s="42">
        <f t="shared" si="40"/>
        <v>0</v>
      </c>
      <c r="Z94" s="42">
        <f t="shared" si="43"/>
        <v>0</v>
      </c>
    </row>
    <row r="95" spans="2:26" ht="15" x14ac:dyDescent="0.35">
      <c r="B95" s="91"/>
      <c r="C95" s="169"/>
      <c r="D95" s="169"/>
      <c r="E95" s="167"/>
      <c r="F95" s="168"/>
      <c r="G95" s="1"/>
      <c r="H95" s="167"/>
      <c r="K95" s="42">
        <f t="shared" si="44"/>
        <v>0</v>
      </c>
      <c r="M95" s="42">
        <v>12</v>
      </c>
      <c r="W95" s="193">
        <f t="shared" si="47"/>
        <v>0</v>
      </c>
      <c r="X95" s="42">
        <f t="shared" si="42"/>
        <v>0</v>
      </c>
      <c r="Y95" s="42">
        <f t="shared" si="40"/>
        <v>0</v>
      </c>
      <c r="Z95" s="42">
        <f t="shared" si="43"/>
        <v>0</v>
      </c>
    </row>
    <row r="96" spans="2:26" x14ac:dyDescent="0.2">
      <c r="B96" s="176"/>
      <c r="C96" s="227"/>
      <c r="D96" s="227"/>
      <c r="E96" s="227"/>
      <c r="F96" s="228"/>
      <c r="G96" s="176"/>
      <c r="H96" s="227"/>
      <c r="I96" s="228"/>
      <c r="J96" s="228"/>
      <c r="K96" s="42">
        <f t="shared" si="44"/>
        <v>0</v>
      </c>
      <c r="M96" s="42">
        <v>12</v>
      </c>
      <c r="W96" s="193">
        <f t="shared" si="47"/>
        <v>0</v>
      </c>
      <c r="X96" s="42">
        <f t="shared" si="42"/>
        <v>0</v>
      </c>
      <c r="Y96" s="42">
        <f t="shared" si="40"/>
        <v>0</v>
      </c>
      <c r="Z96" s="42">
        <f t="shared" si="43"/>
        <v>0</v>
      </c>
    </row>
    <row r="97" spans="2:26" x14ac:dyDescent="0.2">
      <c r="B97" s="176"/>
      <c r="C97" s="227"/>
      <c r="D97" s="227"/>
      <c r="E97" s="227"/>
      <c r="F97" s="228"/>
      <c r="G97" s="225"/>
      <c r="H97" s="236"/>
      <c r="I97" s="228"/>
      <c r="J97" s="228"/>
      <c r="K97" s="42">
        <f t="shared" ref="K97:K100" si="50">I97-J97</f>
        <v>0</v>
      </c>
      <c r="M97" s="42">
        <v>12</v>
      </c>
      <c r="W97" s="193">
        <f t="shared" si="47"/>
        <v>0</v>
      </c>
      <c r="X97" s="42">
        <f t="shared" si="42"/>
        <v>0</v>
      </c>
      <c r="Y97" s="42">
        <f>J97-R97+W97-O97</f>
        <v>0</v>
      </c>
      <c r="Z97" s="42">
        <f t="shared" si="43"/>
        <v>0</v>
      </c>
    </row>
    <row r="98" spans="2:26" x14ac:dyDescent="0.2">
      <c r="B98" s="176"/>
      <c r="C98" s="227"/>
      <c r="D98" s="227"/>
      <c r="E98" s="227"/>
      <c r="F98" s="228"/>
      <c r="G98" s="176"/>
      <c r="H98" s="236"/>
      <c r="I98" s="228"/>
      <c r="J98" s="228"/>
      <c r="K98" s="42">
        <f t="shared" si="50"/>
        <v>0</v>
      </c>
      <c r="M98" s="42">
        <v>12</v>
      </c>
      <c r="W98" s="193">
        <f t="shared" si="47"/>
        <v>0</v>
      </c>
      <c r="X98" s="42">
        <f t="shared" si="42"/>
        <v>0</v>
      </c>
      <c r="Y98" s="42">
        <f t="shared" ref="Y98:Y119" si="51">J98-R98+W98-O98</f>
        <v>0</v>
      </c>
      <c r="Z98" s="42">
        <f t="shared" si="43"/>
        <v>0</v>
      </c>
    </row>
    <row r="99" spans="2:26" x14ac:dyDescent="0.2">
      <c r="B99" s="176"/>
      <c r="C99" s="227"/>
      <c r="D99" s="227"/>
      <c r="E99" s="227"/>
      <c r="F99" s="228"/>
      <c r="G99" s="225"/>
      <c r="H99" s="236"/>
      <c r="I99" s="228"/>
      <c r="J99" s="228"/>
      <c r="K99" s="42">
        <f t="shared" si="50"/>
        <v>0</v>
      </c>
      <c r="M99" s="42">
        <v>12</v>
      </c>
      <c r="W99" s="193">
        <f t="shared" si="47"/>
        <v>0</v>
      </c>
      <c r="X99" s="42">
        <f t="shared" si="42"/>
        <v>0</v>
      </c>
      <c r="Y99" s="42">
        <f t="shared" si="51"/>
        <v>0</v>
      </c>
      <c r="Z99" s="42">
        <f t="shared" si="43"/>
        <v>0</v>
      </c>
    </row>
    <row r="100" spans="2:26" x14ac:dyDescent="0.2">
      <c r="B100" s="176"/>
      <c r="C100" s="227"/>
      <c r="D100" s="227"/>
      <c r="E100" s="227"/>
      <c r="F100" s="228"/>
      <c r="G100" s="176"/>
      <c r="H100" s="236"/>
      <c r="I100" s="228"/>
      <c r="J100" s="228"/>
      <c r="K100" s="42">
        <f t="shared" si="50"/>
        <v>0</v>
      </c>
      <c r="M100" s="42">
        <v>12</v>
      </c>
      <c r="W100" s="193">
        <f t="shared" si="47"/>
        <v>0</v>
      </c>
      <c r="X100" s="42">
        <f t="shared" si="42"/>
        <v>0</v>
      </c>
      <c r="Y100" s="42">
        <f t="shared" si="51"/>
        <v>0</v>
      </c>
      <c r="Z100" s="42">
        <f t="shared" si="43"/>
        <v>0</v>
      </c>
    </row>
    <row r="101" spans="2:26" x14ac:dyDescent="0.2">
      <c r="B101" s="176"/>
      <c r="C101" s="227"/>
      <c r="D101" s="227"/>
      <c r="E101" s="227"/>
      <c r="F101" s="228"/>
      <c r="G101" s="176"/>
      <c r="H101" s="236"/>
      <c r="I101" s="228"/>
      <c r="J101" s="228"/>
      <c r="K101" s="42">
        <f t="shared" ref="K101:K119" si="52">I101-J101</f>
        <v>0</v>
      </c>
      <c r="M101" s="42">
        <v>12</v>
      </c>
      <c r="W101" s="193">
        <f t="shared" si="47"/>
        <v>0</v>
      </c>
      <c r="X101" s="42">
        <f t="shared" si="42"/>
        <v>0</v>
      </c>
      <c r="Y101" s="42">
        <f t="shared" si="51"/>
        <v>0</v>
      </c>
      <c r="Z101" s="42">
        <f t="shared" si="43"/>
        <v>0</v>
      </c>
    </row>
    <row r="102" spans="2:26" x14ac:dyDescent="0.2">
      <c r="B102" s="176"/>
      <c r="C102" s="227"/>
      <c r="D102" s="227"/>
      <c r="E102" s="227"/>
      <c r="F102" s="228"/>
      <c r="G102" s="176"/>
      <c r="H102" s="236"/>
      <c r="I102" s="228"/>
      <c r="J102" s="228"/>
      <c r="K102" s="42">
        <f t="shared" si="52"/>
        <v>0</v>
      </c>
      <c r="M102" s="42">
        <v>12</v>
      </c>
      <c r="W102" s="193">
        <f t="shared" si="47"/>
        <v>0</v>
      </c>
      <c r="X102" s="42">
        <f t="shared" si="42"/>
        <v>0</v>
      </c>
      <c r="Y102" s="42">
        <f t="shared" si="51"/>
        <v>0</v>
      </c>
      <c r="Z102" s="42">
        <f t="shared" si="43"/>
        <v>0</v>
      </c>
    </row>
    <row r="103" spans="2:26" x14ac:dyDescent="0.2">
      <c r="B103" s="176"/>
      <c r="C103" s="227"/>
      <c r="D103" s="227"/>
      <c r="E103" s="227"/>
      <c r="F103" s="228"/>
      <c r="G103" s="176"/>
      <c r="H103" s="236"/>
      <c r="I103" s="228"/>
      <c r="J103" s="228"/>
      <c r="K103" s="42">
        <f t="shared" si="52"/>
        <v>0</v>
      </c>
      <c r="M103" s="42">
        <v>12</v>
      </c>
      <c r="W103" s="193">
        <f t="shared" ref="W103:W119" si="53">ROUND(IF(L103&gt;0,L103*I$35*M103/12,IF(K103=0,0,IF(I103*I$35*M103/12&gt;=K103,K103-1,I103*I$35*M103/12))),2)+V103</f>
        <v>0</v>
      </c>
      <c r="X103" s="42">
        <f t="shared" si="42"/>
        <v>0</v>
      </c>
      <c r="Y103" s="42">
        <f>J103-R103+W103-O103</f>
        <v>0</v>
      </c>
      <c r="Z103" s="42">
        <f t="shared" si="43"/>
        <v>0</v>
      </c>
    </row>
    <row r="104" spans="2:26" x14ac:dyDescent="0.2">
      <c r="B104" s="176"/>
      <c r="C104" s="227"/>
      <c r="D104" s="227"/>
      <c r="E104" s="227"/>
      <c r="F104" s="228"/>
      <c r="G104" s="176"/>
      <c r="H104" s="236"/>
      <c r="I104" s="228"/>
      <c r="J104" s="228"/>
      <c r="K104" s="42">
        <f t="shared" si="52"/>
        <v>0</v>
      </c>
      <c r="M104" s="42">
        <v>12</v>
      </c>
      <c r="W104" s="193">
        <f t="shared" si="53"/>
        <v>0</v>
      </c>
      <c r="X104" s="42">
        <f t="shared" ref="X104:X119" si="54">I104+L104-N104</f>
        <v>0</v>
      </c>
      <c r="Y104" s="42">
        <f t="shared" si="51"/>
        <v>0</v>
      </c>
      <c r="Z104" s="42">
        <f t="shared" ref="Z104:Z119" si="55">X104-Y104</f>
        <v>0</v>
      </c>
    </row>
    <row r="105" spans="2:26" x14ac:dyDescent="0.2">
      <c r="B105" s="176"/>
      <c r="C105" s="227"/>
      <c r="D105" s="227"/>
      <c r="E105" s="227"/>
      <c r="F105" s="228"/>
      <c r="G105" s="176"/>
      <c r="H105" s="236"/>
      <c r="I105" s="228"/>
      <c r="J105" s="228"/>
      <c r="K105" s="42">
        <f t="shared" si="52"/>
        <v>0</v>
      </c>
      <c r="M105" s="42">
        <v>12</v>
      </c>
      <c r="W105" s="193">
        <f t="shared" si="53"/>
        <v>0</v>
      </c>
      <c r="X105" s="42">
        <f t="shared" si="54"/>
        <v>0</v>
      </c>
      <c r="Y105" s="42">
        <f t="shared" si="51"/>
        <v>0</v>
      </c>
      <c r="Z105" s="42">
        <f t="shared" si="55"/>
        <v>0</v>
      </c>
    </row>
    <row r="106" spans="2:26" x14ac:dyDescent="0.2">
      <c r="B106" s="176"/>
      <c r="C106" s="227"/>
      <c r="D106" s="227"/>
      <c r="E106" s="227"/>
      <c r="F106" s="228"/>
      <c r="G106" s="176"/>
      <c r="H106" s="236"/>
      <c r="I106" s="228"/>
      <c r="J106" s="228"/>
      <c r="K106" s="42">
        <f t="shared" si="52"/>
        <v>0</v>
      </c>
      <c r="M106" s="42">
        <v>12</v>
      </c>
      <c r="W106" s="193">
        <f t="shared" si="53"/>
        <v>0</v>
      </c>
      <c r="X106" s="42">
        <f t="shared" si="54"/>
        <v>0</v>
      </c>
      <c r="Y106" s="42">
        <f t="shared" si="51"/>
        <v>0</v>
      </c>
      <c r="Z106" s="42">
        <f t="shared" si="55"/>
        <v>0</v>
      </c>
    </row>
    <row r="107" spans="2:26" x14ac:dyDescent="0.2">
      <c r="B107" s="176"/>
      <c r="C107" s="227"/>
      <c r="D107" s="227"/>
      <c r="E107" s="227"/>
      <c r="F107" s="228"/>
      <c r="G107" s="176"/>
      <c r="H107" s="236"/>
      <c r="I107" s="228"/>
      <c r="J107" s="228"/>
      <c r="K107" s="42">
        <f t="shared" si="52"/>
        <v>0</v>
      </c>
      <c r="M107" s="42">
        <v>12</v>
      </c>
      <c r="W107" s="193">
        <f t="shared" si="53"/>
        <v>0</v>
      </c>
      <c r="X107" s="42">
        <f t="shared" si="54"/>
        <v>0</v>
      </c>
      <c r="Y107" s="42">
        <f t="shared" si="51"/>
        <v>0</v>
      </c>
      <c r="Z107" s="42">
        <f t="shared" si="55"/>
        <v>0</v>
      </c>
    </row>
    <row r="108" spans="2:26" x14ac:dyDescent="0.2">
      <c r="B108" s="176"/>
      <c r="C108" s="227"/>
      <c r="D108" s="227"/>
      <c r="E108" s="227"/>
      <c r="F108" s="228"/>
      <c r="G108" s="176"/>
      <c r="H108" s="236"/>
      <c r="I108" s="228"/>
      <c r="J108" s="228"/>
      <c r="K108" s="42">
        <f t="shared" si="52"/>
        <v>0</v>
      </c>
      <c r="M108" s="42">
        <v>12</v>
      </c>
      <c r="W108" s="193">
        <f t="shared" si="53"/>
        <v>0</v>
      </c>
      <c r="X108" s="42">
        <f t="shared" si="54"/>
        <v>0</v>
      </c>
      <c r="Y108" s="42">
        <f t="shared" si="51"/>
        <v>0</v>
      </c>
      <c r="Z108" s="42">
        <f t="shared" si="55"/>
        <v>0</v>
      </c>
    </row>
    <row r="109" spans="2:26" x14ac:dyDescent="0.2">
      <c r="B109" s="176"/>
      <c r="C109" s="227"/>
      <c r="D109" s="227"/>
      <c r="E109" s="227"/>
      <c r="F109" s="228"/>
      <c r="G109" s="176"/>
      <c r="H109" s="236"/>
      <c r="I109" s="228"/>
      <c r="J109" s="228"/>
      <c r="K109" s="42">
        <f t="shared" si="52"/>
        <v>0</v>
      </c>
      <c r="M109" s="42">
        <v>12</v>
      </c>
      <c r="W109" s="193">
        <f t="shared" si="53"/>
        <v>0</v>
      </c>
      <c r="X109" s="42">
        <f t="shared" si="54"/>
        <v>0</v>
      </c>
      <c r="Y109" s="42">
        <f t="shared" si="51"/>
        <v>0</v>
      </c>
      <c r="Z109" s="42">
        <f t="shared" si="55"/>
        <v>0</v>
      </c>
    </row>
    <row r="110" spans="2:26" x14ac:dyDescent="0.2">
      <c r="B110" s="176"/>
      <c r="C110" s="227"/>
      <c r="D110" s="227"/>
      <c r="E110" s="227"/>
      <c r="F110" s="228"/>
      <c r="G110" s="176"/>
      <c r="H110" s="236"/>
      <c r="I110" s="228"/>
      <c r="J110" s="228"/>
      <c r="K110" s="42">
        <f t="shared" si="52"/>
        <v>0</v>
      </c>
      <c r="M110" s="42">
        <v>12</v>
      </c>
      <c r="W110" s="193">
        <f t="shared" si="53"/>
        <v>0</v>
      </c>
      <c r="X110" s="42">
        <f t="shared" si="54"/>
        <v>0</v>
      </c>
      <c r="Y110" s="42">
        <f t="shared" si="51"/>
        <v>0</v>
      </c>
      <c r="Z110" s="42">
        <f t="shared" si="55"/>
        <v>0</v>
      </c>
    </row>
    <row r="111" spans="2:26" x14ac:dyDescent="0.2">
      <c r="B111" s="176"/>
      <c r="C111" s="227"/>
      <c r="D111" s="227"/>
      <c r="E111" s="227"/>
      <c r="F111" s="228"/>
      <c r="G111" s="176"/>
      <c r="H111" s="236"/>
      <c r="I111" s="228"/>
      <c r="J111" s="228"/>
      <c r="K111" s="42">
        <f t="shared" si="52"/>
        <v>0</v>
      </c>
      <c r="M111" s="42">
        <v>12</v>
      </c>
      <c r="W111" s="193">
        <f t="shared" si="53"/>
        <v>0</v>
      </c>
      <c r="X111" s="42">
        <f t="shared" si="54"/>
        <v>0</v>
      </c>
      <c r="Y111" s="42">
        <f t="shared" si="51"/>
        <v>0</v>
      </c>
      <c r="Z111" s="42">
        <f t="shared" si="55"/>
        <v>0</v>
      </c>
    </row>
    <row r="112" spans="2:26" x14ac:dyDescent="0.2">
      <c r="B112" s="176"/>
      <c r="C112" s="227"/>
      <c r="D112" s="227"/>
      <c r="E112" s="227"/>
      <c r="F112" s="228"/>
      <c r="G112" s="176"/>
      <c r="H112" s="236"/>
      <c r="I112" s="228"/>
      <c r="J112" s="228"/>
      <c r="K112" s="42">
        <f t="shared" si="52"/>
        <v>0</v>
      </c>
      <c r="M112" s="42">
        <v>12</v>
      </c>
      <c r="W112" s="193">
        <f t="shared" si="53"/>
        <v>0</v>
      </c>
      <c r="X112" s="42">
        <f t="shared" si="54"/>
        <v>0</v>
      </c>
      <c r="Y112" s="42">
        <f t="shared" si="51"/>
        <v>0</v>
      </c>
      <c r="Z112" s="42">
        <f t="shared" si="55"/>
        <v>0</v>
      </c>
    </row>
    <row r="113" spans="2:28" x14ac:dyDescent="0.2">
      <c r="B113" s="176"/>
      <c r="C113" s="227"/>
      <c r="D113" s="227"/>
      <c r="E113" s="227"/>
      <c r="F113" s="228"/>
      <c r="G113" s="176"/>
      <c r="H113" s="236"/>
      <c r="I113" s="228"/>
      <c r="J113" s="228"/>
      <c r="K113" s="42">
        <f t="shared" si="52"/>
        <v>0</v>
      </c>
      <c r="M113" s="42">
        <v>12</v>
      </c>
      <c r="W113" s="193">
        <f t="shared" si="53"/>
        <v>0</v>
      </c>
      <c r="X113" s="42">
        <f t="shared" si="54"/>
        <v>0</v>
      </c>
      <c r="Y113" s="42">
        <f t="shared" si="51"/>
        <v>0</v>
      </c>
      <c r="Z113" s="42">
        <f t="shared" si="55"/>
        <v>0</v>
      </c>
    </row>
    <row r="114" spans="2:28" x14ac:dyDescent="0.2">
      <c r="B114" s="176"/>
      <c r="C114" s="227"/>
      <c r="D114" s="227"/>
      <c r="E114" s="227"/>
      <c r="F114" s="228"/>
      <c r="G114" s="176"/>
      <c r="H114" s="236"/>
      <c r="I114" s="228"/>
      <c r="J114" s="228"/>
      <c r="K114" s="42">
        <f t="shared" si="52"/>
        <v>0</v>
      </c>
      <c r="M114" s="42">
        <v>12</v>
      </c>
      <c r="W114" s="193">
        <f t="shared" si="53"/>
        <v>0</v>
      </c>
      <c r="X114" s="42">
        <f t="shared" si="54"/>
        <v>0</v>
      </c>
      <c r="Y114" s="42">
        <f t="shared" si="51"/>
        <v>0</v>
      </c>
      <c r="Z114" s="42">
        <f t="shared" si="55"/>
        <v>0</v>
      </c>
    </row>
    <row r="115" spans="2:28" x14ac:dyDescent="0.2">
      <c r="B115" s="176"/>
      <c r="C115" s="227"/>
      <c r="D115" s="227"/>
      <c r="E115" s="227"/>
      <c r="F115" s="228"/>
      <c r="G115" s="176"/>
      <c r="H115" s="236"/>
      <c r="I115" s="228"/>
      <c r="J115" s="228"/>
      <c r="K115" s="42">
        <f t="shared" si="52"/>
        <v>0</v>
      </c>
      <c r="M115" s="42">
        <v>12</v>
      </c>
      <c r="W115" s="193">
        <f t="shared" si="53"/>
        <v>0</v>
      </c>
      <c r="X115" s="42">
        <f t="shared" si="54"/>
        <v>0</v>
      </c>
      <c r="Y115" s="42">
        <f t="shared" si="51"/>
        <v>0</v>
      </c>
      <c r="Z115" s="42">
        <f t="shared" si="55"/>
        <v>0</v>
      </c>
    </row>
    <row r="116" spans="2:28" x14ac:dyDescent="0.2">
      <c r="B116" s="176"/>
      <c r="C116" s="227"/>
      <c r="D116" s="227"/>
      <c r="E116" s="227"/>
      <c r="F116" s="228"/>
      <c r="G116" s="176"/>
      <c r="H116" s="236"/>
      <c r="I116" s="228"/>
      <c r="J116" s="228"/>
      <c r="K116" s="42">
        <f t="shared" si="52"/>
        <v>0</v>
      </c>
      <c r="M116" s="42">
        <v>12</v>
      </c>
      <c r="W116" s="193">
        <f t="shared" si="53"/>
        <v>0</v>
      </c>
      <c r="X116" s="42">
        <f t="shared" si="54"/>
        <v>0</v>
      </c>
      <c r="Y116" s="42">
        <f t="shared" si="51"/>
        <v>0</v>
      </c>
      <c r="Z116" s="42">
        <f t="shared" si="55"/>
        <v>0</v>
      </c>
    </row>
    <row r="117" spans="2:28" x14ac:dyDescent="0.2">
      <c r="B117" s="176"/>
      <c r="C117" s="227"/>
      <c r="D117" s="227"/>
      <c r="E117" s="227"/>
      <c r="F117" s="228"/>
      <c r="G117" s="176"/>
      <c r="H117" s="236"/>
      <c r="I117" s="228"/>
      <c r="J117" s="228"/>
      <c r="K117" s="42">
        <f t="shared" si="52"/>
        <v>0</v>
      </c>
      <c r="M117" s="42">
        <v>12</v>
      </c>
      <c r="W117" s="193">
        <f t="shared" si="53"/>
        <v>0</v>
      </c>
      <c r="X117" s="42">
        <f t="shared" si="54"/>
        <v>0</v>
      </c>
      <c r="Y117" s="42">
        <f t="shared" si="51"/>
        <v>0</v>
      </c>
      <c r="Z117" s="42">
        <f t="shared" si="55"/>
        <v>0</v>
      </c>
    </row>
    <row r="118" spans="2:28" x14ac:dyDescent="0.2">
      <c r="B118" s="176"/>
      <c r="C118" s="227"/>
      <c r="D118" s="227"/>
      <c r="E118" s="227"/>
      <c r="F118" s="228"/>
      <c r="G118" s="176"/>
      <c r="H118" s="236"/>
      <c r="I118" s="228"/>
      <c r="J118" s="228"/>
      <c r="K118" s="42">
        <f t="shared" si="52"/>
        <v>0</v>
      </c>
      <c r="M118" s="42">
        <v>12</v>
      </c>
      <c r="W118" s="193">
        <f t="shared" si="53"/>
        <v>0</v>
      </c>
      <c r="X118" s="42">
        <f t="shared" si="54"/>
        <v>0</v>
      </c>
      <c r="Y118" s="42">
        <f t="shared" si="51"/>
        <v>0</v>
      </c>
      <c r="Z118" s="42">
        <f t="shared" si="55"/>
        <v>0</v>
      </c>
    </row>
    <row r="119" spans="2:28" x14ac:dyDescent="0.2">
      <c r="B119" s="176"/>
      <c r="C119" s="232"/>
      <c r="D119" s="227"/>
      <c r="E119" s="227"/>
      <c r="F119" s="228"/>
      <c r="G119" s="176"/>
      <c r="H119" s="236"/>
      <c r="I119" s="228"/>
      <c r="J119" s="228"/>
      <c r="K119" s="42">
        <f t="shared" si="52"/>
        <v>0</v>
      </c>
      <c r="M119" s="42">
        <v>12</v>
      </c>
      <c r="W119" s="193">
        <f t="shared" si="53"/>
        <v>0</v>
      </c>
      <c r="X119" s="42">
        <f t="shared" si="54"/>
        <v>0</v>
      </c>
      <c r="Y119" s="42">
        <f t="shared" si="51"/>
        <v>0</v>
      </c>
      <c r="Z119" s="42">
        <f t="shared" si="55"/>
        <v>0</v>
      </c>
    </row>
    <row r="121" spans="2:28" ht="13.5" thickBot="1" x14ac:dyDescent="0.25">
      <c r="C121" s="42" t="s">
        <v>350</v>
      </c>
      <c r="I121" s="50">
        <f>SUM(I38:I120)</f>
        <v>0</v>
      </c>
      <c r="J121" s="50">
        <f t="shared" ref="J121:Z121" si="56">SUM(J38:J120)</f>
        <v>0</v>
      </c>
      <c r="K121" s="50">
        <f t="shared" si="56"/>
        <v>0</v>
      </c>
      <c r="L121" s="50">
        <f t="shared" si="56"/>
        <v>0</v>
      </c>
      <c r="M121" s="50"/>
      <c r="N121" s="50">
        <f t="shared" si="56"/>
        <v>0</v>
      </c>
      <c r="O121" s="50">
        <f t="shared" si="56"/>
        <v>0</v>
      </c>
      <c r="P121" s="50">
        <f t="shared" si="56"/>
        <v>0</v>
      </c>
      <c r="Q121" s="50">
        <f t="shared" si="56"/>
        <v>0</v>
      </c>
      <c r="R121" s="50">
        <f t="shared" si="56"/>
        <v>0</v>
      </c>
      <c r="S121" s="50">
        <f t="shared" si="56"/>
        <v>0</v>
      </c>
      <c r="T121" s="50">
        <f t="shared" si="56"/>
        <v>0</v>
      </c>
      <c r="U121" s="50">
        <f t="shared" si="56"/>
        <v>0</v>
      </c>
      <c r="V121" s="50">
        <f t="shared" si="56"/>
        <v>0</v>
      </c>
      <c r="W121" s="50">
        <f t="shared" si="56"/>
        <v>0</v>
      </c>
      <c r="X121" s="50">
        <f t="shared" si="56"/>
        <v>0</v>
      </c>
      <c r="Y121" s="50">
        <f t="shared" si="56"/>
        <v>0</v>
      </c>
      <c r="Z121" s="50">
        <f t="shared" si="56"/>
        <v>0</v>
      </c>
    </row>
    <row r="122" spans="2:28" ht="13.5" thickTop="1" x14ac:dyDescent="0.2"/>
    <row r="123" spans="2:28" x14ac:dyDescent="0.2">
      <c r="B123" s="199" t="s">
        <v>182</v>
      </c>
      <c r="I123" s="274">
        <v>0.2</v>
      </c>
      <c r="J123" s="42" t="s">
        <v>273</v>
      </c>
    </row>
    <row r="124" spans="2:28" x14ac:dyDescent="0.2">
      <c r="B124" s="200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257" t="s">
        <v>683</v>
      </c>
      <c r="T124" s="258" t="s">
        <v>690</v>
      </c>
      <c r="U124" s="259" t="s">
        <v>684</v>
      </c>
      <c r="V124" s="19"/>
      <c r="W124" s="19"/>
      <c r="X124" s="19"/>
      <c r="Y124" s="19"/>
      <c r="Z124" s="19"/>
    </row>
    <row r="125" spans="2:28" x14ac:dyDescent="0.2">
      <c r="B125" s="201" t="s">
        <v>27</v>
      </c>
      <c r="C125" s="67" t="s">
        <v>231</v>
      </c>
      <c r="D125" s="67"/>
      <c r="E125" s="107"/>
      <c r="F125" s="108"/>
      <c r="G125" s="107"/>
      <c r="H125" s="107"/>
      <c r="I125" s="21" t="s">
        <v>384</v>
      </c>
      <c r="J125" s="21" t="s">
        <v>575</v>
      </c>
      <c r="K125" s="21" t="s">
        <v>574</v>
      </c>
      <c r="L125" s="21" t="s">
        <v>276</v>
      </c>
      <c r="M125" s="21" t="s">
        <v>422</v>
      </c>
      <c r="N125" s="21" t="s">
        <v>576</v>
      </c>
      <c r="O125" s="21" t="s">
        <v>577</v>
      </c>
      <c r="P125" s="21" t="s">
        <v>682</v>
      </c>
      <c r="Q125" s="21" t="s">
        <v>578</v>
      </c>
      <c r="R125" s="21"/>
      <c r="S125" s="244" t="s">
        <v>685</v>
      </c>
      <c r="T125" s="21" t="s">
        <v>691</v>
      </c>
      <c r="U125" s="245" t="s">
        <v>686</v>
      </c>
      <c r="V125" s="21" t="s">
        <v>554</v>
      </c>
      <c r="W125" s="21" t="s">
        <v>573</v>
      </c>
      <c r="X125" s="21" t="s">
        <v>384</v>
      </c>
      <c r="Y125" s="21" t="s">
        <v>575</v>
      </c>
      <c r="Z125" s="21" t="s">
        <v>574</v>
      </c>
      <c r="AB125" s="63"/>
    </row>
    <row r="127" spans="2:28" x14ac:dyDescent="0.2">
      <c r="B127" s="91"/>
      <c r="C127" s="1"/>
      <c r="D127" s="1"/>
      <c r="E127" s="1"/>
      <c r="F127" s="1"/>
      <c r="G127" s="1"/>
      <c r="H127" s="16"/>
      <c r="I127" s="102"/>
      <c r="K127" s="42">
        <f>+I127-J127</f>
        <v>0</v>
      </c>
      <c r="L127" s="102"/>
      <c r="M127" s="102">
        <v>12</v>
      </c>
      <c r="N127" s="102"/>
      <c r="O127" s="102"/>
      <c r="W127" s="193">
        <f t="shared" ref="W127:W162" si="57">ROUND(IF(L127&gt;0,L127*I$123*M127/12,IF(K127=0,0,IF(I127*I$123*M127/12&gt;=K127,K127-1,I127*I$123*M127/12))),2)+V127</f>
        <v>0</v>
      </c>
      <c r="X127" s="42">
        <f>I127+L127-N127</f>
        <v>0</v>
      </c>
      <c r="Y127" s="42">
        <f>J127+W127-O127</f>
        <v>0</v>
      </c>
      <c r="Z127" s="42">
        <f t="shared" ref="Z127" si="58">+X127-Y127</f>
        <v>0</v>
      </c>
    </row>
    <row r="128" spans="2:28" x14ac:dyDescent="0.2">
      <c r="B128" s="204"/>
      <c r="C128" s="194"/>
      <c r="D128" s="194"/>
      <c r="E128" s="194"/>
      <c r="F128" s="194"/>
      <c r="G128" s="194"/>
      <c r="H128" s="16"/>
      <c r="I128" s="102"/>
      <c r="K128" s="42">
        <f>+I128-J128</f>
        <v>0</v>
      </c>
      <c r="L128" s="102"/>
      <c r="M128" s="102">
        <v>12</v>
      </c>
      <c r="N128" s="102"/>
      <c r="O128" s="102"/>
      <c r="W128" s="193">
        <f t="shared" si="57"/>
        <v>0</v>
      </c>
      <c r="X128" s="42">
        <f t="shared" ref="X128:X162" si="59">I128+L128-N128</f>
        <v>0</v>
      </c>
      <c r="Y128" s="42">
        <f t="shared" ref="Y128:Y162" si="60">J128+W128-O128</f>
        <v>0</v>
      </c>
      <c r="Z128" s="42">
        <f t="shared" ref="Z128:Z162" si="61">+X128-Y128</f>
        <v>0</v>
      </c>
    </row>
    <row r="129" spans="2:26" x14ac:dyDescent="0.2">
      <c r="B129" s="204"/>
      <c r="C129" s="194"/>
      <c r="D129" s="194"/>
      <c r="E129" s="194"/>
      <c r="F129" s="194"/>
      <c r="G129" s="194"/>
      <c r="H129" s="16"/>
      <c r="I129" s="102"/>
      <c r="K129" s="42">
        <f>+I129-J129</f>
        <v>0</v>
      </c>
      <c r="L129" s="102"/>
      <c r="M129" s="102">
        <v>12</v>
      </c>
      <c r="N129" s="102"/>
      <c r="O129" s="102"/>
      <c r="W129" s="193">
        <f t="shared" si="57"/>
        <v>0</v>
      </c>
      <c r="X129" s="42">
        <f t="shared" si="59"/>
        <v>0</v>
      </c>
      <c r="Y129" s="42">
        <f t="shared" si="60"/>
        <v>0</v>
      </c>
      <c r="Z129" s="42">
        <f t="shared" si="61"/>
        <v>0</v>
      </c>
    </row>
    <row r="130" spans="2:26" x14ac:dyDescent="0.2">
      <c r="B130" s="91"/>
      <c r="C130" s="1"/>
      <c r="D130" s="1"/>
      <c r="E130" s="1"/>
      <c r="F130" s="1"/>
      <c r="G130" s="1"/>
      <c r="K130" s="42">
        <f t="shared" ref="K130:K162" si="62">+I130-J130</f>
        <v>0</v>
      </c>
      <c r="M130" s="102">
        <v>12</v>
      </c>
      <c r="N130" s="102"/>
      <c r="O130" s="102"/>
      <c r="W130" s="193">
        <f t="shared" si="57"/>
        <v>0</v>
      </c>
      <c r="X130" s="42">
        <f t="shared" si="59"/>
        <v>0</v>
      </c>
      <c r="Y130" s="42">
        <f t="shared" si="60"/>
        <v>0</v>
      </c>
      <c r="Z130" s="42">
        <f t="shared" si="61"/>
        <v>0</v>
      </c>
    </row>
    <row r="131" spans="2:26" x14ac:dyDescent="0.2">
      <c r="B131" s="55"/>
      <c r="C131" s="1"/>
      <c r="D131" s="1"/>
      <c r="E131" s="1"/>
      <c r="F131" s="1"/>
      <c r="G131" s="1"/>
      <c r="K131" s="42">
        <f t="shared" si="62"/>
        <v>0</v>
      </c>
      <c r="M131" s="102">
        <v>12</v>
      </c>
      <c r="N131" s="102"/>
      <c r="O131" s="102"/>
      <c r="W131" s="193">
        <f t="shared" si="57"/>
        <v>0</v>
      </c>
      <c r="X131" s="42">
        <f t="shared" si="59"/>
        <v>0</v>
      </c>
      <c r="Y131" s="42">
        <f t="shared" si="60"/>
        <v>0</v>
      </c>
      <c r="Z131" s="42">
        <f t="shared" si="61"/>
        <v>0</v>
      </c>
    </row>
    <row r="132" spans="2:26" x14ac:dyDescent="0.2">
      <c r="B132" s="91"/>
      <c r="C132" s="1"/>
      <c r="D132" s="1"/>
      <c r="E132" s="1"/>
      <c r="F132" s="1"/>
      <c r="G132" s="1"/>
      <c r="K132" s="42">
        <f t="shared" si="62"/>
        <v>0</v>
      </c>
      <c r="M132" s="102">
        <v>12</v>
      </c>
      <c r="N132" s="102"/>
      <c r="O132" s="102"/>
      <c r="W132" s="193">
        <f t="shared" si="57"/>
        <v>0</v>
      </c>
      <c r="X132" s="42">
        <f t="shared" si="59"/>
        <v>0</v>
      </c>
      <c r="Y132" s="42">
        <f t="shared" si="60"/>
        <v>0</v>
      </c>
      <c r="Z132" s="42">
        <f t="shared" si="61"/>
        <v>0</v>
      </c>
    </row>
    <row r="133" spans="2:26" x14ac:dyDescent="0.2">
      <c r="B133" s="91"/>
      <c r="C133" s="1"/>
      <c r="D133" s="1"/>
      <c r="E133" s="1"/>
      <c r="F133" s="1"/>
      <c r="G133" s="1"/>
      <c r="K133" s="42">
        <f t="shared" si="62"/>
        <v>0</v>
      </c>
      <c r="M133" s="102">
        <v>12</v>
      </c>
      <c r="N133" s="102"/>
      <c r="O133" s="102"/>
      <c r="W133" s="193">
        <f t="shared" si="57"/>
        <v>0</v>
      </c>
      <c r="X133" s="42">
        <f t="shared" si="59"/>
        <v>0</v>
      </c>
      <c r="Y133" s="42">
        <f t="shared" si="60"/>
        <v>0</v>
      </c>
      <c r="Z133" s="42">
        <f t="shared" si="61"/>
        <v>0</v>
      </c>
    </row>
    <row r="134" spans="2:26" x14ac:dyDescent="0.2">
      <c r="B134" s="91"/>
      <c r="C134" s="1"/>
      <c r="D134" s="1"/>
      <c r="E134" s="1"/>
      <c r="F134" s="1"/>
      <c r="G134" s="1"/>
      <c r="K134" s="42">
        <f t="shared" si="62"/>
        <v>0</v>
      </c>
      <c r="M134" s="102">
        <v>12</v>
      </c>
      <c r="N134" s="102"/>
      <c r="O134" s="102"/>
      <c r="W134" s="193">
        <f t="shared" si="57"/>
        <v>0</v>
      </c>
      <c r="X134" s="42">
        <f t="shared" si="59"/>
        <v>0</v>
      </c>
      <c r="Y134" s="42">
        <f t="shared" si="60"/>
        <v>0</v>
      </c>
      <c r="Z134" s="42">
        <f t="shared" si="61"/>
        <v>0</v>
      </c>
    </row>
    <row r="135" spans="2:26" x14ac:dyDescent="0.2">
      <c r="B135" s="202"/>
      <c r="K135" s="42">
        <f t="shared" si="62"/>
        <v>0</v>
      </c>
      <c r="M135" s="102">
        <v>12</v>
      </c>
      <c r="N135" s="102"/>
      <c r="O135" s="102"/>
      <c r="W135" s="193">
        <f t="shared" si="57"/>
        <v>0</v>
      </c>
      <c r="X135" s="42">
        <f t="shared" si="59"/>
        <v>0</v>
      </c>
      <c r="Y135" s="42">
        <f t="shared" si="60"/>
        <v>0</v>
      </c>
      <c r="Z135" s="42">
        <f t="shared" si="61"/>
        <v>0</v>
      </c>
    </row>
    <row r="136" spans="2:26" x14ac:dyDescent="0.2">
      <c r="B136" s="202"/>
      <c r="K136" s="42">
        <f t="shared" si="62"/>
        <v>0</v>
      </c>
      <c r="M136" s="102">
        <v>12</v>
      </c>
      <c r="N136" s="102"/>
      <c r="O136" s="102"/>
      <c r="W136" s="193">
        <f t="shared" si="57"/>
        <v>0</v>
      </c>
      <c r="X136" s="42">
        <f t="shared" si="59"/>
        <v>0</v>
      </c>
      <c r="Y136" s="42">
        <f t="shared" si="60"/>
        <v>0</v>
      </c>
      <c r="Z136" s="42">
        <f t="shared" si="61"/>
        <v>0</v>
      </c>
    </row>
    <row r="137" spans="2:26" x14ac:dyDescent="0.2">
      <c r="B137" s="202"/>
      <c r="K137" s="42">
        <f t="shared" si="62"/>
        <v>0</v>
      </c>
      <c r="M137" s="102">
        <v>12</v>
      </c>
      <c r="N137" s="102"/>
      <c r="O137" s="102"/>
      <c r="W137" s="193">
        <f t="shared" si="57"/>
        <v>0</v>
      </c>
      <c r="X137" s="42">
        <f t="shared" si="59"/>
        <v>0</v>
      </c>
      <c r="Y137" s="42">
        <f t="shared" si="60"/>
        <v>0</v>
      </c>
      <c r="Z137" s="42">
        <f t="shared" si="61"/>
        <v>0</v>
      </c>
    </row>
    <row r="138" spans="2:26" x14ac:dyDescent="0.2">
      <c r="B138" s="202"/>
      <c r="K138" s="42">
        <f t="shared" si="62"/>
        <v>0</v>
      </c>
      <c r="M138" s="102">
        <v>12</v>
      </c>
      <c r="N138" s="102"/>
      <c r="O138" s="102"/>
      <c r="W138" s="193">
        <f t="shared" si="57"/>
        <v>0</v>
      </c>
      <c r="X138" s="42">
        <f t="shared" si="59"/>
        <v>0</v>
      </c>
      <c r="Y138" s="42">
        <f t="shared" si="60"/>
        <v>0</v>
      </c>
      <c r="Z138" s="42">
        <f t="shared" si="61"/>
        <v>0</v>
      </c>
    </row>
    <row r="139" spans="2:26" x14ac:dyDescent="0.2">
      <c r="B139" s="202"/>
      <c r="K139" s="42">
        <f t="shared" si="62"/>
        <v>0</v>
      </c>
      <c r="M139" s="102">
        <v>12</v>
      </c>
      <c r="N139" s="102"/>
      <c r="O139" s="102"/>
      <c r="W139" s="193">
        <f t="shared" si="57"/>
        <v>0</v>
      </c>
      <c r="X139" s="42">
        <f t="shared" si="59"/>
        <v>0</v>
      </c>
      <c r="Y139" s="42">
        <f t="shared" si="60"/>
        <v>0</v>
      </c>
      <c r="Z139" s="42">
        <f t="shared" si="61"/>
        <v>0</v>
      </c>
    </row>
    <row r="140" spans="2:26" x14ac:dyDescent="0.2">
      <c r="B140" s="202"/>
      <c r="K140" s="42">
        <f t="shared" si="62"/>
        <v>0</v>
      </c>
      <c r="M140" s="102">
        <v>12</v>
      </c>
      <c r="N140" s="102"/>
      <c r="O140" s="102"/>
      <c r="W140" s="193">
        <f t="shared" si="57"/>
        <v>0</v>
      </c>
      <c r="X140" s="42">
        <f t="shared" si="59"/>
        <v>0</v>
      </c>
      <c r="Y140" s="42">
        <f t="shared" si="60"/>
        <v>0</v>
      </c>
      <c r="Z140" s="42">
        <f t="shared" si="61"/>
        <v>0</v>
      </c>
    </row>
    <row r="141" spans="2:26" x14ac:dyDescent="0.2">
      <c r="B141" s="202"/>
      <c r="K141" s="42">
        <f t="shared" si="62"/>
        <v>0</v>
      </c>
      <c r="M141" s="102">
        <v>12</v>
      </c>
      <c r="N141" s="102"/>
      <c r="O141" s="102"/>
      <c r="W141" s="193">
        <f t="shared" si="57"/>
        <v>0</v>
      </c>
      <c r="X141" s="42">
        <f t="shared" si="59"/>
        <v>0</v>
      </c>
      <c r="Y141" s="42">
        <f t="shared" si="60"/>
        <v>0</v>
      </c>
      <c r="Z141" s="42">
        <f t="shared" si="61"/>
        <v>0</v>
      </c>
    </row>
    <row r="142" spans="2:26" x14ac:dyDescent="0.2">
      <c r="B142" s="202"/>
      <c r="K142" s="42">
        <f t="shared" si="62"/>
        <v>0</v>
      </c>
      <c r="M142" s="102">
        <v>12</v>
      </c>
      <c r="N142" s="102"/>
      <c r="O142" s="102"/>
      <c r="W142" s="193">
        <f t="shared" si="57"/>
        <v>0</v>
      </c>
      <c r="X142" s="42">
        <f t="shared" si="59"/>
        <v>0</v>
      </c>
      <c r="Y142" s="42">
        <f t="shared" si="60"/>
        <v>0</v>
      </c>
      <c r="Z142" s="42">
        <f t="shared" si="61"/>
        <v>0</v>
      </c>
    </row>
    <row r="143" spans="2:26" x14ac:dyDescent="0.2">
      <c r="B143" s="202"/>
      <c r="K143" s="42">
        <f t="shared" si="62"/>
        <v>0</v>
      </c>
      <c r="M143" s="102">
        <v>12</v>
      </c>
      <c r="N143" s="102"/>
      <c r="O143" s="102"/>
      <c r="W143" s="193">
        <f t="shared" si="57"/>
        <v>0</v>
      </c>
      <c r="X143" s="42">
        <f t="shared" si="59"/>
        <v>0</v>
      </c>
      <c r="Y143" s="42">
        <f t="shared" si="60"/>
        <v>0</v>
      </c>
      <c r="Z143" s="42">
        <f t="shared" si="61"/>
        <v>0</v>
      </c>
    </row>
    <row r="144" spans="2:26" x14ac:dyDescent="0.2">
      <c r="B144" s="202"/>
      <c r="K144" s="42">
        <f t="shared" si="62"/>
        <v>0</v>
      </c>
      <c r="M144" s="102">
        <v>12</v>
      </c>
      <c r="N144" s="102"/>
      <c r="O144" s="102"/>
      <c r="W144" s="193">
        <f t="shared" si="57"/>
        <v>0</v>
      </c>
      <c r="X144" s="42">
        <f t="shared" si="59"/>
        <v>0</v>
      </c>
      <c r="Y144" s="42">
        <f t="shared" si="60"/>
        <v>0</v>
      </c>
      <c r="Z144" s="42">
        <f t="shared" si="61"/>
        <v>0</v>
      </c>
    </row>
    <row r="145" spans="2:26" x14ac:dyDescent="0.2">
      <c r="B145" s="202"/>
      <c r="K145" s="42">
        <f t="shared" si="62"/>
        <v>0</v>
      </c>
      <c r="M145" s="102">
        <v>12</v>
      </c>
      <c r="N145" s="102"/>
      <c r="O145" s="102"/>
      <c r="W145" s="193">
        <f t="shared" si="57"/>
        <v>0</v>
      </c>
      <c r="X145" s="42">
        <f t="shared" si="59"/>
        <v>0</v>
      </c>
      <c r="Y145" s="42">
        <f t="shared" si="60"/>
        <v>0</v>
      </c>
      <c r="Z145" s="42">
        <f t="shared" si="61"/>
        <v>0</v>
      </c>
    </row>
    <row r="146" spans="2:26" x14ac:dyDescent="0.2">
      <c r="B146" s="202"/>
      <c r="K146" s="42">
        <f t="shared" ref="K146:K161" si="63">+I146-J146</f>
        <v>0</v>
      </c>
      <c r="M146" s="102">
        <v>12</v>
      </c>
      <c r="N146" s="102"/>
      <c r="O146" s="102"/>
      <c r="W146" s="193">
        <f t="shared" si="57"/>
        <v>0</v>
      </c>
      <c r="X146" s="42">
        <f t="shared" si="59"/>
        <v>0</v>
      </c>
      <c r="Y146" s="42">
        <f t="shared" si="60"/>
        <v>0</v>
      </c>
      <c r="Z146" s="42">
        <f t="shared" si="61"/>
        <v>0</v>
      </c>
    </row>
    <row r="147" spans="2:26" x14ac:dyDescent="0.2">
      <c r="B147" s="202"/>
      <c r="K147" s="42">
        <f t="shared" si="63"/>
        <v>0</v>
      </c>
      <c r="M147" s="102">
        <v>12</v>
      </c>
      <c r="N147" s="102"/>
      <c r="O147" s="102"/>
      <c r="W147" s="193">
        <f t="shared" si="57"/>
        <v>0</v>
      </c>
      <c r="X147" s="42">
        <f t="shared" si="59"/>
        <v>0</v>
      </c>
      <c r="Y147" s="42">
        <f t="shared" si="60"/>
        <v>0</v>
      </c>
      <c r="Z147" s="42">
        <f t="shared" si="61"/>
        <v>0</v>
      </c>
    </row>
    <row r="148" spans="2:26" x14ac:dyDescent="0.2">
      <c r="B148" s="202"/>
      <c r="K148" s="42">
        <f t="shared" si="63"/>
        <v>0</v>
      </c>
      <c r="M148" s="102">
        <v>12</v>
      </c>
      <c r="N148" s="102"/>
      <c r="O148" s="102"/>
      <c r="W148" s="193">
        <f t="shared" si="57"/>
        <v>0</v>
      </c>
      <c r="X148" s="42">
        <f t="shared" si="59"/>
        <v>0</v>
      </c>
      <c r="Y148" s="42">
        <f t="shared" si="60"/>
        <v>0</v>
      </c>
      <c r="Z148" s="42">
        <f t="shared" si="61"/>
        <v>0</v>
      </c>
    </row>
    <row r="149" spans="2:26" x14ac:dyDescent="0.2">
      <c r="B149" s="202"/>
      <c r="K149" s="42">
        <f t="shared" si="63"/>
        <v>0</v>
      </c>
      <c r="M149" s="102">
        <v>12</v>
      </c>
      <c r="N149" s="102"/>
      <c r="O149" s="102"/>
      <c r="W149" s="193">
        <f t="shared" si="57"/>
        <v>0</v>
      </c>
      <c r="X149" s="42">
        <f t="shared" si="59"/>
        <v>0</v>
      </c>
      <c r="Y149" s="42">
        <f t="shared" si="60"/>
        <v>0</v>
      </c>
      <c r="Z149" s="42">
        <f t="shared" si="61"/>
        <v>0</v>
      </c>
    </row>
    <row r="150" spans="2:26" x14ac:dyDescent="0.2">
      <c r="B150" s="202"/>
      <c r="K150" s="42">
        <f t="shared" si="63"/>
        <v>0</v>
      </c>
      <c r="M150" s="102">
        <v>12</v>
      </c>
      <c r="N150" s="102"/>
      <c r="O150" s="102"/>
      <c r="W150" s="193">
        <f t="shared" si="57"/>
        <v>0</v>
      </c>
      <c r="X150" s="42">
        <f t="shared" si="59"/>
        <v>0</v>
      </c>
      <c r="Y150" s="42">
        <f t="shared" si="60"/>
        <v>0</v>
      </c>
      <c r="Z150" s="42">
        <f t="shared" si="61"/>
        <v>0</v>
      </c>
    </row>
    <row r="151" spans="2:26" x14ac:dyDescent="0.2">
      <c r="B151" s="202"/>
      <c r="K151" s="42">
        <f t="shared" si="63"/>
        <v>0</v>
      </c>
      <c r="M151" s="102">
        <v>12</v>
      </c>
      <c r="N151" s="102"/>
      <c r="O151" s="102"/>
      <c r="W151" s="193">
        <f t="shared" si="57"/>
        <v>0</v>
      </c>
      <c r="X151" s="42">
        <f t="shared" si="59"/>
        <v>0</v>
      </c>
      <c r="Y151" s="42">
        <f t="shared" si="60"/>
        <v>0</v>
      </c>
      <c r="Z151" s="42">
        <f t="shared" si="61"/>
        <v>0</v>
      </c>
    </row>
    <row r="152" spans="2:26" x14ac:dyDescent="0.2">
      <c r="B152" s="202"/>
      <c r="K152" s="42">
        <f t="shared" si="63"/>
        <v>0</v>
      </c>
      <c r="M152" s="102">
        <v>12</v>
      </c>
      <c r="N152" s="102"/>
      <c r="O152" s="102"/>
      <c r="W152" s="193">
        <f t="shared" si="57"/>
        <v>0</v>
      </c>
      <c r="X152" s="42">
        <f t="shared" si="59"/>
        <v>0</v>
      </c>
      <c r="Y152" s="42">
        <f t="shared" si="60"/>
        <v>0</v>
      </c>
      <c r="Z152" s="42">
        <f t="shared" si="61"/>
        <v>0</v>
      </c>
    </row>
    <row r="153" spans="2:26" x14ac:dyDescent="0.2">
      <c r="B153" s="202"/>
      <c r="K153" s="42">
        <f t="shared" si="63"/>
        <v>0</v>
      </c>
      <c r="M153" s="102">
        <v>12</v>
      </c>
      <c r="N153" s="102"/>
      <c r="O153" s="102"/>
      <c r="W153" s="193">
        <f t="shared" si="57"/>
        <v>0</v>
      </c>
      <c r="X153" s="42">
        <f t="shared" si="59"/>
        <v>0</v>
      </c>
      <c r="Y153" s="42">
        <f t="shared" si="60"/>
        <v>0</v>
      </c>
      <c r="Z153" s="42">
        <f t="shared" si="61"/>
        <v>0</v>
      </c>
    </row>
    <row r="154" spans="2:26" x14ac:dyDescent="0.2">
      <c r="B154" s="202"/>
      <c r="K154" s="42">
        <f t="shared" si="63"/>
        <v>0</v>
      </c>
      <c r="M154" s="102">
        <v>12</v>
      </c>
      <c r="N154" s="102"/>
      <c r="O154" s="102"/>
      <c r="W154" s="193">
        <f t="shared" si="57"/>
        <v>0</v>
      </c>
      <c r="X154" s="42">
        <f t="shared" si="59"/>
        <v>0</v>
      </c>
      <c r="Y154" s="42">
        <f t="shared" si="60"/>
        <v>0</v>
      </c>
      <c r="Z154" s="42">
        <f t="shared" si="61"/>
        <v>0</v>
      </c>
    </row>
    <row r="155" spans="2:26" x14ac:dyDescent="0.2">
      <c r="B155" s="202"/>
      <c r="K155" s="42">
        <f t="shared" si="63"/>
        <v>0</v>
      </c>
      <c r="M155" s="102">
        <v>12</v>
      </c>
      <c r="N155" s="102"/>
      <c r="O155" s="102"/>
      <c r="W155" s="193">
        <f t="shared" si="57"/>
        <v>0</v>
      </c>
      <c r="X155" s="42">
        <f t="shared" si="59"/>
        <v>0</v>
      </c>
      <c r="Y155" s="42">
        <f t="shared" si="60"/>
        <v>0</v>
      </c>
      <c r="Z155" s="42">
        <f t="shared" si="61"/>
        <v>0</v>
      </c>
    </row>
    <row r="156" spans="2:26" x14ac:dyDescent="0.2">
      <c r="B156" s="202"/>
      <c r="K156" s="42">
        <f t="shared" si="63"/>
        <v>0</v>
      </c>
      <c r="M156" s="102">
        <v>12</v>
      </c>
      <c r="N156" s="102"/>
      <c r="O156" s="102"/>
      <c r="W156" s="193">
        <f t="shared" si="57"/>
        <v>0</v>
      </c>
      <c r="X156" s="42">
        <f t="shared" si="59"/>
        <v>0</v>
      </c>
      <c r="Y156" s="42">
        <f t="shared" si="60"/>
        <v>0</v>
      </c>
      <c r="Z156" s="42">
        <f t="shared" si="61"/>
        <v>0</v>
      </c>
    </row>
    <row r="157" spans="2:26" x14ac:dyDescent="0.2">
      <c r="B157" s="202"/>
      <c r="K157" s="42">
        <f t="shared" si="63"/>
        <v>0</v>
      </c>
      <c r="M157" s="102">
        <v>12</v>
      </c>
      <c r="N157" s="102"/>
      <c r="O157" s="102"/>
      <c r="W157" s="193">
        <f t="shared" si="57"/>
        <v>0</v>
      </c>
      <c r="X157" s="42">
        <f t="shared" si="59"/>
        <v>0</v>
      </c>
      <c r="Y157" s="42">
        <f t="shared" si="60"/>
        <v>0</v>
      </c>
      <c r="Z157" s="42">
        <f t="shared" si="61"/>
        <v>0</v>
      </c>
    </row>
    <row r="158" spans="2:26" x14ac:dyDescent="0.2">
      <c r="B158" s="202"/>
      <c r="K158" s="42">
        <f t="shared" si="63"/>
        <v>0</v>
      </c>
      <c r="M158" s="102">
        <v>12</v>
      </c>
      <c r="N158" s="102"/>
      <c r="O158" s="102"/>
      <c r="W158" s="193">
        <f t="shared" si="57"/>
        <v>0</v>
      </c>
      <c r="X158" s="42">
        <f t="shared" si="59"/>
        <v>0</v>
      </c>
      <c r="Y158" s="42">
        <f t="shared" si="60"/>
        <v>0</v>
      </c>
      <c r="Z158" s="42">
        <f t="shared" si="61"/>
        <v>0</v>
      </c>
    </row>
    <row r="159" spans="2:26" x14ac:dyDescent="0.2">
      <c r="B159" s="202"/>
      <c r="K159" s="42">
        <f t="shared" si="63"/>
        <v>0</v>
      </c>
      <c r="M159" s="102">
        <v>12</v>
      </c>
      <c r="N159" s="102"/>
      <c r="O159" s="102"/>
      <c r="W159" s="193">
        <f t="shared" si="57"/>
        <v>0</v>
      </c>
      <c r="X159" s="42">
        <f t="shared" si="59"/>
        <v>0</v>
      </c>
      <c r="Y159" s="42">
        <f t="shared" si="60"/>
        <v>0</v>
      </c>
      <c r="Z159" s="42">
        <f t="shared" si="61"/>
        <v>0</v>
      </c>
    </row>
    <row r="160" spans="2:26" x14ac:dyDescent="0.2">
      <c r="B160" s="202"/>
      <c r="K160" s="42">
        <f t="shared" si="63"/>
        <v>0</v>
      </c>
      <c r="M160" s="102">
        <v>12</v>
      </c>
      <c r="N160" s="102"/>
      <c r="O160" s="102"/>
      <c r="W160" s="193">
        <f t="shared" si="57"/>
        <v>0</v>
      </c>
      <c r="X160" s="42">
        <f t="shared" si="59"/>
        <v>0</v>
      </c>
      <c r="Y160" s="42">
        <f t="shared" si="60"/>
        <v>0</v>
      </c>
      <c r="Z160" s="42">
        <f t="shared" si="61"/>
        <v>0</v>
      </c>
    </row>
    <row r="161" spans="2:26" x14ac:dyDescent="0.2">
      <c r="B161" s="202"/>
      <c r="K161" s="42">
        <f t="shared" si="63"/>
        <v>0</v>
      </c>
      <c r="M161" s="102">
        <v>12</v>
      </c>
      <c r="N161" s="102"/>
      <c r="O161" s="102"/>
      <c r="W161" s="193">
        <f t="shared" si="57"/>
        <v>0</v>
      </c>
      <c r="X161" s="42">
        <f t="shared" si="59"/>
        <v>0</v>
      </c>
      <c r="Y161" s="42">
        <f t="shared" si="60"/>
        <v>0</v>
      </c>
      <c r="Z161" s="42">
        <f t="shared" si="61"/>
        <v>0</v>
      </c>
    </row>
    <row r="162" spans="2:26" x14ac:dyDescent="0.2">
      <c r="B162" s="202"/>
      <c r="K162" s="42">
        <f t="shared" si="62"/>
        <v>0</v>
      </c>
      <c r="M162" s="102">
        <v>12</v>
      </c>
      <c r="N162" s="102"/>
      <c r="O162" s="102"/>
      <c r="W162" s="193">
        <f t="shared" si="57"/>
        <v>0</v>
      </c>
      <c r="X162" s="42">
        <f t="shared" si="59"/>
        <v>0</v>
      </c>
      <c r="Y162" s="42">
        <f t="shared" si="60"/>
        <v>0</v>
      </c>
      <c r="Z162" s="42">
        <f t="shared" si="61"/>
        <v>0</v>
      </c>
    </row>
    <row r="164" spans="2:26" ht="13.5" thickBot="1" x14ac:dyDescent="0.25">
      <c r="C164" s="42" t="s">
        <v>350</v>
      </c>
      <c r="I164" s="50">
        <f>SUM(I126:I163)</f>
        <v>0</v>
      </c>
      <c r="J164" s="50">
        <f>SUM(J126:J163)</f>
        <v>0</v>
      </c>
      <c r="K164" s="50">
        <f>SUM(K126:K163)</f>
        <v>0</v>
      </c>
      <c r="L164" s="50">
        <f>SUM(L126:L163)</f>
        <v>0</v>
      </c>
      <c r="M164" s="50"/>
      <c r="N164" s="50">
        <f t="shared" ref="N164:Z164" si="64">SUM(N126:N163)</f>
        <v>0</v>
      </c>
      <c r="O164" s="50">
        <f t="shared" si="64"/>
        <v>0</v>
      </c>
      <c r="P164" s="50">
        <f t="shared" si="64"/>
        <v>0</v>
      </c>
      <c r="Q164" s="50">
        <f t="shared" si="64"/>
        <v>0</v>
      </c>
      <c r="R164" s="50"/>
      <c r="S164" s="50">
        <f t="shared" si="64"/>
        <v>0</v>
      </c>
      <c r="T164" s="50">
        <f t="shared" si="64"/>
        <v>0</v>
      </c>
      <c r="U164" s="50">
        <f t="shared" si="64"/>
        <v>0</v>
      </c>
      <c r="V164" s="50">
        <f t="shared" si="64"/>
        <v>0</v>
      </c>
      <c r="W164" s="50">
        <f t="shared" si="64"/>
        <v>0</v>
      </c>
      <c r="X164" s="50">
        <f t="shared" si="64"/>
        <v>0</v>
      </c>
      <c r="Y164" s="50">
        <f t="shared" si="64"/>
        <v>0</v>
      </c>
      <c r="Z164" s="50">
        <f t="shared" si="64"/>
        <v>0</v>
      </c>
    </row>
    <row r="165" spans="2:26" ht="13.5" thickTop="1" x14ac:dyDescent="0.2"/>
    <row r="167" spans="2:26" x14ac:dyDescent="0.2">
      <c r="B167" s="199" t="s">
        <v>351</v>
      </c>
      <c r="I167" s="274">
        <v>0.2</v>
      </c>
      <c r="J167" s="42" t="s">
        <v>273</v>
      </c>
    </row>
    <row r="168" spans="2:26" x14ac:dyDescent="0.2">
      <c r="B168" s="200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257" t="s">
        <v>683</v>
      </c>
      <c r="T168" s="258" t="s">
        <v>690</v>
      </c>
      <c r="U168" s="259" t="s">
        <v>684</v>
      </c>
      <c r="V168" s="19"/>
      <c r="W168" s="19"/>
      <c r="X168" s="19"/>
      <c r="Y168" s="19"/>
      <c r="Z168" s="19"/>
    </row>
    <row r="169" spans="2:26" x14ac:dyDescent="0.2">
      <c r="B169" s="201" t="s">
        <v>27</v>
      </c>
      <c r="C169" s="67" t="s">
        <v>231</v>
      </c>
      <c r="D169" s="67"/>
      <c r="E169" s="107"/>
      <c r="F169" s="108"/>
      <c r="G169" s="107"/>
      <c r="H169" s="107"/>
      <c r="I169" s="21" t="s">
        <v>384</v>
      </c>
      <c r="J169" s="21" t="s">
        <v>575</v>
      </c>
      <c r="K169" s="21" t="s">
        <v>574</v>
      </c>
      <c r="L169" s="21" t="s">
        <v>276</v>
      </c>
      <c r="M169" s="21" t="s">
        <v>422</v>
      </c>
      <c r="N169" s="21" t="s">
        <v>576</v>
      </c>
      <c r="O169" s="21" t="s">
        <v>577</v>
      </c>
      <c r="P169" s="21" t="s">
        <v>682</v>
      </c>
      <c r="Q169" s="21" t="s">
        <v>578</v>
      </c>
      <c r="R169" s="21"/>
      <c r="S169" s="244" t="s">
        <v>685</v>
      </c>
      <c r="T169" s="21" t="s">
        <v>691</v>
      </c>
      <c r="U169" s="245" t="s">
        <v>686</v>
      </c>
      <c r="V169" s="21" t="s">
        <v>554</v>
      </c>
      <c r="W169" s="21" t="s">
        <v>573</v>
      </c>
      <c r="X169" s="21" t="s">
        <v>384</v>
      </c>
      <c r="Y169" s="21" t="s">
        <v>575</v>
      </c>
      <c r="Z169" s="21" t="s">
        <v>574</v>
      </c>
    </row>
    <row r="171" spans="2:26" ht="15" x14ac:dyDescent="0.35">
      <c r="B171" s="205"/>
      <c r="C171" s="289" t="s">
        <v>351</v>
      </c>
      <c r="D171" s="194"/>
      <c r="E171" s="194"/>
      <c r="F171" s="194"/>
      <c r="G171" s="194"/>
      <c r="H171" s="1"/>
      <c r="I171" s="71"/>
      <c r="K171" s="42">
        <f>+I171-J171</f>
        <v>0</v>
      </c>
      <c r="M171" s="102">
        <v>12</v>
      </c>
      <c r="N171" s="102"/>
      <c r="O171" s="102"/>
      <c r="W171" s="193">
        <f t="shared" ref="W171:W196" si="65">ROUND(IF(L171&gt;0,L171*I$167*M171/12,IF(K171=0,0,IF(I171*I$167*M171/12&gt;=K171,K171-1,I171*I$167*M171/12))),2)+V171</f>
        <v>0</v>
      </c>
      <c r="X171" s="42">
        <f>I171+L171-N171</f>
        <v>0</v>
      </c>
      <c r="Y171" s="42">
        <f>J171+W171-O171</f>
        <v>0</v>
      </c>
      <c r="Z171" s="42">
        <f>+X171-Y171</f>
        <v>0</v>
      </c>
    </row>
    <row r="172" spans="2:26" x14ac:dyDescent="0.2">
      <c r="B172" s="55"/>
      <c r="C172" s="1"/>
      <c r="D172" s="1"/>
      <c r="E172" s="1"/>
      <c r="F172" s="1"/>
      <c r="G172" s="1"/>
      <c r="H172" s="1"/>
      <c r="I172" s="71"/>
      <c r="K172" s="42">
        <f>+I172-J172</f>
        <v>0</v>
      </c>
      <c r="M172" s="102">
        <v>12</v>
      </c>
      <c r="N172" s="102"/>
      <c r="O172" s="102"/>
      <c r="W172" s="193">
        <f t="shared" si="65"/>
        <v>0</v>
      </c>
      <c r="X172" s="42">
        <f t="shared" ref="X172:X196" si="66">I172+L172-N172</f>
        <v>0</v>
      </c>
      <c r="Y172" s="42">
        <f t="shared" ref="Y172:Y196" si="67">J172+W172-O172</f>
        <v>0</v>
      </c>
      <c r="Z172" s="42">
        <f t="shared" ref="Z172:Z196" si="68">+X172-Y172</f>
        <v>0</v>
      </c>
    </row>
    <row r="173" spans="2:26" x14ac:dyDescent="0.2">
      <c r="B173" s="55"/>
      <c r="C173" s="1"/>
      <c r="D173" s="1"/>
      <c r="E173" s="1"/>
      <c r="F173" s="1"/>
      <c r="G173" s="1"/>
      <c r="H173" s="1"/>
      <c r="I173" s="71"/>
      <c r="K173" s="42">
        <f>+I173-J173</f>
        <v>0</v>
      </c>
      <c r="M173" s="102">
        <v>12</v>
      </c>
      <c r="N173" s="102"/>
      <c r="O173" s="102"/>
      <c r="W173" s="193">
        <f t="shared" si="65"/>
        <v>0</v>
      </c>
      <c r="X173" s="42">
        <f t="shared" si="66"/>
        <v>0</v>
      </c>
      <c r="Y173" s="42">
        <f t="shared" si="67"/>
        <v>0</v>
      </c>
      <c r="Z173" s="42">
        <f t="shared" si="68"/>
        <v>0</v>
      </c>
    </row>
    <row r="174" spans="2:26" x14ac:dyDescent="0.2">
      <c r="B174" s="55"/>
      <c r="C174" s="1"/>
      <c r="D174" s="1"/>
      <c r="E174" s="1"/>
      <c r="F174" s="1"/>
      <c r="G174" s="1"/>
      <c r="H174" s="1"/>
      <c r="I174" s="71"/>
      <c r="K174" s="42">
        <f t="shared" ref="K174:K195" si="69">+I174-J174</f>
        <v>0</v>
      </c>
      <c r="M174" s="102">
        <v>12</v>
      </c>
      <c r="N174" s="102"/>
      <c r="O174" s="102"/>
      <c r="W174" s="193">
        <f t="shared" si="65"/>
        <v>0</v>
      </c>
      <c r="X174" s="42">
        <f t="shared" si="66"/>
        <v>0</v>
      </c>
      <c r="Y174" s="42">
        <f t="shared" si="67"/>
        <v>0</v>
      </c>
      <c r="Z174" s="42">
        <f t="shared" si="68"/>
        <v>0</v>
      </c>
    </row>
    <row r="175" spans="2:26" x14ac:dyDescent="0.2">
      <c r="B175" s="55"/>
      <c r="C175" s="1"/>
      <c r="D175" s="1"/>
      <c r="E175" s="1"/>
      <c r="F175" s="1"/>
      <c r="G175" s="1"/>
      <c r="H175" s="1"/>
      <c r="I175" s="71"/>
      <c r="K175" s="42">
        <f t="shared" si="69"/>
        <v>0</v>
      </c>
      <c r="M175" s="102">
        <v>12</v>
      </c>
      <c r="N175" s="102"/>
      <c r="O175" s="102"/>
      <c r="W175" s="193">
        <f t="shared" si="65"/>
        <v>0</v>
      </c>
      <c r="X175" s="42">
        <f t="shared" si="66"/>
        <v>0</v>
      </c>
      <c r="Y175" s="42">
        <f t="shared" si="67"/>
        <v>0</v>
      </c>
      <c r="Z175" s="42">
        <f t="shared" si="68"/>
        <v>0</v>
      </c>
    </row>
    <row r="176" spans="2:26" x14ac:dyDescent="0.2">
      <c r="B176" s="55"/>
      <c r="C176" s="1"/>
      <c r="D176" s="1"/>
      <c r="E176" s="1"/>
      <c r="F176" s="1"/>
      <c r="G176" s="1"/>
      <c r="H176" s="1"/>
      <c r="I176" s="71"/>
      <c r="K176" s="42">
        <f t="shared" si="69"/>
        <v>0</v>
      </c>
      <c r="M176" s="102">
        <v>12</v>
      </c>
      <c r="N176" s="102"/>
      <c r="O176" s="102"/>
      <c r="W176" s="193">
        <f t="shared" si="65"/>
        <v>0</v>
      </c>
      <c r="X176" s="42">
        <f t="shared" si="66"/>
        <v>0</v>
      </c>
      <c r="Y176" s="42">
        <f t="shared" si="67"/>
        <v>0</v>
      </c>
      <c r="Z176" s="42">
        <f t="shared" si="68"/>
        <v>0</v>
      </c>
    </row>
    <row r="177" spans="2:26" x14ac:dyDescent="0.2">
      <c r="B177" s="55"/>
      <c r="C177" s="1"/>
      <c r="D177" s="1"/>
      <c r="E177" s="1"/>
      <c r="F177" s="1"/>
      <c r="G177" s="1"/>
      <c r="H177" s="1"/>
      <c r="I177" s="71"/>
      <c r="K177" s="42">
        <f t="shared" si="69"/>
        <v>0</v>
      </c>
      <c r="M177" s="102">
        <v>12</v>
      </c>
      <c r="N177" s="102"/>
      <c r="O177" s="102"/>
      <c r="W177" s="193">
        <f t="shared" si="65"/>
        <v>0</v>
      </c>
      <c r="X177" s="42">
        <f t="shared" si="66"/>
        <v>0</v>
      </c>
      <c r="Y177" s="42">
        <f t="shared" si="67"/>
        <v>0</v>
      </c>
      <c r="Z177" s="42">
        <f t="shared" si="68"/>
        <v>0</v>
      </c>
    </row>
    <row r="178" spans="2:26" x14ac:dyDescent="0.2">
      <c r="B178" s="55"/>
      <c r="C178" s="1"/>
      <c r="D178" s="1"/>
      <c r="E178" s="1"/>
      <c r="F178" s="1"/>
      <c r="G178" s="1"/>
      <c r="H178" s="1"/>
      <c r="I178" s="71"/>
      <c r="K178" s="42">
        <f t="shared" si="69"/>
        <v>0</v>
      </c>
      <c r="M178" s="102">
        <v>12</v>
      </c>
      <c r="N178" s="102"/>
      <c r="O178" s="102"/>
      <c r="W178" s="193">
        <f t="shared" si="65"/>
        <v>0</v>
      </c>
      <c r="X178" s="42">
        <f t="shared" si="66"/>
        <v>0</v>
      </c>
      <c r="Y178" s="42">
        <f t="shared" si="67"/>
        <v>0</v>
      </c>
      <c r="Z178" s="42">
        <f t="shared" si="68"/>
        <v>0</v>
      </c>
    </row>
    <row r="179" spans="2:26" x14ac:dyDescent="0.2">
      <c r="B179" s="55"/>
      <c r="C179" s="1"/>
      <c r="D179" s="1"/>
      <c r="E179" s="1"/>
      <c r="F179" s="1"/>
      <c r="G179" s="1"/>
      <c r="H179" s="1"/>
      <c r="I179" s="71"/>
      <c r="K179" s="42">
        <f t="shared" si="69"/>
        <v>0</v>
      </c>
      <c r="M179" s="102">
        <v>12</v>
      </c>
      <c r="N179" s="102"/>
      <c r="O179" s="102"/>
      <c r="W179" s="193">
        <f t="shared" si="65"/>
        <v>0</v>
      </c>
      <c r="X179" s="42">
        <f t="shared" si="66"/>
        <v>0</v>
      </c>
      <c r="Y179" s="42">
        <f t="shared" si="67"/>
        <v>0</v>
      </c>
      <c r="Z179" s="42">
        <f t="shared" si="68"/>
        <v>0</v>
      </c>
    </row>
    <row r="180" spans="2:26" x14ac:dyDescent="0.2">
      <c r="B180" s="55"/>
      <c r="C180" s="1"/>
      <c r="D180" s="1"/>
      <c r="E180" s="1"/>
      <c r="F180" s="1"/>
      <c r="G180" s="1"/>
      <c r="H180" s="1"/>
      <c r="I180" s="71"/>
      <c r="K180" s="42">
        <f t="shared" si="69"/>
        <v>0</v>
      </c>
      <c r="M180" s="102">
        <v>12</v>
      </c>
      <c r="N180" s="102"/>
      <c r="O180" s="102"/>
      <c r="W180" s="193">
        <f t="shared" si="65"/>
        <v>0</v>
      </c>
      <c r="X180" s="42">
        <f t="shared" si="66"/>
        <v>0</v>
      </c>
      <c r="Y180" s="42">
        <f t="shared" si="67"/>
        <v>0</v>
      </c>
      <c r="Z180" s="42">
        <f t="shared" si="68"/>
        <v>0</v>
      </c>
    </row>
    <row r="181" spans="2:26" x14ac:dyDescent="0.2">
      <c r="B181" s="55"/>
      <c r="C181" s="1"/>
      <c r="D181" s="1"/>
      <c r="E181" s="1"/>
      <c r="F181" s="1"/>
      <c r="G181" s="1"/>
      <c r="H181" s="1"/>
      <c r="I181" s="71"/>
      <c r="K181" s="42">
        <f t="shared" si="69"/>
        <v>0</v>
      </c>
      <c r="M181" s="102">
        <v>12</v>
      </c>
      <c r="N181" s="102"/>
      <c r="O181" s="102"/>
      <c r="W181" s="193">
        <f t="shared" si="65"/>
        <v>0</v>
      </c>
      <c r="X181" s="42">
        <f t="shared" si="66"/>
        <v>0</v>
      </c>
      <c r="Y181" s="42">
        <f t="shared" si="67"/>
        <v>0</v>
      </c>
      <c r="Z181" s="42">
        <f t="shared" si="68"/>
        <v>0</v>
      </c>
    </row>
    <row r="182" spans="2:26" x14ac:dyDescent="0.2">
      <c r="B182" s="55"/>
      <c r="C182" s="1"/>
      <c r="D182" s="1"/>
      <c r="E182" s="1"/>
      <c r="F182" s="1"/>
      <c r="G182" s="1"/>
      <c r="H182" s="1"/>
      <c r="I182" s="71"/>
      <c r="K182" s="42">
        <f t="shared" si="69"/>
        <v>0</v>
      </c>
      <c r="M182" s="102">
        <v>12</v>
      </c>
      <c r="N182" s="102"/>
      <c r="O182" s="102"/>
      <c r="W182" s="193">
        <f t="shared" si="65"/>
        <v>0</v>
      </c>
      <c r="X182" s="42">
        <f t="shared" si="66"/>
        <v>0</v>
      </c>
      <c r="Y182" s="42">
        <f t="shared" si="67"/>
        <v>0</v>
      </c>
      <c r="Z182" s="42">
        <f t="shared" si="68"/>
        <v>0</v>
      </c>
    </row>
    <row r="183" spans="2:26" x14ac:dyDescent="0.2">
      <c r="B183" s="55"/>
      <c r="C183" s="1"/>
      <c r="D183" s="1"/>
      <c r="E183" s="1"/>
      <c r="F183" s="1"/>
      <c r="G183" s="1"/>
      <c r="H183" s="1"/>
      <c r="I183" s="71"/>
      <c r="K183" s="42">
        <f t="shared" si="69"/>
        <v>0</v>
      </c>
      <c r="M183" s="102">
        <v>12</v>
      </c>
      <c r="N183" s="102"/>
      <c r="O183" s="102"/>
      <c r="W183" s="193">
        <f t="shared" si="65"/>
        <v>0</v>
      </c>
      <c r="X183" s="42">
        <f t="shared" si="66"/>
        <v>0</v>
      </c>
      <c r="Y183" s="42">
        <f t="shared" si="67"/>
        <v>0</v>
      </c>
      <c r="Z183" s="42">
        <f t="shared" si="68"/>
        <v>0</v>
      </c>
    </row>
    <row r="184" spans="2:26" x14ac:dyDescent="0.2">
      <c r="B184" s="55"/>
      <c r="C184" s="1"/>
      <c r="D184" s="1"/>
      <c r="E184" s="1"/>
      <c r="F184" s="1"/>
      <c r="G184" s="1"/>
      <c r="H184" s="1"/>
      <c r="I184" s="71"/>
      <c r="K184" s="42">
        <f t="shared" si="69"/>
        <v>0</v>
      </c>
      <c r="M184" s="102">
        <v>12</v>
      </c>
      <c r="N184" s="102"/>
      <c r="O184" s="102"/>
      <c r="W184" s="193">
        <f t="shared" si="65"/>
        <v>0</v>
      </c>
      <c r="X184" s="42">
        <f t="shared" si="66"/>
        <v>0</v>
      </c>
      <c r="Y184" s="42">
        <f t="shared" si="67"/>
        <v>0</v>
      </c>
      <c r="Z184" s="42">
        <f t="shared" si="68"/>
        <v>0</v>
      </c>
    </row>
    <row r="185" spans="2:26" x14ac:dyDescent="0.2">
      <c r="B185" s="55"/>
      <c r="C185" s="27" t="s">
        <v>935</v>
      </c>
      <c r="D185" s="1"/>
      <c r="E185" s="1"/>
      <c r="F185" s="1"/>
      <c r="G185" s="1"/>
      <c r="H185" s="1"/>
      <c r="I185" s="71"/>
      <c r="K185" s="42">
        <f t="shared" si="69"/>
        <v>0</v>
      </c>
      <c r="M185" s="102"/>
      <c r="N185" s="102"/>
      <c r="O185" s="102"/>
      <c r="W185" s="193">
        <f t="shared" si="65"/>
        <v>0</v>
      </c>
      <c r="X185" s="42">
        <f t="shared" si="66"/>
        <v>0</v>
      </c>
      <c r="Y185" s="42">
        <f t="shared" si="67"/>
        <v>0</v>
      </c>
      <c r="Z185" s="42">
        <f t="shared" si="68"/>
        <v>0</v>
      </c>
    </row>
    <row r="186" spans="2:26" x14ac:dyDescent="0.2">
      <c r="B186" s="55"/>
      <c r="C186" s="1"/>
      <c r="D186" s="1"/>
      <c r="E186" s="1"/>
      <c r="F186" s="1"/>
      <c r="G186" s="1"/>
      <c r="H186" s="1"/>
      <c r="I186" s="71"/>
      <c r="K186" s="42">
        <f t="shared" si="69"/>
        <v>0</v>
      </c>
      <c r="M186" s="102"/>
      <c r="N186" s="102"/>
      <c r="O186" s="102"/>
      <c r="W186" s="193">
        <f t="shared" si="65"/>
        <v>0</v>
      </c>
      <c r="X186" s="42">
        <f t="shared" si="66"/>
        <v>0</v>
      </c>
      <c r="Y186" s="42">
        <f t="shared" si="67"/>
        <v>0</v>
      </c>
      <c r="Z186" s="42">
        <f t="shared" si="68"/>
        <v>0</v>
      </c>
    </row>
    <row r="187" spans="2:26" x14ac:dyDescent="0.2">
      <c r="B187" s="55"/>
      <c r="C187" s="1"/>
      <c r="D187" s="1"/>
      <c r="E187" s="1"/>
      <c r="F187" s="1"/>
      <c r="G187" s="1"/>
      <c r="H187" s="1"/>
      <c r="I187" s="71"/>
      <c r="K187" s="42">
        <f t="shared" si="69"/>
        <v>0</v>
      </c>
      <c r="M187" s="102"/>
      <c r="N187" s="102"/>
      <c r="O187" s="102"/>
      <c r="W187" s="193">
        <f t="shared" si="65"/>
        <v>0</v>
      </c>
      <c r="X187" s="42">
        <f t="shared" si="66"/>
        <v>0</v>
      </c>
      <c r="Y187" s="42">
        <f t="shared" si="67"/>
        <v>0</v>
      </c>
      <c r="Z187" s="42">
        <f t="shared" si="68"/>
        <v>0</v>
      </c>
    </row>
    <row r="188" spans="2:26" x14ac:dyDescent="0.2">
      <c r="B188" s="55"/>
      <c r="C188" s="1"/>
      <c r="D188" s="1"/>
      <c r="E188" s="1"/>
      <c r="F188" s="1"/>
      <c r="G188" s="1"/>
      <c r="H188" s="1"/>
      <c r="I188" s="71"/>
      <c r="K188" s="42">
        <f t="shared" si="69"/>
        <v>0</v>
      </c>
      <c r="M188" s="102"/>
      <c r="N188" s="102"/>
      <c r="O188" s="102"/>
      <c r="W188" s="193">
        <f t="shared" si="65"/>
        <v>0</v>
      </c>
      <c r="X188" s="42">
        <f t="shared" si="66"/>
        <v>0</v>
      </c>
      <c r="Y188" s="42">
        <f t="shared" si="67"/>
        <v>0</v>
      </c>
      <c r="Z188" s="42">
        <f t="shared" si="68"/>
        <v>0</v>
      </c>
    </row>
    <row r="189" spans="2:26" x14ac:dyDescent="0.2">
      <c r="B189" s="55"/>
      <c r="C189" s="1"/>
      <c r="D189" s="1"/>
      <c r="E189" s="1"/>
      <c r="F189" s="1"/>
      <c r="G189" s="1"/>
      <c r="H189" s="1"/>
      <c r="I189" s="71"/>
      <c r="K189" s="42">
        <f t="shared" si="69"/>
        <v>0</v>
      </c>
      <c r="M189" s="102"/>
      <c r="N189" s="102"/>
      <c r="O189" s="102"/>
      <c r="W189" s="193">
        <f t="shared" si="65"/>
        <v>0</v>
      </c>
      <c r="X189" s="42">
        <f t="shared" si="66"/>
        <v>0</v>
      </c>
      <c r="Y189" s="42">
        <f t="shared" si="67"/>
        <v>0</v>
      </c>
      <c r="Z189" s="42">
        <f t="shared" si="68"/>
        <v>0</v>
      </c>
    </row>
    <row r="190" spans="2:26" x14ac:dyDescent="0.2">
      <c r="B190" s="55"/>
      <c r="C190" s="1"/>
      <c r="D190" s="1"/>
      <c r="E190" s="1"/>
      <c r="F190" s="1"/>
      <c r="G190" s="1"/>
      <c r="H190" s="1"/>
      <c r="I190" s="71"/>
      <c r="K190" s="42">
        <f t="shared" si="69"/>
        <v>0</v>
      </c>
      <c r="M190" s="102"/>
      <c r="N190" s="102"/>
      <c r="O190" s="102"/>
      <c r="W190" s="193">
        <f t="shared" si="65"/>
        <v>0</v>
      </c>
      <c r="X190" s="42">
        <f t="shared" si="66"/>
        <v>0</v>
      </c>
      <c r="Y190" s="42">
        <f t="shared" si="67"/>
        <v>0</v>
      </c>
      <c r="Z190" s="42">
        <f t="shared" si="68"/>
        <v>0</v>
      </c>
    </row>
    <row r="191" spans="2:26" x14ac:dyDescent="0.2">
      <c r="B191" s="55"/>
      <c r="C191" s="27" t="s">
        <v>936</v>
      </c>
      <c r="D191" s="1"/>
      <c r="E191" s="1"/>
      <c r="F191" s="1"/>
      <c r="G191" s="1"/>
      <c r="H191" s="1"/>
      <c r="I191" s="71"/>
      <c r="K191" s="42">
        <f t="shared" si="69"/>
        <v>0</v>
      </c>
      <c r="M191" s="102"/>
      <c r="N191" s="102"/>
      <c r="O191" s="102"/>
      <c r="W191" s="193">
        <f t="shared" si="65"/>
        <v>0</v>
      </c>
      <c r="X191" s="42">
        <f t="shared" si="66"/>
        <v>0</v>
      </c>
      <c r="Y191" s="42">
        <f t="shared" si="67"/>
        <v>0</v>
      </c>
      <c r="Z191" s="42">
        <f t="shared" si="68"/>
        <v>0</v>
      </c>
    </row>
    <row r="192" spans="2:26" x14ac:dyDescent="0.2">
      <c r="B192" s="55"/>
      <c r="C192" s="1"/>
      <c r="D192" s="1"/>
      <c r="E192" s="1"/>
      <c r="F192" s="1"/>
      <c r="G192" s="1"/>
      <c r="H192" s="1"/>
      <c r="I192" s="71"/>
      <c r="K192" s="42">
        <f t="shared" si="69"/>
        <v>0</v>
      </c>
      <c r="M192" s="102"/>
      <c r="N192" s="102"/>
      <c r="O192" s="102"/>
      <c r="W192" s="193">
        <f t="shared" si="65"/>
        <v>0</v>
      </c>
      <c r="X192" s="42">
        <f t="shared" si="66"/>
        <v>0</v>
      </c>
      <c r="Y192" s="42">
        <f t="shared" si="67"/>
        <v>0</v>
      </c>
      <c r="Z192" s="42">
        <f t="shared" si="68"/>
        <v>0</v>
      </c>
    </row>
    <row r="193" spans="2:26" x14ac:dyDescent="0.2">
      <c r="B193" s="55"/>
      <c r="C193" s="1"/>
      <c r="D193" s="1"/>
      <c r="E193" s="1"/>
      <c r="F193" s="1"/>
      <c r="G193" s="1"/>
      <c r="H193" s="1"/>
      <c r="I193" s="71"/>
      <c r="K193" s="42">
        <f t="shared" si="69"/>
        <v>0</v>
      </c>
      <c r="M193" s="102"/>
      <c r="N193" s="102"/>
      <c r="O193" s="102"/>
      <c r="W193" s="193">
        <f t="shared" si="65"/>
        <v>0</v>
      </c>
      <c r="X193" s="42">
        <f t="shared" si="66"/>
        <v>0</v>
      </c>
      <c r="Y193" s="42">
        <f t="shared" si="67"/>
        <v>0</v>
      </c>
      <c r="Z193" s="42">
        <f t="shared" si="68"/>
        <v>0</v>
      </c>
    </row>
    <row r="194" spans="2:26" x14ac:dyDescent="0.2">
      <c r="B194" s="55"/>
      <c r="C194" s="1"/>
      <c r="D194" s="1"/>
      <c r="E194" s="1"/>
      <c r="F194" s="1"/>
      <c r="G194" s="1"/>
      <c r="H194" s="1"/>
      <c r="I194" s="71"/>
      <c r="K194" s="42">
        <f t="shared" si="69"/>
        <v>0</v>
      </c>
      <c r="M194" s="102"/>
      <c r="N194" s="102"/>
      <c r="O194" s="102"/>
      <c r="W194" s="193">
        <f t="shared" si="65"/>
        <v>0</v>
      </c>
      <c r="X194" s="42">
        <f t="shared" si="66"/>
        <v>0</v>
      </c>
      <c r="Y194" s="42">
        <f t="shared" si="67"/>
        <v>0</v>
      </c>
      <c r="Z194" s="42">
        <f t="shared" si="68"/>
        <v>0</v>
      </c>
    </row>
    <row r="195" spans="2:26" x14ac:dyDescent="0.2">
      <c r="B195" s="55"/>
      <c r="C195" s="1"/>
      <c r="D195" s="1"/>
      <c r="E195" s="1"/>
      <c r="F195" s="1"/>
      <c r="G195" s="1"/>
      <c r="H195" s="1"/>
      <c r="I195" s="71"/>
      <c r="K195" s="42">
        <f t="shared" si="69"/>
        <v>0</v>
      </c>
      <c r="M195" s="102"/>
      <c r="N195" s="102"/>
      <c r="O195" s="102"/>
      <c r="W195" s="193">
        <f t="shared" si="65"/>
        <v>0</v>
      </c>
      <c r="X195" s="42">
        <f t="shared" si="66"/>
        <v>0</v>
      </c>
      <c r="Y195" s="42">
        <f t="shared" si="67"/>
        <v>0</v>
      </c>
      <c r="Z195" s="42">
        <f t="shared" si="68"/>
        <v>0</v>
      </c>
    </row>
    <row r="196" spans="2:26" x14ac:dyDescent="0.2">
      <c r="B196" s="55"/>
      <c r="C196" s="1"/>
      <c r="D196" s="1"/>
      <c r="E196" s="1"/>
      <c r="F196" s="1"/>
      <c r="G196" s="1"/>
      <c r="H196" s="1"/>
      <c r="I196" s="71"/>
      <c r="K196" s="42">
        <f>+I196-J196</f>
        <v>0</v>
      </c>
      <c r="M196" s="102"/>
      <c r="N196" s="102"/>
      <c r="O196" s="102"/>
      <c r="W196" s="193">
        <f t="shared" si="65"/>
        <v>0</v>
      </c>
      <c r="X196" s="42">
        <f t="shared" si="66"/>
        <v>0</v>
      </c>
      <c r="Y196" s="42">
        <f t="shared" si="67"/>
        <v>0</v>
      </c>
      <c r="Z196" s="42">
        <f t="shared" si="68"/>
        <v>0</v>
      </c>
    </row>
    <row r="198" spans="2:26" ht="13.5" thickBot="1" x14ac:dyDescent="0.25">
      <c r="C198" s="42" t="s">
        <v>350</v>
      </c>
      <c r="I198" s="50">
        <f>SUM(I170:I197)</f>
        <v>0</v>
      </c>
      <c r="J198" s="50">
        <f>SUM(J170:J197)</f>
        <v>0</v>
      </c>
      <c r="K198" s="50">
        <f>SUM(K170:K197)</f>
        <v>0</v>
      </c>
      <c r="L198" s="50">
        <f>SUM(L170:L197)</f>
        <v>0</v>
      </c>
      <c r="M198" s="50"/>
      <c r="N198" s="50">
        <f t="shared" ref="N198:Z198" si="70">SUM(N170:N197)</f>
        <v>0</v>
      </c>
      <c r="O198" s="50">
        <f t="shared" si="70"/>
        <v>0</v>
      </c>
      <c r="P198" s="50">
        <f t="shared" si="70"/>
        <v>0</v>
      </c>
      <c r="Q198" s="50">
        <f t="shared" si="70"/>
        <v>0</v>
      </c>
      <c r="R198" s="50"/>
      <c r="S198" s="50">
        <f t="shared" si="70"/>
        <v>0</v>
      </c>
      <c r="T198" s="50">
        <f t="shared" si="70"/>
        <v>0</v>
      </c>
      <c r="U198" s="50">
        <f t="shared" si="70"/>
        <v>0</v>
      </c>
      <c r="V198" s="50">
        <f t="shared" si="70"/>
        <v>0</v>
      </c>
      <c r="W198" s="50">
        <f t="shared" si="70"/>
        <v>0</v>
      </c>
      <c r="X198" s="50">
        <f t="shared" si="70"/>
        <v>0</v>
      </c>
      <c r="Y198" s="50">
        <f t="shared" si="70"/>
        <v>0</v>
      </c>
      <c r="Z198" s="50">
        <f t="shared" si="70"/>
        <v>0</v>
      </c>
    </row>
    <row r="199" spans="2:26" ht="13.5" thickTop="1" x14ac:dyDescent="0.2"/>
    <row r="201" spans="2:26" x14ac:dyDescent="0.2">
      <c r="B201" s="199" t="s">
        <v>352</v>
      </c>
      <c r="I201" s="274">
        <v>0.33339999999999997</v>
      </c>
      <c r="J201" s="42" t="s">
        <v>273</v>
      </c>
    </row>
    <row r="202" spans="2:26" x14ac:dyDescent="0.2">
      <c r="B202" s="200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257" t="s">
        <v>683</v>
      </c>
      <c r="T202" s="258" t="s">
        <v>690</v>
      </c>
      <c r="U202" s="259" t="s">
        <v>684</v>
      </c>
      <c r="V202" s="19"/>
      <c r="W202" s="19"/>
      <c r="X202" s="19"/>
      <c r="Y202" s="19"/>
      <c r="Z202" s="19"/>
    </row>
    <row r="203" spans="2:26" x14ac:dyDescent="0.2">
      <c r="B203" s="201" t="s">
        <v>27</v>
      </c>
      <c r="C203" s="67" t="s">
        <v>231</v>
      </c>
      <c r="D203" s="67"/>
      <c r="E203" s="107"/>
      <c r="F203" s="108"/>
      <c r="G203" s="107"/>
      <c r="H203" s="107"/>
      <c r="I203" s="21" t="s">
        <v>384</v>
      </c>
      <c r="J203" s="21" t="s">
        <v>575</v>
      </c>
      <c r="K203" s="21" t="s">
        <v>574</v>
      </c>
      <c r="L203" s="21" t="s">
        <v>276</v>
      </c>
      <c r="M203" s="21" t="s">
        <v>422</v>
      </c>
      <c r="N203" s="21" t="s">
        <v>576</v>
      </c>
      <c r="O203" s="21" t="s">
        <v>577</v>
      </c>
      <c r="P203" s="21" t="s">
        <v>682</v>
      </c>
      <c r="Q203" s="21" t="s">
        <v>578</v>
      </c>
      <c r="R203" s="21"/>
      <c r="S203" s="244" t="s">
        <v>685</v>
      </c>
      <c r="T203" s="21" t="s">
        <v>691</v>
      </c>
      <c r="U203" s="245" t="s">
        <v>686</v>
      </c>
      <c r="V203" s="21" t="s">
        <v>554</v>
      </c>
      <c r="W203" s="21" t="s">
        <v>573</v>
      </c>
      <c r="X203" s="21" t="s">
        <v>384</v>
      </c>
      <c r="Y203" s="21" t="s">
        <v>575</v>
      </c>
      <c r="Z203" s="21" t="s">
        <v>574</v>
      </c>
    </row>
    <row r="205" spans="2:26" x14ac:dyDescent="0.2">
      <c r="B205" s="91"/>
      <c r="C205" s="1"/>
      <c r="D205" s="1"/>
      <c r="E205" s="1"/>
      <c r="F205" s="1"/>
      <c r="G205" s="1"/>
      <c r="H205" s="16"/>
      <c r="I205" s="102"/>
      <c r="K205" s="42">
        <f>+I205-J205</f>
        <v>0</v>
      </c>
      <c r="L205" s="102"/>
      <c r="M205" s="102">
        <v>12</v>
      </c>
      <c r="N205" s="102"/>
      <c r="O205" s="102"/>
      <c r="W205" s="193">
        <f t="shared" ref="W205:W235" si="71">ROUND(IF(L205&gt;0,L205*I$201*M205/12,IF(K205=0,0,IF(I205*I$201*M205/12&gt;=K205,K205-1,I205*I$201*M205/12))),2)+V205</f>
        <v>0</v>
      </c>
      <c r="X205" s="42">
        <f>I205+L205-N205</f>
        <v>0</v>
      </c>
      <c r="Y205" s="42">
        <f>J205+W205-O205</f>
        <v>0</v>
      </c>
      <c r="Z205" s="42">
        <f>+X205-Y205</f>
        <v>0</v>
      </c>
    </row>
    <row r="206" spans="2:26" x14ac:dyDescent="0.2">
      <c r="B206" s="91"/>
      <c r="C206" s="1"/>
      <c r="D206" s="1"/>
      <c r="E206" s="1"/>
      <c r="F206" s="1"/>
      <c r="G206" s="1"/>
      <c r="H206" s="16"/>
      <c r="I206" s="102"/>
      <c r="K206" s="42">
        <f t="shared" ref="K206:K233" si="72">+I206-J206</f>
        <v>0</v>
      </c>
      <c r="L206" s="102"/>
      <c r="M206" s="102">
        <v>12</v>
      </c>
      <c r="N206" s="102"/>
      <c r="O206" s="102"/>
      <c r="W206" s="193">
        <f t="shared" si="71"/>
        <v>0</v>
      </c>
      <c r="X206" s="42">
        <f t="shared" ref="X206:X235" si="73">I206+L206-N206</f>
        <v>0</v>
      </c>
      <c r="Y206" s="42">
        <f t="shared" ref="Y206:Y235" si="74">J206+W206-O206</f>
        <v>0</v>
      </c>
      <c r="Z206" s="42">
        <f t="shared" ref="Z206:Z235" si="75">+X206-Y206</f>
        <v>0</v>
      </c>
    </row>
    <row r="207" spans="2:26" x14ac:dyDescent="0.2">
      <c r="B207" s="91"/>
      <c r="C207" s="1"/>
      <c r="D207" s="1"/>
      <c r="E207" s="1"/>
      <c r="F207" s="1"/>
      <c r="G207" s="1"/>
      <c r="H207" s="16"/>
      <c r="I207" s="102"/>
      <c r="K207" s="42">
        <f t="shared" si="72"/>
        <v>0</v>
      </c>
      <c r="L207" s="102"/>
      <c r="M207" s="102">
        <v>12</v>
      </c>
      <c r="N207" s="102"/>
      <c r="O207" s="102"/>
      <c r="W207" s="193">
        <f t="shared" si="71"/>
        <v>0</v>
      </c>
      <c r="X207" s="42">
        <f t="shared" si="73"/>
        <v>0</v>
      </c>
      <c r="Y207" s="42">
        <f t="shared" si="74"/>
        <v>0</v>
      </c>
      <c r="Z207" s="42">
        <f t="shared" si="75"/>
        <v>0</v>
      </c>
    </row>
    <row r="208" spans="2:26" x14ac:dyDescent="0.2">
      <c r="B208" s="91"/>
      <c r="C208" s="1"/>
      <c r="D208" s="1"/>
      <c r="E208" s="1"/>
      <c r="F208" s="1"/>
      <c r="G208" s="1"/>
      <c r="H208" s="16"/>
      <c r="I208" s="102"/>
      <c r="K208" s="42">
        <f t="shared" si="72"/>
        <v>0</v>
      </c>
      <c r="L208" s="102"/>
      <c r="M208" s="102">
        <v>12</v>
      </c>
      <c r="N208" s="102"/>
      <c r="O208" s="102"/>
      <c r="W208" s="193">
        <f t="shared" si="71"/>
        <v>0</v>
      </c>
      <c r="X208" s="42">
        <f t="shared" si="73"/>
        <v>0</v>
      </c>
      <c r="Y208" s="42">
        <f t="shared" si="74"/>
        <v>0</v>
      </c>
      <c r="Z208" s="42">
        <f t="shared" si="75"/>
        <v>0</v>
      </c>
    </row>
    <row r="209" spans="2:26" x14ac:dyDescent="0.2">
      <c r="B209" s="91"/>
      <c r="C209" s="1"/>
      <c r="D209" s="1"/>
      <c r="E209" s="1"/>
      <c r="F209" s="1"/>
      <c r="G209" s="1"/>
      <c r="H209" s="16"/>
      <c r="I209" s="102"/>
      <c r="K209" s="42">
        <f t="shared" si="72"/>
        <v>0</v>
      </c>
      <c r="L209" s="102"/>
      <c r="M209" s="102">
        <v>12</v>
      </c>
      <c r="N209" s="102"/>
      <c r="O209" s="102"/>
      <c r="W209" s="193">
        <f t="shared" si="71"/>
        <v>0</v>
      </c>
      <c r="X209" s="42">
        <f t="shared" si="73"/>
        <v>0</v>
      </c>
      <c r="Y209" s="42">
        <f t="shared" si="74"/>
        <v>0</v>
      </c>
      <c r="Z209" s="42">
        <f t="shared" si="75"/>
        <v>0</v>
      </c>
    </row>
    <row r="210" spans="2:26" x14ac:dyDescent="0.2">
      <c r="B210" s="91"/>
      <c r="C210" s="1"/>
      <c r="D210" s="1"/>
      <c r="E210" s="1"/>
      <c r="F210" s="1"/>
      <c r="G210" s="1"/>
      <c r="H210" s="16"/>
      <c r="I210" s="102"/>
      <c r="K210" s="42">
        <f t="shared" si="72"/>
        <v>0</v>
      </c>
      <c r="L210" s="102"/>
      <c r="M210" s="102">
        <v>12</v>
      </c>
      <c r="N210" s="102"/>
      <c r="O210" s="102"/>
      <c r="W210" s="193">
        <f t="shared" si="71"/>
        <v>0</v>
      </c>
      <c r="X210" s="42">
        <f t="shared" si="73"/>
        <v>0</v>
      </c>
      <c r="Y210" s="42">
        <f t="shared" si="74"/>
        <v>0</v>
      </c>
      <c r="Z210" s="42">
        <f t="shared" si="75"/>
        <v>0</v>
      </c>
    </row>
    <row r="211" spans="2:26" x14ac:dyDescent="0.2">
      <c r="B211" s="91"/>
      <c r="C211" s="1"/>
      <c r="D211" s="1"/>
      <c r="E211" s="1"/>
      <c r="F211" s="1"/>
      <c r="G211" s="1"/>
      <c r="H211" s="16"/>
      <c r="I211" s="102"/>
      <c r="K211" s="42">
        <f t="shared" si="72"/>
        <v>0</v>
      </c>
      <c r="L211" s="102"/>
      <c r="M211" s="102">
        <v>12</v>
      </c>
      <c r="N211" s="102"/>
      <c r="O211" s="102"/>
      <c r="W211" s="193">
        <f t="shared" si="71"/>
        <v>0</v>
      </c>
      <c r="X211" s="42">
        <f t="shared" si="73"/>
        <v>0</v>
      </c>
      <c r="Y211" s="42">
        <f t="shared" si="74"/>
        <v>0</v>
      </c>
      <c r="Z211" s="42">
        <f t="shared" si="75"/>
        <v>0</v>
      </c>
    </row>
    <row r="212" spans="2:26" x14ac:dyDescent="0.2">
      <c r="B212" s="91"/>
      <c r="C212" s="1"/>
      <c r="D212" s="1"/>
      <c r="E212" s="1"/>
      <c r="F212" s="1"/>
      <c r="G212" s="1"/>
      <c r="H212" s="16"/>
      <c r="I212" s="102"/>
      <c r="K212" s="42">
        <f t="shared" si="72"/>
        <v>0</v>
      </c>
      <c r="L212" s="102"/>
      <c r="M212" s="102">
        <v>12</v>
      </c>
      <c r="N212" s="102"/>
      <c r="O212" s="102"/>
      <c r="W212" s="193">
        <f t="shared" si="71"/>
        <v>0</v>
      </c>
      <c r="X212" s="42">
        <f t="shared" si="73"/>
        <v>0</v>
      </c>
      <c r="Y212" s="42">
        <f t="shared" si="74"/>
        <v>0</v>
      </c>
      <c r="Z212" s="42">
        <f t="shared" si="75"/>
        <v>0</v>
      </c>
    </row>
    <row r="213" spans="2:26" x14ac:dyDescent="0.2">
      <c r="B213" s="91"/>
      <c r="C213" s="1"/>
      <c r="D213" s="1"/>
      <c r="E213" s="1"/>
      <c r="F213" s="1"/>
      <c r="G213" s="1"/>
      <c r="H213" s="16"/>
      <c r="I213" s="102"/>
      <c r="K213" s="42">
        <f t="shared" si="72"/>
        <v>0</v>
      </c>
      <c r="L213" s="102"/>
      <c r="M213" s="102">
        <v>12</v>
      </c>
      <c r="N213" s="102"/>
      <c r="O213" s="102"/>
      <c r="W213" s="193">
        <f t="shared" si="71"/>
        <v>0</v>
      </c>
      <c r="X213" s="42">
        <f t="shared" si="73"/>
        <v>0</v>
      </c>
      <c r="Y213" s="42">
        <f t="shared" si="74"/>
        <v>0</v>
      </c>
      <c r="Z213" s="42">
        <f t="shared" si="75"/>
        <v>0</v>
      </c>
    </row>
    <row r="214" spans="2:26" x14ac:dyDescent="0.2">
      <c r="B214" s="91"/>
      <c r="C214" s="1"/>
      <c r="D214" s="1"/>
      <c r="E214" s="1"/>
      <c r="F214" s="1"/>
      <c r="G214" s="1"/>
      <c r="H214" s="16"/>
      <c r="I214" s="102"/>
      <c r="K214" s="42">
        <f t="shared" si="72"/>
        <v>0</v>
      </c>
      <c r="L214" s="102"/>
      <c r="M214" s="102">
        <v>12</v>
      </c>
      <c r="N214" s="102"/>
      <c r="O214" s="102"/>
      <c r="W214" s="193">
        <f t="shared" si="71"/>
        <v>0</v>
      </c>
      <c r="X214" s="42">
        <f t="shared" si="73"/>
        <v>0</v>
      </c>
      <c r="Y214" s="42">
        <f t="shared" si="74"/>
        <v>0</v>
      </c>
      <c r="Z214" s="42">
        <f t="shared" si="75"/>
        <v>0</v>
      </c>
    </row>
    <row r="215" spans="2:26" x14ac:dyDescent="0.2">
      <c r="B215" s="91"/>
      <c r="C215" s="1"/>
      <c r="D215" s="1"/>
      <c r="E215" s="1"/>
      <c r="F215" s="1"/>
      <c r="G215" s="1"/>
      <c r="H215" s="16"/>
      <c r="I215" s="102"/>
      <c r="K215" s="42">
        <f t="shared" si="72"/>
        <v>0</v>
      </c>
      <c r="L215" s="102"/>
      <c r="M215" s="102">
        <v>12</v>
      </c>
      <c r="N215" s="102"/>
      <c r="O215" s="102"/>
      <c r="W215" s="193">
        <f t="shared" si="71"/>
        <v>0</v>
      </c>
      <c r="X215" s="42">
        <f t="shared" si="73"/>
        <v>0</v>
      </c>
      <c r="Y215" s="42">
        <f t="shared" si="74"/>
        <v>0</v>
      </c>
      <c r="Z215" s="42">
        <f t="shared" si="75"/>
        <v>0</v>
      </c>
    </row>
    <row r="216" spans="2:26" x14ac:dyDescent="0.2">
      <c r="B216" s="91"/>
      <c r="C216" s="1"/>
      <c r="D216" s="1"/>
      <c r="E216" s="1"/>
      <c r="F216" s="1"/>
      <c r="G216" s="1"/>
      <c r="H216" s="16"/>
      <c r="I216" s="102"/>
      <c r="K216" s="42">
        <f t="shared" si="72"/>
        <v>0</v>
      </c>
      <c r="L216" s="102"/>
      <c r="M216" s="102">
        <v>12</v>
      </c>
      <c r="N216" s="102"/>
      <c r="O216" s="102"/>
      <c r="W216" s="193">
        <f t="shared" si="71"/>
        <v>0</v>
      </c>
      <c r="X216" s="42">
        <f t="shared" si="73"/>
        <v>0</v>
      </c>
      <c r="Y216" s="42">
        <f t="shared" si="74"/>
        <v>0</v>
      </c>
      <c r="Z216" s="42">
        <f t="shared" si="75"/>
        <v>0</v>
      </c>
    </row>
    <row r="217" spans="2:26" x14ac:dyDescent="0.2">
      <c r="B217" s="91"/>
      <c r="C217" s="1"/>
      <c r="D217" s="1"/>
      <c r="E217" s="1"/>
      <c r="F217" s="1"/>
      <c r="G217" s="1"/>
      <c r="H217" s="16"/>
      <c r="I217" s="102"/>
      <c r="K217" s="42">
        <f t="shared" si="72"/>
        <v>0</v>
      </c>
      <c r="L217" s="102"/>
      <c r="M217" s="102">
        <v>12</v>
      </c>
      <c r="N217" s="102"/>
      <c r="O217" s="102"/>
      <c r="W217" s="193">
        <f t="shared" si="71"/>
        <v>0</v>
      </c>
      <c r="X217" s="42">
        <f t="shared" si="73"/>
        <v>0</v>
      </c>
      <c r="Y217" s="42">
        <f t="shared" si="74"/>
        <v>0</v>
      </c>
      <c r="Z217" s="42">
        <f t="shared" si="75"/>
        <v>0</v>
      </c>
    </row>
    <row r="218" spans="2:26" x14ac:dyDescent="0.2">
      <c r="B218" s="91"/>
      <c r="C218" s="1"/>
      <c r="D218" s="1"/>
      <c r="E218" s="1"/>
      <c r="F218" s="1"/>
      <c r="G218" s="1"/>
      <c r="H218" s="16"/>
      <c r="I218" s="102"/>
      <c r="K218" s="42">
        <f t="shared" si="72"/>
        <v>0</v>
      </c>
      <c r="L218" s="102"/>
      <c r="M218" s="102">
        <v>12</v>
      </c>
      <c r="N218" s="102"/>
      <c r="O218" s="102"/>
      <c r="W218" s="193">
        <f t="shared" si="71"/>
        <v>0</v>
      </c>
      <c r="X218" s="42">
        <f t="shared" si="73"/>
        <v>0</v>
      </c>
      <c r="Y218" s="42">
        <f t="shared" si="74"/>
        <v>0</v>
      </c>
      <c r="Z218" s="42">
        <f t="shared" si="75"/>
        <v>0</v>
      </c>
    </row>
    <row r="219" spans="2:26" x14ac:dyDescent="0.2">
      <c r="B219" s="91"/>
      <c r="C219" s="1"/>
      <c r="D219" s="1"/>
      <c r="E219" s="1"/>
      <c r="F219" s="1"/>
      <c r="G219" s="1"/>
      <c r="H219" s="16"/>
      <c r="I219" s="102"/>
      <c r="K219" s="42">
        <f t="shared" si="72"/>
        <v>0</v>
      </c>
      <c r="L219" s="102"/>
      <c r="M219" s="102">
        <v>12</v>
      </c>
      <c r="N219" s="102"/>
      <c r="O219" s="102"/>
      <c r="W219" s="193">
        <f t="shared" si="71"/>
        <v>0</v>
      </c>
      <c r="X219" s="42">
        <f t="shared" si="73"/>
        <v>0</v>
      </c>
      <c r="Y219" s="42">
        <f t="shared" si="74"/>
        <v>0</v>
      </c>
      <c r="Z219" s="42">
        <f t="shared" si="75"/>
        <v>0</v>
      </c>
    </row>
    <row r="220" spans="2:26" x14ac:dyDescent="0.2">
      <c r="B220" s="91"/>
      <c r="C220" s="1"/>
      <c r="D220" s="1"/>
      <c r="E220" s="1"/>
      <c r="F220" s="1"/>
      <c r="G220" s="1"/>
      <c r="H220" s="16"/>
      <c r="I220" s="102"/>
      <c r="K220" s="42">
        <f t="shared" si="72"/>
        <v>0</v>
      </c>
      <c r="L220" s="102"/>
      <c r="M220" s="102">
        <v>12</v>
      </c>
      <c r="N220" s="102"/>
      <c r="O220" s="102"/>
      <c r="W220" s="193">
        <f t="shared" si="71"/>
        <v>0</v>
      </c>
      <c r="X220" s="42">
        <f t="shared" si="73"/>
        <v>0</v>
      </c>
      <c r="Y220" s="42">
        <f t="shared" si="74"/>
        <v>0</v>
      </c>
      <c r="Z220" s="42">
        <f t="shared" si="75"/>
        <v>0</v>
      </c>
    </row>
    <row r="221" spans="2:26" x14ac:dyDescent="0.2">
      <c r="B221" s="91"/>
      <c r="C221" s="1"/>
      <c r="D221" s="1"/>
      <c r="E221" s="1"/>
      <c r="F221" s="1"/>
      <c r="G221" s="1"/>
      <c r="H221" s="16"/>
      <c r="I221" s="102"/>
      <c r="K221" s="42">
        <f t="shared" si="72"/>
        <v>0</v>
      </c>
      <c r="L221" s="102"/>
      <c r="M221" s="102">
        <v>12</v>
      </c>
      <c r="N221" s="102"/>
      <c r="O221" s="102"/>
      <c r="W221" s="193">
        <f t="shared" si="71"/>
        <v>0</v>
      </c>
      <c r="X221" s="42">
        <f t="shared" si="73"/>
        <v>0</v>
      </c>
      <c r="Y221" s="42">
        <f t="shared" si="74"/>
        <v>0</v>
      </c>
      <c r="Z221" s="42">
        <f t="shared" si="75"/>
        <v>0</v>
      </c>
    </row>
    <row r="222" spans="2:26" x14ac:dyDescent="0.2">
      <c r="B222" s="91"/>
      <c r="C222" s="1"/>
      <c r="D222" s="1"/>
      <c r="E222" s="1"/>
      <c r="F222" s="1"/>
      <c r="G222" s="1"/>
      <c r="H222" s="16"/>
      <c r="I222" s="102"/>
      <c r="K222" s="42">
        <f t="shared" si="72"/>
        <v>0</v>
      </c>
      <c r="L222" s="102"/>
      <c r="M222" s="102">
        <v>12</v>
      </c>
      <c r="N222" s="102"/>
      <c r="O222" s="102"/>
      <c r="W222" s="193">
        <f t="shared" si="71"/>
        <v>0</v>
      </c>
      <c r="X222" s="42">
        <f t="shared" si="73"/>
        <v>0</v>
      </c>
      <c r="Y222" s="42">
        <f t="shared" si="74"/>
        <v>0</v>
      </c>
      <c r="Z222" s="42">
        <f t="shared" si="75"/>
        <v>0</v>
      </c>
    </row>
    <row r="223" spans="2:26" x14ac:dyDescent="0.2">
      <c r="B223" s="91"/>
      <c r="C223" s="1"/>
      <c r="D223" s="1"/>
      <c r="E223" s="1"/>
      <c r="F223" s="1"/>
      <c r="G223" s="1"/>
      <c r="H223" s="16"/>
      <c r="I223" s="102"/>
      <c r="K223" s="42">
        <f t="shared" si="72"/>
        <v>0</v>
      </c>
      <c r="L223" s="102"/>
      <c r="M223" s="102">
        <v>12</v>
      </c>
      <c r="N223" s="102"/>
      <c r="O223" s="102"/>
      <c r="W223" s="193">
        <f t="shared" si="71"/>
        <v>0</v>
      </c>
      <c r="X223" s="42">
        <f t="shared" si="73"/>
        <v>0</v>
      </c>
      <c r="Y223" s="42">
        <f t="shared" si="74"/>
        <v>0</v>
      </c>
      <c r="Z223" s="42">
        <f t="shared" si="75"/>
        <v>0</v>
      </c>
    </row>
    <row r="224" spans="2:26" x14ac:dyDescent="0.2">
      <c r="B224" s="91"/>
      <c r="C224" s="1"/>
      <c r="D224" s="1"/>
      <c r="E224" s="1"/>
      <c r="F224" s="1"/>
      <c r="G224" s="1"/>
      <c r="H224" s="16"/>
      <c r="I224" s="102"/>
      <c r="K224" s="42">
        <f t="shared" si="72"/>
        <v>0</v>
      </c>
      <c r="L224" s="102"/>
      <c r="M224" s="102">
        <v>12</v>
      </c>
      <c r="N224" s="102"/>
      <c r="O224" s="102"/>
      <c r="W224" s="193">
        <f t="shared" si="71"/>
        <v>0</v>
      </c>
      <c r="X224" s="42">
        <f t="shared" si="73"/>
        <v>0</v>
      </c>
      <c r="Y224" s="42">
        <f t="shared" si="74"/>
        <v>0</v>
      </c>
      <c r="Z224" s="42">
        <f t="shared" si="75"/>
        <v>0</v>
      </c>
    </row>
    <row r="225" spans="2:26" x14ac:dyDescent="0.2">
      <c r="B225" s="91"/>
      <c r="C225" s="1"/>
      <c r="D225" s="1"/>
      <c r="E225" s="1"/>
      <c r="F225" s="1"/>
      <c r="G225" s="1"/>
      <c r="H225" s="16"/>
      <c r="I225" s="102"/>
      <c r="K225" s="42">
        <f t="shared" si="72"/>
        <v>0</v>
      </c>
      <c r="L225" s="102"/>
      <c r="M225" s="102">
        <v>12</v>
      </c>
      <c r="N225" s="102"/>
      <c r="O225" s="102"/>
      <c r="W225" s="193">
        <f t="shared" si="71"/>
        <v>0</v>
      </c>
      <c r="X225" s="42">
        <f t="shared" si="73"/>
        <v>0</v>
      </c>
      <c r="Y225" s="42">
        <f t="shared" si="74"/>
        <v>0</v>
      </c>
      <c r="Z225" s="42">
        <f t="shared" si="75"/>
        <v>0</v>
      </c>
    </row>
    <row r="226" spans="2:26" x14ac:dyDescent="0.2">
      <c r="B226" s="91"/>
      <c r="C226" s="1"/>
      <c r="D226" s="1"/>
      <c r="E226" s="1"/>
      <c r="F226" s="1"/>
      <c r="G226" s="1"/>
      <c r="H226" s="16"/>
      <c r="I226" s="102"/>
      <c r="K226" s="42">
        <f t="shared" si="72"/>
        <v>0</v>
      </c>
      <c r="L226" s="102"/>
      <c r="M226" s="102">
        <v>12</v>
      </c>
      <c r="N226" s="102"/>
      <c r="O226" s="102"/>
      <c r="W226" s="193">
        <f t="shared" si="71"/>
        <v>0</v>
      </c>
      <c r="X226" s="42">
        <f t="shared" si="73"/>
        <v>0</v>
      </c>
      <c r="Y226" s="42">
        <f t="shared" si="74"/>
        <v>0</v>
      </c>
      <c r="Z226" s="42">
        <f t="shared" si="75"/>
        <v>0</v>
      </c>
    </row>
    <row r="227" spans="2:26" x14ac:dyDescent="0.2">
      <c r="B227" s="91"/>
      <c r="C227" s="1"/>
      <c r="D227" s="1"/>
      <c r="E227" s="1"/>
      <c r="F227" s="1"/>
      <c r="G227" s="1"/>
      <c r="H227" s="16"/>
      <c r="I227" s="102"/>
      <c r="K227" s="42">
        <f t="shared" si="72"/>
        <v>0</v>
      </c>
      <c r="L227" s="102"/>
      <c r="M227" s="102">
        <v>12</v>
      </c>
      <c r="N227" s="102"/>
      <c r="O227" s="102"/>
      <c r="W227" s="193">
        <f t="shared" si="71"/>
        <v>0</v>
      </c>
      <c r="X227" s="42">
        <f t="shared" si="73"/>
        <v>0</v>
      </c>
      <c r="Y227" s="42">
        <f t="shared" si="74"/>
        <v>0</v>
      </c>
      <c r="Z227" s="42">
        <f t="shared" si="75"/>
        <v>0</v>
      </c>
    </row>
    <row r="228" spans="2:26" x14ac:dyDescent="0.2">
      <c r="B228" s="91"/>
      <c r="C228" s="1"/>
      <c r="D228" s="1"/>
      <c r="E228" s="1"/>
      <c r="F228" s="1"/>
      <c r="G228" s="1"/>
      <c r="H228" s="16"/>
      <c r="I228" s="102"/>
      <c r="K228" s="42">
        <f t="shared" si="72"/>
        <v>0</v>
      </c>
      <c r="L228" s="102"/>
      <c r="M228" s="102">
        <v>12</v>
      </c>
      <c r="N228" s="102"/>
      <c r="O228" s="102"/>
      <c r="W228" s="193">
        <f t="shared" si="71"/>
        <v>0</v>
      </c>
      <c r="X228" s="42">
        <f t="shared" si="73"/>
        <v>0</v>
      </c>
      <c r="Y228" s="42">
        <f t="shared" si="74"/>
        <v>0</v>
      </c>
      <c r="Z228" s="42">
        <f t="shared" si="75"/>
        <v>0</v>
      </c>
    </row>
    <row r="229" spans="2:26" x14ac:dyDescent="0.2">
      <c r="B229" s="91"/>
      <c r="C229" s="1"/>
      <c r="D229" s="1"/>
      <c r="E229" s="1"/>
      <c r="F229" s="1"/>
      <c r="G229" s="1"/>
      <c r="H229" s="16"/>
      <c r="I229" s="102"/>
      <c r="K229" s="42">
        <f t="shared" si="72"/>
        <v>0</v>
      </c>
      <c r="L229" s="102"/>
      <c r="M229" s="102">
        <v>12</v>
      </c>
      <c r="N229" s="102"/>
      <c r="O229" s="102"/>
      <c r="W229" s="193">
        <f t="shared" si="71"/>
        <v>0</v>
      </c>
      <c r="X229" s="42">
        <f t="shared" si="73"/>
        <v>0</v>
      </c>
      <c r="Y229" s="42">
        <f t="shared" si="74"/>
        <v>0</v>
      </c>
      <c r="Z229" s="42">
        <f t="shared" si="75"/>
        <v>0</v>
      </c>
    </row>
    <row r="230" spans="2:26" x14ac:dyDescent="0.2">
      <c r="B230" s="91"/>
      <c r="C230" s="1"/>
      <c r="D230" s="1"/>
      <c r="E230" s="1"/>
      <c r="F230" s="1"/>
      <c r="G230" s="1"/>
      <c r="H230" s="16"/>
      <c r="I230" s="102"/>
      <c r="K230" s="42">
        <f t="shared" si="72"/>
        <v>0</v>
      </c>
      <c r="L230" s="102"/>
      <c r="M230" s="102">
        <v>12</v>
      </c>
      <c r="N230" s="102"/>
      <c r="O230" s="102"/>
      <c r="W230" s="193">
        <f t="shared" si="71"/>
        <v>0</v>
      </c>
      <c r="X230" s="42">
        <f t="shared" si="73"/>
        <v>0</v>
      </c>
      <c r="Y230" s="42">
        <f t="shared" si="74"/>
        <v>0</v>
      </c>
      <c r="Z230" s="42">
        <f t="shared" si="75"/>
        <v>0</v>
      </c>
    </row>
    <row r="231" spans="2:26" x14ac:dyDescent="0.2">
      <c r="B231" s="91"/>
      <c r="C231" s="1"/>
      <c r="D231" s="1"/>
      <c r="E231" s="1"/>
      <c r="F231" s="1"/>
      <c r="G231" s="1"/>
      <c r="H231" s="16"/>
      <c r="I231" s="102"/>
      <c r="K231" s="42">
        <f t="shared" si="72"/>
        <v>0</v>
      </c>
      <c r="L231" s="102"/>
      <c r="M231" s="102">
        <v>12</v>
      </c>
      <c r="N231" s="102"/>
      <c r="O231" s="102"/>
      <c r="W231" s="193">
        <f t="shared" si="71"/>
        <v>0</v>
      </c>
      <c r="X231" s="42">
        <f t="shared" si="73"/>
        <v>0</v>
      </c>
      <c r="Y231" s="42">
        <f t="shared" si="74"/>
        <v>0</v>
      </c>
      <c r="Z231" s="42">
        <f t="shared" si="75"/>
        <v>0</v>
      </c>
    </row>
    <row r="232" spans="2:26" x14ac:dyDescent="0.2">
      <c r="B232" s="91"/>
      <c r="C232" s="1"/>
      <c r="D232" s="1"/>
      <c r="E232" s="1"/>
      <c r="F232" s="1"/>
      <c r="G232" s="1"/>
      <c r="H232" s="16"/>
      <c r="I232" s="102"/>
      <c r="K232" s="42">
        <f t="shared" si="72"/>
        <v>0</v>
      </c>
      <c r="L232" s="102"/>
      <c r="M232" s="102">
        <v>12</v>
      </c>
      <c r="N232" s="102"/>
      <c r="O232" s="102"/>
      <c r="W232" s="193">
        <f t="shared" si="71"/>
        <v>0</v>
      </c>
      <c r="X232" s="42">
        <f t="shared" si="73"/>
        <v>0</v>
      </c>
      <c r="Y232" s="42">
        <f t="shared" si="74"/>
        <v>0</v>
      </c>
      <c r="Z232" s="42">
        <f t="shared" si="75"/>
        <v>0</v>
      </c>
    </row>
    <row r="233" spans="2:26" x14ac:dyDescent="0.2">
      <c r="B233" s="91"/>
      <c r="C233" s="1"/>
      <c r="D233" s="1"/>
      <c r="E233" s="1"/>
      <c r="F233" s="1"/>
      <c r="G233" s="1"/>
      <c r="H233" s="16"/>
      <c r="I233" s="102"/>
      <c r="K233" s="42">
        <f t="shared" si="72"/>
        <v>0</v>
      </c>
      <c r="L233" s="102"/>
      <c r="M233" s="102">
        <v>12</v>
      </c>
      <c r="N233" s="102"/>
      <c r="O233" s="102"/>
      <c r="W233" s="193">
        <f t="shared" si="71"/>
        <v>0</v>
      </c>
      <c r="X233" s="42">
        <f t="shared" si="73"/>
        <v>0</v>
      </c>
      <c r="Y233" s="42">
        <f t="shared" si="74"/>
        <v>0</v>
      </c>
      <c r="Z233" s="42">
        <f t="shared" si="75"/>
        <v>0</v>
      </c>
    </row>
    <row r="234" spans="2:26" x14ac:dyDescent="0.2">
      <c r="B234" s="204"/>
      <c r="C234" s="1"/>
      <c r="D234" s="1"/>
      <c r="E234" s="1"/>
      <c r="F234" s="1"/>
      <c r="G234" s="1"/>
      <c r="H234" s="16"/>
      <c r="I234" s="102"/>
      <c r="K234" s="42">
        <f>+I234-J234</f>
        <v>0</v>
      </c>
      <c r="L234" s="102"/>
      <c r="M234" s="102">
        <v>12</v>
      </c>
      <c r="N234" s="102"/>
      <c r="O234" s="102"/>
      <c r="W234" s="193">
        <f t="shared" si="71"/>
        <v>0</v>
      </c>
      <c r="X234" s="42">
        <f t="shared" si="73"/>
        <v>0</v>
      </c>
      <c r="Y234" s="42">
        <f t="shared" si="74"/>
        <v>0</v>
      </c>
      <c r="Z234" s="42">
        <f t="shared" si="75"/>
        <v>0</v>
      </c>
    </row>
    <row r="235" spans="2:26" x14ac:dyDescent="0.2">
      <c r="B235" s="204"/>
      <c r="C235" s="1"/>
      <c r="D235" s="1"/>
      <c r="E235" s="1"/>
      <c r="F235" s="1"/>
      <c r="G235" s="1"/>
      <c r="H235" s="16"/>
      <c r="I235" s="102"/>
      <c r="K235" s="42">
        <f>+I235-J235</f>
        <v>0</v>
      </c>
      <c r="L235" s="102"/>
      <c r="M235" s="102">
        <v>12</v>
      </c>
      <c r="N235" s="102"/>
      <c r="O235" s="102"/>
      <c r="W235" s="193">
        <f t="shared" si="71"/>
        <v>0</v>
      </c>
      <c r="X235" s="42">
        <f t="shared" si="73"/>
        <v>0</v>
      </c>
      <c r="Y235" s="42">
        <f t="shared" si="74"/>
        <v>0</v>
      </c>
      <c r="Z235" s="42">
        <f t="shared" si="75"/>
        <v>0</v>
      </c>
    </row>
    <row r="237" spans="2:26" ht="13.5" thickBot="1" x14ac:dyDescent="0.25">
      <c r="C237" s="42" t="s">
        <v>350</v>
      </c>
      <c r="I237" s="50">
        <f>SUM(I204:I236)</f>
        <v>0</v>
      </c>
      <c r="J237" s="50">
        <f>SUM(J204:J236)</f>
        <v>0</v>
      </c>
      <c r="K237" s="50">
        <f>SUM(K204:K236)</f>
        <v>0</v>
      </c>
      <c r="L237" s="50">
        <f>SUM(L204:L236)</f>
        <v>0</v>
      </c>
      <c r="M237" s="50"/>
      <c r="N237" s="50">
        <f t="shared" ref="N237:Z237" si="76">SUM(N204:N236)</f>
        <v>0</v>
      </c>
      <c r="O237" s="50">
        <f t="shared" si="76"/>
        <v>0</v>
      </c>
      <c r="P237" s="50">
        <f t="shared" si="76"/>
        <v>0</v>
      </c>
      <c r="Q237" s="50">
        <f t="shared" si="76"/>
        <v>0</v>
      </c>
      <c r="R237" s="50"/>
      <c r="S237" s="50">
        <f t="shared" si="76"/>
        <v>0</v>
      </c>
      <c r="T237" s="50">
        <f t="shared" si="76"/>
        <v>0</v>
      </c>
      <c r="U237" s="50">
        <f t="shared" si="76"/>
        <v>0</v>
      </c>
      <c r="V237" s="50">
        <f t="shared" si="76"/>
        <v>0</v>
      </c>
      <c r="W237" s="50">
        <f t="shared" si="76"/>
        <v>0</v>
      </c>
      <c r="X237" s="50">
        <f t="shared" si="76"/>
        <v>0</v>
      </c>
      <c r="Y237" s="50">
        <f t="shared" si="76"/>
        <v>0</v>
      </c>
      <c r="Z237" s="50">
        <f t="shared" si="76"/>
        <v>0</v>
      </c>
    </row>
    <row r="238" spans="2:26" ht="13.5" thickTop="1" x14ac:dyDescent="0.2"/>
    <row r="240" spans="2:26" ht="14.25" x14ac:dyDescent="0.2">
      <c r="B240" s="203" t="s">
        <v>346</v>
      </c>
      <c r="I240" s="274">
        <v>0.2</v>
      </c>
      <c r="J240" s="42" t="s">
        <v>273</v>
      </c>
    </row>
    <row r="241" spans="2:26" x14ac:dyDescent="0.2">
      <c r="B241" s="200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257" t="s">
        <v>683</v>
      </c>
      <c r="T241" s="258" t="s">
        <v>690</v>
      </c>
      <c r="U241" s="259" t="s">
        <v>684</v>
      </c>
      <c r="V241" s="19"/>
      <c r="W241" s="19"/>
      <c r="X241" s="19"/>
      <c r="Y241" s="19"/>
      <c r="Z241" s="19"/>
    </row>
    <row r="242" spans="2:26" x14ac:dyDescent="0.2">
      <c r="B242" s="201" t="s">
        <v>27</v>
      </c>
      <c r="C242" s="67" t="s">
        <v>231</v>
      </c>
      <c r="D242" s="67"/>
      <c r="E242" s="107"/>
      <c r="F242" s="108"/>
      <c r="G242" s="107"/>
      <c r="H242" s="107"/>
      <c r="I242" s="21" t="s">
        <v>384</v>
      </c>
      <c r="J242" s="21" t="s">
        <v>575</v>
      </c>
      <c r="K242" s="21" t="s">
        <v>574</v>
      </c>
      <c r="L242" s="21" t="s">
        <v>276</v>
      </c>
      <c r="M242" s="21" t="s">
        <v>422</v>
      </c>
      <c r="N242" s="21" t="s">
        <v>576</v>
      </c>
      <c r="O242" s="21" t="s">
        <v>577</v>
      </c>
      <c r="P242" s="21" t="s">
        <v>682</v>
      </c>
      <c r="Q242" s="21" t="s">
        <v>578</v>
      </c>
      <c r="R242" s="21"/>
      <c r="S242" s="244" t="s">
        <v>685</v>
      </c>
      <c r="T242" s="21" t="s">
        <v>691</v>
      </c>
      <c r="U242" s="245" t="s">
        <v>686</v>
      </c>
      <c r="V242" s="21" t="s">
        <v>554</v>
      </c>
      <c r="W242" s="21" t="s">
        <v>573</v>
      </c>
      <c r="X242" s="21" t="s">
        <v>384</v>
      </c>
      <c r="Y242" s="21" t="s">
        <v>575</v>
      </c>
      <c r="Z242" s="21" t="s">
        <v>574</v>
      </c>
    </row>
    <row r="244" spans="2:26" ht="15" x14ac:dyDescent="0.35">
      <c r="C244" s="112" t="s">
        <v>937</v>
      </c>
      <c r="K244" s="42">
        <f t="shared" ref="K244:K249" si="77">+I244-J244</f>
        <v>0</v>
      </c>
      <c r="M244" s="102">
        <v>12</v>
      </c>
      <c r="W244" s="193">
        <f t="shared" ref="W244:W275" si="78">ROUND(IF(L244&gt;0,L244*I$240*M244/12,IF(K244=0,0,IF(I244*I$240*M244/12&gt;=K244,K244-1,I244*I$240*M244/12))),2)+V244</f>
        <v>0</v>
      </c>
      <c r="X244" s="42">
        <f>I244+L244-N244</f>
        <v>0</v>
      </c>
      <c r="Y244" s="42">
        <f>J244+W244-O244</f>
        <v>0</v>
      </c>
      <c r="Z244" s="42">
        <f t="shared" ref="Z244" si="79">+X244-Y244</f>
        <v>0</v>
      </c>
    </row>
    <row r="245" spans="2:26" x14ac:dyDescent="0.2">
      <c r="C245" s="178"/>
      <c r="K245" s="42">
        <f t="shared" si="77"/>
        <v>0</v>
      </c>
      <c r="M245" s="102">
        <v>12</v>
      </c>
      <c r="W245" s="193">
        <f t="shared" si="78"/>
        <v>0</v>
      </c>
      <c r="X245" s="42">
        <f t="shared" ref="X245:X308" si="80">I245+L245-N245</f>
        <v>0</v>
      </c>
      <c r="Y245" s="42">
        <f t="shared" ref="Y245:Y308" si="81">J245+W245-O245</f>
        <v>0</v>
      </c>
      <c r="Z245" s="42">
        <f t="shared" ref="Z245:Z308" si="82">+X245-Y245</f>
        <v>0</v>
      </c>
    </row>
    <row r="246" spans="2:26" x14ac:dyDescent="0.2">
      <c r="B246" s="55"/>
      <c r="C246" s="1"/>
      <c r="D246" s="1"/>
      <c r="E246" s="1"/>
      <c r="F246" s="1"/>
      <c r="G246" s="1"/>
      <c r="K246" s="42">
        <f t="shared" si="77"/>
        <v>0</v>
      </c>
      <c r="M246" s="102">
        <v>12</v>
      </c>
      <c r="N246" s="102"/>
      <c r="O246" s="102"/>
      <c r="W246" s="193">
        <f t="shared" si="78"/>
        <v>0</v>
      </c>
      <c r="X246" s="42">
        <f t="shared" si="80"/>
        <v>0</v>
      </c>
      <c r="Y246" s="42">
        <f t="shared" si="81"/>
        <v>0</v>
      </c>
      <c r="Z246" s="42">
        <f t="shared" si="82"/>
        <v>0</v>
      </c>
    </row>
    <row r="247" spans="2:26" x14ac:dyDescent="0.2">
      <c r="B247" s="55"/>
      <c r="C247" s="1"/>
      <c r="D247" s="1"/>
      <c r="E247" s="1"/>
      <c r="F247" s="1"/>
      <c r="G247" s="1"/>
      <c r="K247" s="42">
        <f t="shared" si="77"/>
        <v>0</v>
      </c>
      <c r="M247" s="102">
        <v>12</v>
      </c>
      <c r="N247" s="102"/>
      <c r="O247" s="102"/>
      <c r="W247" s="193">
        <f t="shared" si="78"/>
        <v>0</v>
      </c>
      <c r="X247" s="42">
        <f t="shared" si="80"/>
        <v>0</v>
      </c>
      <c r="Y247" s="42">
        <f t="shared" si="81"/>
        <v>0</v>
      </c>
      <c r="Z247" s="42">
        <f t="shared" si="82"/>
        <v>0</v>
      </c>
    </row>
    <row r="248" spans="2:26" x14ac:dyDescent="0.2">
      <c r="B248" s="55"/>
      <c r="C248" s="27"/>
      <c r="D248" s="1"/>
      <c r="E248" s="1"/>
      <c r="F248" s="1"/>
      <c r="G248" s="1"/>
      <c r="K248" s="42">
        <f t="shared" si="77"/>
        <v>0</v>
      </c>
      <c r="M248" s="102">
        <v>12</v>
      </c>
      <c r="N248" s="102"/>
      <c r="O248" s="102"/>
      <c r="W248" s="193">
        <f t="shared" si="78"/>
        <v>0</v>
      </c>
      <c r="X248" s="42">
        <f t="shared" si="80"/>
        <v>0</v>
      </c>
      <c r="Y248" s="42">
        <f t="shared" si="81"/>
        <v>0</v>
      </c>
      <c r="Z248" s="42">
        <f t="shared" si="82"/>
        <v>0</v>
      </c>
    </row>
    <row r="249" spans="2:26" x14ac:dyDescent="0.2">
      <c r="B249" s="55"/>
      <c r="C249" s="1"/>
      <c r="D249" s="1"/>
      <c r="E249" s="1"/>
      <c r="F249" s="1"/>
      <c r="G249" s="1"/>
      <c r="K249" s="42">
        <f t="shared" si="77"/>
        <v>0</v>
      </c>
      <c r="M249" s="102">
        <v>12</v>
      </c>
      <c r="N249" s="102"/>
      <c r="O249" s="102"/>
      <c r="W249" s="193">
        <f t="shared" si="78"/>
        <v>0</v>
      </c>
      <c r="X249" s="42">
        <f t="shared" si="80"/>
        <v>0</v>
      </c>
      <c r="Y249" s="42">
        <f t="shared" si="81"/>
        <v>0</v>
      </c>
      <c r="Z249" s="42">
        <f t="shared" si="82"/>
        <v>0</v>
      </c>
    </row>
    <row r="250" spans="2:26" x14ac:dyDescent="0.2">
      <c r="B250" s="55"/>
      <c r="C250" s="1"/>
      <c r="D250" s="27"/>
      <c r="E250" s="27"/>
      <c r="F250" s="27"/>
      <c r="G250" s="27"/>
      <c r="K250" s="42">
        <f t="shared" ref="K250:K251" si="83">+I250-J250</f>
        <v>0</v>
      </c>
      <c r="M250" s="102">
        <v>12</v>
      </c>
      <c r="N250" s="102"/>
      <c r="O250" s="102"/>
      <c r="W250" s="193">
        <f t="shared" si="78"/>
        <v>0</v>
      </c>
      <c r="X250" s="42">
        <f t="shared" si="80"/>
        <v>0</v>
      </c>
      <c r="Y250" s="42">
        <f t="shared" si="81"/>
        <v>0</v>
      </c>
      <c r="Z250" s="42">
        <f t="shared" si="82"/>
        <v>0</v>
      </c>
    </row>
    <row r="251" spans="2:26" x14ac:dyDescent="0.2">
      <c r="B251" s="55"/>
      <c r="C251" s="1"/>
      <c r="D251" s="27"/>
      <c r="E251" s="27"/>
      <c r="F251" s="27"/>
      <c r="G251" s="27"/>
      <c r="K251" s="42">
        <f t="shared" si="83"/>
        <v>0</v>
      </c>
      <c r="M251" s="102">
        <v>12</v>
      </c>
      <c r="N251" s="102"/>
      <c r="O251" s="102"/>
      <c r="W251" s="193">
        <f t="shared" si="78"/>
        <v>0</v>
      </c>
      <c r="X251" s="42">
        <f t="shared" si="80"/>
        <v>0</v>
      </c>
      <c r="Y251" s="42">
        <f t="shared" si="81"/>
        <v>0</v>
      </c>
      <c r="Z251" s="42">
        <f t="shared" si="82"/>
        <v>0</v>
      </c>
    </row>
    <row r="252" spans="2:26" ht="15" x14ac:dyDescent="0.25">
      <c r="B252" s="55"/>
      <c r="C252" s="27"/>
      <c r="D252" s="195"/>
      <c r="E252" s="195"/>
      <c r="F252" s="196"/>
      <c r="G252" s="195"/>
      <c r="K252" s="42">
        <f>+I252-J252</f>
        <v>0</v>
      </c>
      <c r="M252" s="102">
        <v>12</v>
      </c>
      <c r="N252" s="102"/>
      <c r="O252" s="102"/>
      <c r="W252" s="193">
        <f t="shared" si="78"/>
        <v>0</v>
      </c>
      <c r="X252" s="42">
        <f t="shared" si="80"/>
        <v>0</v>
      </c>
      <c r="Y252" s="42">
        <f t="shared" si="81"/>
        <v>0</v>
      </c>
      <c r="Z252" s="42">
        <f t="shared" si="82"/>
        <v>0</v>
      </c>
    </row>
    <row r="253" spans="2:26" ht="15" x14ac:dyDescent="0.25">
      <c r="B253" s="206"/>
      <c r="C253" s="178"/>
      <c r="D253" s="195"/>
      <c r="E253" s="195"/>
      <c r="F253" s="196"/>
      <c r="G253" s="195"/>
      <c r="K253" s="42">
        <f>+I253-J253</f>
        <v>0</v>
      </c>
      <c r="M253" s="102">
        <v>12</v>
      </c>
      <c r="N253" s="102"/>
      <c r="O253" s="102"/>
      <c r="W253" s="193">
        <f t="shared" si="78"/>
        <v>0</v>
      </c>
      <c r="X253" s="42">
        <f t="shared" si="80"/>
        <v>0</v>
      </c>
      <c r="Y253" s="42">
        <f t="shared" si="81"/>
        <v>0</v>
      </c>
      <c r="Z253" s="42">
        <f t="shared" si="82"/>
        <v>0</v>
      </c>
    </row>
    <row r="254" spans="2:26" ht="15" x14ac:dyDescent="0.25">
      <c r="B254" s="206"/>
      <c r="C254" s="195"/>
      <c r="D254" s="195"/>
      <c r="E254" s="195"/>
      <c r="F254" s="196"/>
      <c r="G254" s="195"/>
      <c r="K254" s="42">
        <f>+I254-J254</f>
        <v>0</v>
      </c>
      <c r="M254" s="102">
        <v>12</v>
      </c>
      <c r="N254" s="102"/>
      <c r="O254" s="102"/>
      <c r="W254" s="193">
        <f t="shared" si="78"/>
        <v>0</v>
      </c>
      <c r="X254" s="42">
        <f t="shared" si="80"/>
        <v>0</v>
      </c>
      <c r="Y254" s="42">
        <f t="shared" si="81"/>
        <v>0</v>
      </c>
      <c r="Z254" s="42">
        <f t="shared" si="82"/>
        <v>0</v>
      </c>
    </row>
    <row r="255" spans="2:26" ht="15" x14ac:dyDescent="0.25">
      <c r="B255" s="206"/>
      <c r="C255" s="195"/>
      <c r="D255" s="195"/>
      <c r="E255" s="195"/>
      <c r="F255" s="196"/>
      <c r="G255" s="195"/>
      <c r="K255" s="42">
        <f>+I255-J255</f>
        <v>0</v>
      </c>
      <c r="M255" s="102">
        <v>12</v>
      </c>
      <c r="N255" s="102"/>
      <c r="O255" s="102"/>
      <c r="W255" s="193">
        <f t="shared" si="78"/>
        <v>0</v>
      </c>
      <c r="X255" s="42">
        <f t="shared" si="80"/>
        <v>0</v>
      </c>
      <c r="Y255" s="42">
        <f t="shared" si="81"/>
        <v>0</v>
      </c>
      <c r="Z255" s="42">
        <f t="shared" si="82"/>
        <v>0</v>
      </c>
    </row>
    <row r="256" spans="2:26" ht="15" x14ac:dyDescent="0.25">
      <c r="B256" s="206"/>
      <c r="C256" s="195"/>
      <c r="D256" s="195"/>
      <c r="E256" s="195"/>
      <c r="F256" s="196"/>
      <c r="G256" s="195"/>
      <c r="K256" s="42">
        <f>+I256-J256</f>
        <v>0</v>
      </c>
      <c r="M256" s="102">
        <v>12</v>
      </c>
      <c r="N256" s="102"/>
      <c r="O256" s="102"/>
      <c r="W256" s="193">
        <f t="shared" si="78"/>
        <v>0</v>
      </c>
      <c r="X256" s="42">
        <f t="shared" si="80"/>
        <v>0</v>
      </c>
      <c r="Y256" s="42">
        <f t="shared" si="81"/>
        <v>0</v>
      </c>
      <c r="Z256" s="42">
        <f t="shared" si="82"/>
        <v>0</v>
      </c>
    </row>
    <row r="257" spans="2:26" ht="15" x14ac:dyDescent="0.25">
      <c r="B257" s="206"/>
      <c r="C257" s="290" t="s">
        <v>346</v>
      </c>
      <c r="D257" s="195"/>
      <c r="E257" s="195"/>
      <c r="F257" s="196"/>
      <c r="G257" s="195"/>
      <c r="K257" s="42">
        <f t="shared" ref="K257:K340" si="84">+I257-J257</f>
        <v>0</v>
      </c>
      <c r="M257" s="102">
        <v>12</v>
      </c>
      <c r="N257" s="102"/>
      <c r="O257" s="102"/>
      <c r="W257" s="193">
        <f t="shared" si="78"/>
        <v>0</v>
      </c>
      <c r="X257" s="42">
        <f t="shared" si="80"/>
        <v>0</v>
      </c>
      <c r="Y257" s="42">
        <f t="shared" si="81"/>
        <v>0</v>
      </c>
      <c r="Z257" s="42">
        <f t="shared" si="82"/>
        <v>0</v>
      </c>
    </row>
    <row r="258" spans="2:26" ht="15" x14ac:dyDescent="0.25">
      <c r="B258" s="206"/>
      <c r="C258" s="195"/>
      <c r="D258" s="195"/>
      <c r="E258" s="195"/>
      <c r="F258" s="196"/>
      <c r="G258" s="195"/>
      <c r="K258" s="42">
        <f t="shared" si="84"/>
        <v>0</v>
      </c>
      <c r="M258" s="102">
        <v>12</v>
      </c>
      <c r="N258" s="102"/>
      <c r="O258" s="102"/>
      <c r="W258" s="193">
        <f t="shared" si="78"/>
        <v>0</v>
      </c>
      <c r="X258" s="42">
        <f t="shared" si="80"/>
        <v>0</v>
      </c>
      <c r="Y258" s="42">
        <f t="shared" si="81"/>
        <v>0</v>
      </c>
      <c r="Z258" s="42">
        <f t="shared" si="82"/>
        <v>0</v>
      </c>
    </row>
    <row r="259" spans="2:26" ht="15" x14ac:dyDescent="0.25">
      <c r="B259" s="206"/>
      <c r="C259" s="197"/>
      <c r="D259" s="195"/>
      <c r="E259" s="195"/>
      <c r="F259" s="196"/>
      <c r="G259" s="195"/>
      <c r="K259" s="42">
        <f t="shared" si="84"/>
        <v>0</v>
      </c>
      <c r="M259" s="102">
        <v>12</v>
      </c>
      <c r="N259" s="102"/>
      <c r="O259" s="102"/>
      <c r="W259" s="193">
        <f t="shared" si="78"/>
        <v>0</v>
      </c>
      <c r="X259" s="42">
        <f t="shared" si="80"/>
        <v>0</v>
      </c>
      <c r="Y259" s="42">
        <f t="shared" si="81"/>
        <v>0</v>
      </c>
      <c r="Z259" s="42">
        <f t="shared" si="82"/>
        <v>0</v>
      </c>
    </row>
    <row r="260" spans="2:26" ht="15" x14ac:dyDescent="0.25">
      <c r="B260" s="206"/>
      <c r="C260" s="195"/>
      <c r="D260" s="195"/>
      <c r="E260" s="195"/>
      <c r="F260" s="196"/>
      <c r="G260" s="195"/>
      <c r="K260" s="42">
        <f t="shared" si="84"/>
        <v>0</v>
      </c>
      <c r="M260" s="102">
        <v>12</v>
      </c>
      <c r="N260" s="102"/>
      <c r="O260" s="102"/>
      <c r="W260" s="193">
        <f t="shared" si="78"/>
        <v>0</v>
      </c>
      <c r="X260" s="42">
        <f t="shared" si="80"/>
        <v>0</v>
      </c>
      <c r="Y260" s="42">
        <f t="shared" si="81"/>
        <v>0</v>
      </c>
      <c r="Z260" s="42">
        <f t="shared" si="82"/>
        <v>0</v>
      </c>
    </row>
    <row r="261" spans="2:26" ht="15" x14ac:dyDescent="0.25">
      <c r="B261" s="206"/>
      <c r="C261" s="195"/>
      <c r="D261" s="195"/>
      <c r="E261" s="195"/>
      <c r="F261" s="196"/>
      <c r="G261" s="195"/>
      <c r="K261" s="42">
        <f t="shared" si="84"/>
        <v>0</v>
      </c>
      <c r="M261" s="102">
        <v>12</v>
      </c>
      <c r="N261" s="102"/>
      <c r="O261" s="102"/>
      <c r="W261" s="193">
        <f t="shared" si="78"/>
        <v>0</v>
      </c>
      <c r="X261" s="42">
        <f t="shared" si="80"/>
        <v>0</v>
      </c>
      <c r="Y261" s="42">
        <f t="shared" si="81"/>
        <v>0</v>
      </c>
      <c r="Z261" s="42">
        <f t="shared" si="82"/>
        <v>0</v>
      </c>
    </row>
    <row r="262" spans="2:26" ht="15" x14ac:dyDescent="0.25">
      <c r="B262" s="206"/>
      <c r="C262" s="195"/>
      <c r="D262" s="195"/>
      <c r="E262" s="195"/>
      <c r="F262" s="196"/>
      <c r="G262" s="195"/>
      <c r="K262" s="42">
        <f t="shared" si="84"/>
        <v>0</v>
      </c>
      <c r="M262" s="102">
        <v>12</v>
      </c>
      <c r="N262" s="102"/>
      <c r="O262" s="102"/>
      <c r="W262" s="193">
        <f t="shared" si="78"/>
        <v>0</v>
      </c>
      <c r="X262" s="42">
        <f t="shared" si="80"/>
        <v>0</v>
      </c>
      <c r="Y262" s="42">
        <f t="shared" si="81"/>
        <v>0</v>
      </c>
      <c r="Z262" s="42">
        <f t="shared" si="82"/>
        <v>0</v>
      </c>
    </row>
    <row r="263" spans="2:26" ht="15" x14ac:dyDescent="0.25">
      <c r="B263" s="206"/>
      <c r="C263" s="195"/>
      <c r="D263" s="195"/>
      <c r="E263" s="195"/>
      <c r="F263" s="196"/>
      <c r="G263" s="195"/>
      <c r="K263" s="42">
        <f t="shared" si="84"/>
        <v>0</v>
      </c>
      <c r="M263" s="102">
        <v>12</v>
      </c>
      <c r="N263" s="102"/>
      <c r="O263" s="102"/>
      <c r="W263" s="193">
        <f t="shared" si="78"/>
        <v>0</v>
      </c>
      <c r="X263" s="42">
        <f t="shared" si="80"/>
        <v>0</v>
      </c>
      <c r="Y263" s="42">
        <f t="shared" si="81"/>
        <v>0</v>
      </c>
      <c r="Z263" s="42">
        <f t="shared" si="82"/>
        <v>0</v>
      </c>
    </row>
    <row r="264" spans="2:26" ht="15" x14ac:dyDescent="0.25">
      <c r="B264" s="206"/>
      <c r="C264" s="195"/>
      <c r="D264" s="195"/>
      <c r="E264" s="195"/>
      <c r="F264" s="196"/>
      <c r="G264" s="195"/>
      <c r="K264" s="42">
        <f t="shared" si="84"/>
        <v>0</v>
      </c>
      <c r="M264" s="102">
        <v>12</v>
      </c>
      <c r="N264" s="102"/>
      <c r="O264" s="102"/>
      <c r="W264" s="193">
        <f t="shared" si="78"/>
        <v>0</v>
      </c>
      <c r="X264" s="42">
        <f t="shared" si="80"/>
        <v>0</v>
      </c>
      <c r="Y264" s="42">
        <f t="shared" si="81"/>
        <v>0</v>
      </c>
      <c r="Z264" s="42">
        <f t="shared" si="82"/>
        <v>0</v>
      </c>
    </row>
    <row r="265" spans="2:26" ht="15" x14ac:dyDescent="0.25">
      <c r="B265" s="206"/>
      <c r="C265" s="195"/>
      <c r="D265" s="195"/>
      <c r="E265" s="195"/>
      <c r="F265" s="196"/>
      <c r="G265" s="195"/>
      <c r="K265" s="42">
        <f t="shared" si="84"/>
        <v>0</v>
      </c>
      <c r="M265" s="102">
        <v>12</v>
      </c>
      <c r="N265" s="102"/>
      <c r="O265" s="102"/>
      <c r="W265" s="193">
        <f t="shared" si="78"/>
        <v>0</v>
      </c>
      <c r="X265" s="42">
        <f t="shared" si="80"/>
        <v>0</v>
      </c>
      <c r="Y265" s="42">
        <f t="shared" si="81"/>
        <v>0</v>
      </c>
      <c r="Z265" s="42">
        <f t="shared" si="82"/>
        <v>0</v>
      </c>
    </row>
    <row r="266" spans="2:26" ht="15" x14ac:dyDescent="0.25">
      <c r="B266" s="206"/>
      <c r="C266" s="195"/>
      <c r="D266" s="195"/>
      <c r="E266" s="195"/>
      <c r="F266" s="196"/>
      <c r="G266" s="195"/>
      <c r="K266" s="42">
        <f t="shared" ref="K266:K329" si="85">+I266-J266</f>
        <v>0</v>
      </c>
      <c r="M266" s="102">
        <v>12</v>
      </c>
      <c r="N266" s="102"/>
      <c r="O266" s="102"/>
      <c r="W266" s="193">
        <f t="shared" si="78"/>
        <v>0</v>
      </c>
      <c r="X266" s="42">
        <f t="shared" si="80"/>
        <v>0</v>
      </c>
      <c r="Y266" s="42">
        <f t="shared" si="81"/>
        <v>0</v>
      </c>
      <c r="Z266" s="42">
        <f t="shared" si="82"/>
        <v>0</v>
      </c>
    </row>
    <row r="267" spans="2:26" ht="15" x14ac:dyDescent="0.25">
      <c r="B267" s="206"/>
      <c r="C267" s="195"/>
      <c r="D267" s="195"/>
      <c r="E267" s="195"/>
      <c r="F267" s="196"/>
      <c r="G267" s="195"/>
      <c r="K267" s="42">
        <f t="shared" si="85"/>
        <v>0</v>
      </c>
      <c r="M267" s="102">
        <v>12</v>
      </c>
      <c r="N267" s="102"/>
      <c r="O267" s="102"/>
      <c r="W267" s="193">
        <f t="shared" si="78"/>
        <v>0</v>
      </c>
      <c r="X267" s="42">
        <f t="shared" si="80"/>
        <v>0</v>
      </c>
      <c r="Y267" s="42">
        <f t="shared" si="81"/>
        <v>0</v>
      </c>
      <c r="Z267" s="42">
        <f t="shared" si="82"/>
        <v>0</v>
      </c>
    </row>
    <row r="268" spans="2:26" ht="15" x14ac:dyDescent="0.25">
      <c r="B268" s="206"/>
      <c r="C268" s="195"/>
      <c r="D268" s="195"/>
      <c r="E268" s="195"/>
      <c r="F268" s="196"/>
      <c r="G268" s="195"/>
      <c r="K268" s="42">
        <f t="shared" si="85"/>
        <v>0</v>
      </c>
      <c r="M268" s="102">
        <v>12</v>
      </c>
      <c r="N268" s="102"/>
      <c r="O268" s="102"/>
      <c r="W268" s="193">
        <f t="shared" si="78"/>
        <v>0</v>
      </c>
      <c r="X268" s="42">
        <f t="shared" si="80"/>
        <v>0</v>
      </c>
      <c r="Y268" s="42">
        <f t="shared" si="81"/>
        <v>0</v>
      </c>
      <c r="Z268" s="42">
        <f t="shared" si="82"/>
        <v>0</v>
      </c>
    </row>
    <row r="269" spans="2:26" ht="15" x14ac:dyDescent="0.25">
      <c r="B269" s="206"/>
      <c r="C269" s="195"/>
      <c r="D269" s="195"/>
      <c r="E269" s="195"/>
      <c r="F269" s="196"/>
      <c r="G269" s="195"/>
      <c r="K269" s="42">
        <f t="shared" si="85"/>
        <v>0</v>
      </c>
      <c r="M269" s="102">
        <v>12</v>
      </c>
      <c r="N269" s="102"/>
      <c r="O269" s="102"/>
      <c r="W269" s="193">
        <f t="shared" si="78"/>
        <v>0</v>
      </c>
      <c r="X269" s="42">
        <f t="shared" si="80"/>
        <v>0</v>
      </c>
      <c r="Y269" s="42">
        <f t="shared" si="81"/>
        <v>0</v>
      </c>
      <c r="Z269" s="42">
        <f t="shared" si="82"/>
        <v>0</v>
      </c>
    </row>
    <row r="270" spans="2:26" ht="15" x14ac:dyDescent="0.25">
      <c r="B270" s="206"/>
      <c r="C270" s="195"/>
      <c r="D270" s="195"/>
      <c r="E270" s="195"/>
      <c r="F270" s="196"/>
      <c r="G270" s="195"/>
      <c r="K270" s="42">
        <f t="shared" si="85"/>
        <v>0</v>
      </c>
      <c r="M270" s="102">
        <v>12</v>
      </c>
      <c r="N270" s="102"/>
      <c r="O270" s="102"/>
      <c r="W270" s="193">
        <f t="shared" si="78"/>
        <v>0</v>
      </c>
      <c r="X270" s="42">
        <f t="shared" si="80"/>
        <v>0</v>
      </c>
      <c r="Y270" s="42">
        <f t="shared" si="81"/>
        <v>0</v>
      </c>
      <c r="Z270" s="42">
        <f t="shared" si="82"/>
        <v>0</v>
      </c>
    </row>
    <row r="271" spans="2:26" ht="15" x14ac:dyDescent="0.25">
      <c r="B271" s="206"/>
      <c r="C271" s="195"/>
      <c r="D271" s="195"/>
      <c r="E271" s="195"/>
      <c r="F271" s="196"/>
      <c r="G271" s="195"/>
      <c r="K271" s="42">
        <f t="shared" si="85"/>
        <v>0</v>
      </c>
      <c r="M271" s="102">
        <v>12</v>
      </c>
      <c r="N271" s="102"/>
      <c r="O271" s="102"/>
      <c r="W271" s="193">
        <f t="shared" si="78"/>
        <v>0</v>
      </c>
      <c r="X271" s="42">
        <f t="shared" si="80"/>
        <v>0</v>
      </c>
      <c r="Y271" s="42">
        <f t="shared" si="81"/>
        <v>0</v>
      </c>
      <c r="Z271" s="42">
        <f t="shared" si="82"/>
        <v>0</v>
      </c>
    </row>
    <row r="272" spans="2:26" ht="15" x14ac:dyDescent="0.25">
      <c r="B272" s="206"/>
      <c r="C272" s="195"/>
      <c r="D272" s="195"/>
      <c r="E272" s="195"/>
      <c r="F272" s="196"/>
      <c r="G272" s="195"/>
      <c r="K272" s="42">
        <f t="shared" si="85"/>
        <v>0</v>
      </c>
      <c r="M272" s="102">
        <v>12</v>
      </c>
      <c r="N272" s="102"/>
      <c r="O272" s="102"/>
      <c r="W272" s="193">
        <f t="shared" si="78"/>
        <v>0</v>
      </c>
      <c r="X272" s="42">
        <f t="shared" si="80"/>
        <v>0</v>
      </c>
      <c r="Y272" s="42">
        <f t="shared" si="81"/>
        <v>0</v>
      </c>
      <c r="Z272" s="42">
        <f t="shared" si="82"/>
        <v>0</v>
      </c>
    </row>
    <row r="273" spans="2:26" ht="15" x14ac:dyDescent="0.25">
      <c r="B273" s="206"/>
      <c r="C273" s="195"/>
      <c r="D273" s="195"/>
      <c r="E273" s="195"/>
      <c r="F273" s="196"/>
      <c r="G273" s="195"/>
      <c r="K273" s="42">
        <f t="shared" si="85"/>
        <v>0</v>
      </c>
      <c r="M273" s="102">
        <v>12</v>
      </c>
      <c r="N273" s="102"/>
      <c r="O273" s="102"/>
      <c r="W273" s="193">
        <f t="shared" si="78"/>
        <v>0</v>
      </c>
      <c r="X273" s="42">
        <f t="shared" si="80"/>
        <v>0</v>
      </c>
      <c r="Y273" s="42">
        <f t="shared" si="81"/>
        <v>0</v>
      </c>
      <c r="Z273" s="42">
        <f t="shared" si="82"/>
        <v>0</v>
      </c>
    </row>
    <row r="274" spans="2:26" ht="15" x14ac:dyDescent="0.25">
      <c r="B274" s="206"/>
      <c r="C274" s="195"/>
      <c r="D274" s="195"/>
      <c r="E274" s="195"/>
      <c r="F274" s="196"/>
      <c r="G274" s="195"/>
      <c r="K274" s="42">
        <f t="shared" si="85"/>
        <v>0</v>
      </c>
      <c r="M274" s="102">
        <v>12</v>
      </c>
      <c r="N274" s="102"/>
      <c r="O274" s="102"/>
      <c r="W274" s="193">
        <f t="shared" si="78"/>
        <v>0</v>
      </c>
      <c r="X274" s="42">
        <f t="shared" si="80"/>
        <v>0</v>
      </c>
      <c r="Y274" s="42">
        <f t="shared" si="81"/>
        <v>0</v>
      </c>
      <c r="Z274" s="42">
        <f t="shared" si="82"/>
        <v>0</v>
      </c>
    </row>
    <row r="275" spans="2:26" ht="15" x14ac:dyDescent="0.25">
      <c r="B275" s="206"/>
      <c r="C275" s="195"/>
      <c r="D275" s="195"/>
      <c r="E275" s="195"/>
      <c r="F275" s="196"/>
      <c r="G275" s="195"/>
      <c r="K275" s="42">
        <f t="shared" si="85"/>
        <v>0</v>
      </c>
      <c r="M275" s="102">
        <v>12</v>
      </c>
      <c r="N275" s="102"/>
      <c r="O275" s="102"/>
      <c r="W275" s="193">
        <f t="shared" si="78"/>
        <v>0</v>
      </c>
      <c r="X275" s="42">
        <f t="shared" si="80"/>
        <v>0</v>
      </c>
      <c r="Y275" s="42">
        <f t="shared" si="81"/>
        <v>0</v>
      </c>
      <c r="Z275" s="42">
        <f t="shared" si="82"/>
        <v>0</v>
      </c>
    </row>
    <row r="276" spans="2:26" ht="15" x14ac:dyDescent="0.25">
      <c r="B276" s="206"/>
      <c r="C276" s="195"/>
      <c r="D276" s="195"/>
      <c r="E276" s="195"/>
      <c r="F276" s="196"/>
      <c r="G276" s="195"/>
      <c r="K276" s="42">
        <f t="shared" si="85"/>
        <v>0</v>
      </c>
      <c r="M276" s="102">
        <v>12</v>
      </c>
      <c r="N276" s="102"/>
      <c r="O276" s="102"/>
      <c r="W276" s="193">
        <f t="shared" ref="W276:W307" si="86">ROUND(IF(L276&gt;0,L276*I$240*M276/12,IF(K276=0,0,IF(I276*I$240*M276/12&gt;=K276,K276-1,I276*I$240*M276/12))),2)+V276</f>
        <v>0</v>
      </c>
      <c r="X276" s="42">
        <f t="shared" si="80"/>
        <v>0</v>
      </c>
      <c r="Y276" s="42">
        <f t="shared" si="81"/>
        <v>0</v>
      </c>
      <c r="Z276" s="42">
        <f t="shared" si="82"/>
        <v>0</v>
      </c>
    </row>
    <row r="277" spans="2:26" ht="15" x14ac:dyDescent="0.25">
      <c r="B277" s="206"/>
      <c r="C277" s="195"/>
      <c r="D277" s="195"/>
      <c r="E277" s="195"/>
      <c r="F277" s="196"/>
      <c r="G277" s="195"/>
      <c r="K277" s="42">
        <f t="shared" si="85"/>
        <v>0</v>
      </c>
      <c r="M277" s="102">
        <v>12</v>
      </c>
      <c r="N277" s="102"/>
      <c r="O277" s="102"/>
      <c r="W277" s="193">
        <f t="shared" si="86"/>
        <v>0</v>
      </c>
      <c r="X277" s="42">
        <f t="shared" si="80"/>
        <v>0</v>
      </c>
      <c r="Y277" s="42">
        <f t="shared" si="81"/>
        <v>0</v>
      </c>
      <c r="Z277" s="42">
        <f t="shared" si="82"/>
        <v>0</v>
      </c>
    </row>
    <row r="278" spans="2:26" ht="15" x14ac:dyDescent="0.25">
      <c r="B278" s="206"/>
      <c r="C278" s="195"/>
      <c r="D278" s="195"/>
      <c r="E278" s="195"/>
      <c r="F278" s="196"/>
      <c r="G278" s="195"/>
      <c r="K278" s="42">
        <f t="shared" si="85"/>
        <v>0</v>
      </c>
      <c r="M278" s="102">
        <v>12</v>
      </c>
      <c r="N278" s="102"/>
      <c r="O278" s="102"/>
      <c r="W278" s="193">
        <f t="shared" si="86"/>
        <v>0</v>
      </c>
      <c r="X278" s="42">
        <f t="shared" si="80"/>
        <v>0</v>
      </c>
      <c r="Y278" s="42">
        <f t="shared" si="81"/>
        <v>0</v>
      </c>
      <c r="Z278" s="42">
        <f t="shared" si="82"/>
        <v>0</v>
      </c>
    </row>
    <row r="279" spans="2:26" ht="15" x14ac:dyDescent="0.25">
      <c r="B279" s="206"/>
      <c r="C279" s="195"/>
      <c r="D279" s="195"/>
      <c r="E279" s="195"/>
      <c r="F279" s="196"/>
      <c r="G279" s="195"/>
      <c r="K279" s="42">
        <f t="shared" si="85"/>
        <v>0</v>
      </c>
      <c r="M279" s="102">
        <v>12</v>
      </c>
      <c r="N279" s="102"/>
      <c r="O279" s="102"/>
      <c r="W279" s="193">
        <f t="shared" si="86"/>
        <v>0</v>
      </c>
      <c r="X279" s="42">
        <f t="shared" si="80"/>
        <v>0</v>
      </c>
      <c r="Y279" s="42">
        <f t="shared" si="81"/>
        <v>0</v>
      </c>
      <c r="Z279" s="42">
        <f t="shared" si="82"/>
        <v>0</v>
      </c>
    </row>
    <row r="280" spans="2:26" ht="15" x14ac:dyDescent="0.25">
      <c r="B280" s="206"/>
      <c r="C280" s="195"/>
      <c r="D280" s="195"/>
      <c r="E280" s="195"/>
      <c r="F280" s="196"/>
      <c r="G280" s="195"/>
      <c r="K280" s="42">
        <f t="shared" si="85"/>
        <v>0</v>
      </c>
      <c r="M280" s="102">
        <v>12</v>
      </c>
      <c r="N280" s="102"/>
      <c r="O280" s="102"/>
      <c r="W280" s="193">
        <f t="shared" si="86"/>
        <v>0</v>
      </c>
      <c r="X280" s="42">
        <f t="shared" si="80"/>
        <v>0</v>
      </c>
      <c r="Y280" s="42">
        <f t="shared" si="81"/>
        <v>0</v>
      </c>
      <c r="Z280" s="42">
        <f t="shared" si="82"/>
        <v>0</v>
      </c>
    </row>
    <row r="281" spans="2:26" ht="15" x14ac:dyDescent="0.25">
      <c r="B281" s="206"/>
      <c r="C281" s="195"/>
      <c r="D281" s="195"/>
      <c r="E281" s="195"/>
      <c r="F281" s="196"/>
      <c r="G281" s="195"/>
      <c r="K281" s="42">
        <f t="shared" si="85"/>
        <v>0</v>
      </c>
      <c r="M281" s="102">
        <v>12</v>
      </c>
      <c r="N281" s="102"/>
      <c r="O281" s="102"/>
      <c r="W281" s="193">
        <f t="shared" si="86"/>
        <v>0</v>
      </c>
      <c r="X281" s="42">
        <f t="shared" si="80"/>
        <v>0</v>
      </c>
      <c r="Y281" s="42">
        <f t="shared" si="81"/>
        <v>0</v>
      </c>
      <c r="Z281" s="42">
        <f t="shared" si="82"/>
        <v>0</v>
      </c>
    </row>
    <row r="282" spans="2:26" ht="15" x14ac:dyDescent="0.25">
      <c r="B282" s="206"/>
      <c r="C282" s="195"/>
      <c r="D282" s="195"/>
      <c r="E282" s="195"/>
      <c r="F282" s="196"/>
      <c r="G282" s="195"/>
      <c r="K282" s="42">
        <f t="shared" si="85"/>
        <v>0</v>
      </c>
      <c r="M282" s="102">
        <v>12</v>
      </c>
      <c r="N282" s="102"/>
      <c r="O282" s="102"/>
      <c r="W282" s="193">
        <f t="shared" si="86"/>
        <v>0</v>
      </c>
      <c r="X282" s="42">
        <f t="shared" si="80"/>
        <v>0</v>
      </c>
      <c r="Y282" s="42">
        <f t="shared" si="81"/>
        <v>0</v>
      </c>
      <c r="Z282" s="42">
        <f t="shared" si="82"/>
        <v>0</v>
      </c>
    </row>
    <row r="283" spans="2:26" ht="15" x14ac:dyDescent="0.25">
      <c r="B283" s="206"/>
      <c r="C283" s="195"/>
      <c r="D283" s="195"/>
      <c r="E283" s="195"/>
      <c r="F283" s="196"/>
      <c r="G283" s="195"/>
      <c r="K283" s="42">
        <f t="shared" si="85"/>
        <v>0</v>
      </c>
      <c r="M283" s="102">
        <v>12</v>
      </c>
      <c r="N283" s="102"/>
      <c r="O283" s="102"/>
      <c r="W283" s="193">
        <f t="shared" si="86"/>
        <v>0</v>
      </c>
      <c r="X283" s="42">
        <f t="shared" si="80"/>
        <v>0</v>
      </c>
      <c r="Y283" s="42">
        <f t="shared" si="81"/>
        <v>0</v>
      </c>
      <c r="Z283" s="42">
        <f t="shared" si="82"/>
        <v>0</v>
      </c>
    </row>
    <row r="284" spans="2:26" ht="15" x14ac:dyDescent="0.25">
      <c r="B284" s="206"/>
      <c r="C284" s="195"/>
      <c r="D284" s="195"/>
      <c r="E284" s="195"/>
      <c r="F284" s="196"/>
      <c r="G284" s="195"/>
      <c r="K284" s="42">
        <f t="shared" si="85"/>
        <v>0</v>
      </c>
      <c r="M284" s="102">
        <v>12</v>
      </c>
      <c r="N284" s="102"/>
      <c r="O284" s="102"/>
      <c r="W284" s="193">
        <f t="shared" si="86"/>
        <v>0</v>
      </c>
      <c r="X284" s="42">
        <f t="shared" si="80"/>
        <v>0</v>
      </c>
      <c r="Y284" s="42">
        <f t="shared" si="81"/>
        <v>0</v>
      </c>
      <c r="Z284" s="42">
        <f t="shared" si="82"/>
        <v>0</v>
      </c>
    </row>
    <row r="285" spans="2:26" ht="15" x14ac:dyDescent="0.25">
      <c r="B285" s="206"/>
      <c r="C285" s="195"/>
      <c r="D285" s="195"/>
      <c r="E285" s="195"/>
      <c r="F285" s="196"/>
      <c r="G285" s="195"/>
      <c r="K285" s="42">
        <f t="shared" si="85"/>
        <v>0</v>
      </c>
      <c r="M285" s="102">
        <v>12</v>
      </c>
      <c r="N285" s="102"/>
      <c r="O285" s="102"/>
      <c r="W285" s="193">
        <f t="shared" si="86"/>
        <v>0</v>
      </c>
      <c r="X285" s="42">
        <f t="shared" si="80"/>
        <v>0</v>
      </c>
      <c r="Y285" s="42">
        <f t="shared" si="81"/>
        <v>0</v>
      </c>
      <c r="Z285" s="42">
        <f t="shared" si="82"/>
        <v>0</v>
      </c>
    </row>
    <row r="286" spans="2:26" ht="15" x14ac:dyDescent="0.25">
      <c r="B286" s="206"/>
      <c r="C286" s="195"/>
      <c r="D286" s="195"/>
      <c r="E286" s="195"/>
      <c r="F286" s="196"/>
      <c r="G286" s="195"/>
      <c r="K286" s="42">
        <f t="shared" si="85"/>
        <v>0</v>
      </c>
      <c r="M286" s="102">
        <v>12</v>
      </c>
      <c r="N286" s="102"/>
      <c r="O286" s="102"/>
      <c r="W286" s="193">
        <f t="shared" si="86"/>
        <v>0</v>
      </c>
      <c r="X286" s="42">
        <f t="shared" si="80"/>
        <v>0</v>
      </c>
      <c r="Y286" s="42">
        <f t="shared" si="81"/>
        <v>0</v>
      </c>
      <c r="Z286" s="42">
        <f t="shared" si="82"/>
        <v>0</v>
      </c>
    </row>
    <row r="287" spans="2:26" ht="15" x14ac:dyDescent="0.25">
      <c r="B287" s="206"/>
      <c r="C287" s="195"/>
      <c r="D287" s="195"/>
      <c r="E287" s="195"/>
      <c r="F287" s="196"/>
      <c r="G287" s="195"/>
      <c r="K287" s="42">
        <f t="shared" si="85"/>
        <v>0</v>
      </c>
      <c r="M287" s="102">
        <v>12</v>
      </c>
      <c r="N287" s="102"/>
      <c r="O287" s="102"/>
      <c r="W287" s="193">
        <f t="shared" si="86"/>
        <v>0</v>
      </c>
      <c r="X287" s="42">
        <f t="shared" si="80"/>
        <v>0</v>
      </c>
      <c r="Y287" s="42">
        <f t="shared" si="81"/>
        <v>0</v>
      </c>
      <c r="Z287" s="42">
        <f t="shared" si="82"/>
        <v>0</v>
      </c>
    </row>
    <row r="288" spans="2:26" ht="15" x14ac:dyDescent="0.25">
      <c r="B288" s="206"/>
      <c r="C288" s="195"/>
      <c r="D288" s="195"/>
      <c r="E288" s="195"/>
      <c r="F288" s="196"/>
      <c r="G288" s="195"/>
      <c r="K288" s="42">
        <f t="shared" si="85"/>
        <v>0</v>
      </c>
      <c r="M288" s="102">
        <v>12</v>
      </c>
      <c r="N288" s="102"/>
      <c r="O288" s="102"/>
      <c r="W288" s="193">
        <f t="shared" si="86"/>
        <v>0</v>
      </c>
      <c r="X288" s="42">
        <f t="shared" si="80"/>
        <v>0</v>
      </c>
      <c r="Y288" s="42">
        <f t="shared" si="81"/>
        <v>0</v>
      </c>
      <c r="Z288" s="42">
        <f t="shared" si="82"/>
        <v>0</v>
      </c>
    </row>
    <row r="289" spans="2:26" ht="15" x14ac:dyDescent="0.25">
      <c r="B289" s="206"/>
      <c r="C289" s="195"/>
      <c r="D289" s="195"/>
      <c r="E289" s="195"/>
      <c r="F289" s="196"/>
      <c r="G289" s="195"/>
      <c r="K289" s="42">
        <f t="shared" si="85"/>
        <v>0</v>
      </c>
      <c r="M289" s="102">
        <v>12</v>
      </c>
      <c r="N289" s="102"/>
      <c r="O289" s="102"/>
      <c r="W289" s="193">
        <f t="shared" si="86"/>
        <v>0</v>
      </c>
      <c r="X289" s="42">
        <f t="shared" si="80"/>
        <v>0</v>
      </c>
      <c r="Y289" s="42">
        <f t="shared" si="81"/>
        <v>0</v>
      </c>
      <c r="Z289" s="42">
        <f t="shared" si="82"/>
        <v>0</v>
      </c>
    </row>
    <row r="290" spans="2:26" ht="15" x14ac:dyDescent="0.25">
      <c r="B290" s="206"/>
      <c r="C290" s="195"/>
      <c r="D290" s="195"/>
      <c r="E290" s="195"/>
      <c r="F290" s="196"/>
      <c r="G290" s="195"/>
      <c r="K290" s="42">
        <f t="shared" si="85"/>
        <v>0</v>
      </c>
      <c r="M290" s="102">
        <v>12</v>
      </c>
      <c r="N290" s="102"/>
      <c r="O290" s="102"/>
      <c r="W290" s="193">
        <f t="shared" si="86"/>
        <v>0</v>
      </c>
      <c r="X290" s="42">
        <f t="shared" si="80"/>
        <v>0</v>
      </c>
      <c r="Y290" s="42">
        <f t="shared" si="81"/>
        <v>0</v>
      </c>
      <c r="Z290" s="42">
        <f t="shared" si="82"/>
        <v>0</v>
      </c>
    </row>
    <row r="291" spans="2:26" ht="15" x14ac:dyDescent="0.25">
      <c r="B291" s="206"/>
      <c r="C291" s="195"/>
      <c r="D291" s="195"/>
      <c r="E291" s="195"/>
      <c r="F291" s="196"/>
      <c r="G291" s="195"/>
      <c r="K291" s="42">
        <f t="shared" si="85"/>
        <v>0</v>
      </c>
      <c r="M291" s="102">
        <v>12</v>
      </c>
      <c r="N291" s="102"/>
      <c r="O291" s="102"/>
      <c r="W291" s="193">
        <f t="shared" si="86"/>
        <v>0</v>
      </c>
      <c r="X291" s="42">
        <f t="shared" si="80"/>
        <v>0</v>
      </c>
      <c r="Y291" s="42">
        <f t="shared" si="81"/>
        <v>0</v>
      </c>
      <c r="Z291" s="42">
        <f t="shared" si="82"/>
        <v>0</v>
      </c>
    </row>
    <row r="292" spans="2:26" ht="15" x14ac:dyDescent="0.25">
      <c r="B292" s="206"/>
      <c r="C292" s="195"/>
      <c r="D292" s="195"/>
      <c r="E292" s="195"/>
      <c r="F292" s="196"/>
      <c r="G292" s="195"/>
      <c r="K292" s="42">
        <f t="shared" si="85"/>
        <v>0</v>
      </c>
      <c r="M292" s="102">
        <v>12</v>
      </c>
      <c r="N292" s="102"/>
      <c r="O292" s="102"/>
      <c r="W292" s="193">
        <f t="shared" si="86"/>
        <v>0</v>
      </c>
      <c r="X292" s="42">
        <f t="shared" si="80"/>
        <v>0</v>
      </c>
      <c r="Y292" s="42">
        <f t="shared" si="81"/>
        <v>0</v>
      </c>
      <c r="Z292" s="42">
        <f t="shared" si="82"/>
        <v>0</v>
      </c>
    </row>
    <row r="293" spans="2:26" ht="15" x14ac:dyDescent="0.25">
      <c r="B293" s="206"/>
      <c r="C293" s="195"/>
      <c r="D293" s="195"/>
      <c r="E293" s="195"/>
      <c r="F293" s="196"/>
      <c r="G293" s="195"/>
      <c r="K293" s="42">
        <f t="shared" si="85"/>
        <v>0</v>
      </c>
      <c r="M293" s="102">
        <v>12</v>
      </c>
      <c r="N293" s="102"/>
      <c r="O293" s="102"/>
      <c r="W293" s="193">
        <f t="shared" si="86"/>
        <v>0</v>
      </c>
      <c r="X293" s="42">
        <f t="shared" si="80"/>
        <v>0</v>
      </c>
      <c r="Y293" s="42">
        <f t="shared" si="81"/>
        <v>0</v>
      </c>
      <c r="Z293" s="42">
        <f t="shared" si="82"/>
        <v>0</v>
      </c>
    </row>
    <row r="294" spans="2:26" ht="15" x14ac:dyDescent="0.25">
      <c r="B294" s="206"/>
      <c r="C294" s="195"/>
      <c r="D294" s="195"/>
      <c r="E294" s="195"/>
      <c r="F294" s="196"/>
      <c r="G294" s="195"/>
      <c r="K294" s="42">
        <f t="shared" si="85"/>
        <v>0</v>
      </c>
      <c r="M294" s="102">
        <v>12</v>
      </c>
      <c r="N294" s="102"/>
      <c r="O294" s="102"/>
      <c r="W294" s="193">
        <f t="shared" si="86"/>
        <v>0</v>
      </c>
      <c r="X294" s="42">
        <f t="shared" si="80"/>
        <v>0</v>
      </c>
      <c r="Y294" s="42">
        <f t="shared" si="81"/>
        <v>0</v>
      </c>
      <c r="Z294" s="42">
        <f t="shared" si="82"/>
        <v>0</v>
      </c>
    </row>
    <row r="295" spans="2:26" ht="15" x14ac:dyDescent="0.25">
      <c r="B295" s="206"/>
      <c r="C295" s="195"/>
      <c r="D295" s="195"/>
      <c r="E295" s="195"/>
      <c r="F295" s="196"/>
      <c r="G295" s="195"/>
      <c r="K295" s="42">
        <f t="shared" si="85"/>
        <v>0</v>
      </c>
      <c r="M295" s="102">
        <v>12</v>
      </c>
      <c r="N295" s="102"/>
      <c r="O295" s="102"/>
      <c r="W295" s="193">
        <f t="shared" si="86"/>
        <v>0</v>
      </c>
      <c r="X295" s="42">
        <f t="shared" si="80"/>
        <v>0</v>
      </c>
      <c r="Y295" s="42">
        <f t="shared" si="81"/>
        <v>0</v>
      </c>
      <c r="Z295" s="42">
        <f t="shared" si="82"/>
        <v>0</v>
      </c>
    </row>
    <row r="296" spans="2:26" ht="15" x14ac:dyDescent="0.25">
      <c r="B296" s="206"/>
      <c r="C296" s="195"/>
      <c r="D296" s="195"/>
      <c r="E296" s="195"/>
      <c r="F296" s="196"/>
      <c r="G296" s="195"/>
      <c r="K296" s="42">
        <f t="shared" si="85"/>
        <v>0</v>
      </c>
      <c r="M296" s="102">
        <v>12</v>
      </c>
      <c r="N296" s="102"/>
      <c r="O296" s="102"/>
      <c r="W296" s="193">
        <f t="shared" si="86"/>
        <v>0</v>
      </c>
      <c r="X296" s="42">
        <f t="shared" si="80"/>
        <v>0</v>
      </c>
      <c r="Y296" s="42">
        <f t="shared" si="81"/>
        <v>0</v>
      </c>
      <c r="Z296" s="42">
        <f t="shared" si="82"/>
        <v>0</v>
      </c>
    </row>
    <row r="297" spans="2:26" ht="15" x14ac:dyDescent="0.25">
      <c r="B297" s="206"/>
      <c r="C297" s="195"/>
      <c r="D297" s="195"/>
      <c r="E297" s="195"/>
      <c r="F297" s="196"/>
      <c r="G297" s="195"/>
      <c r="K297" s="42">
        <f t="shared" si="85"/>
        <v>0</v>
      </c>
      <c r="M297" s="102">
        <v>12</v>
      </c>
      <c r="N297" s="102"/>
      <c r="O297" s="102"/>
      <c r="W297" s="193">
        <f t="shared" si="86"/>
        <v>0</v>
      </c>
      <c r="X297" s="42">
        <f t="shared" si="80"/>
        <v>0</v>
      </c>
      <c r="Y297" s="42">
        <f t="shared" si="81"/>
        <v>0</v>
      </c>
      <c r="Z297" s="42">
        <f t="shared" si="82"/>
        <v>0</v>
      </c>
    </row>
    <row r="298" spans="2:26" ht="15" x14ac:dyDescent="0.25">
      <c r="B298" s="206"/>
      <c r="C298" s="195"/>
      <c r="D298" s="195"/>
      <c r="E298" s="195"/>
      <c r="F298" s="196"/>
      <c r="G298" s="195"/>
      <c r="K298" s="42">
        <f t="shared" si="85"/>
        <v>0</v>
      </c>
      <c r="M298" s="102">
        <v>12</v>
      </c>
      <c r="N298" s="102"/>
      <c r="O298" s="102"/>
      <c r="W298" s="193">
        <f t="shared" si="86"/>
        <v>0</v>
      </c>
      <c r="X298" s="42">
        <f t="shared" si="80"/>
        <v>0</v>
      </c>
      <c r="Y298" s="42">
        <f t="shared" si="81"/>
        <v>0</v>
      </c>
      <c r="Z298" s="42">
        <f t="shared" si="82"/>
        <v>0</v>
      </c>
    </row>
    <row r="299" spans="2:26" ht="15" x14ac:dyDescent="0.25">
      <c r="B299" s="206"/>
      <c r="C299" s="195"/>
      <c r="D299" s="195"/>
      <c r="E299" s="195"/>
      <c r="F299" s="196"/>
      <c r="G299" s="195"/>
      <c r="K299" s="42">
        <f t="shared" si="85"/>
        <v>0</v>
      </c>
      <c r="M299" s="102">
        <v>12</v>
      </c>
      <c r="N299" s="102"/>
      <c r="O299" s="102"/>
      <c r="W299" s="193">
        <f t="shared" si="86"/>
        <v>0</v>
      </c>
      <c r="X299" s="42">
        <f t="shared" si="80"/>
        <v>0</v>
      </c>
      <c r="Y299" s="42">
        <f t="shared" si="81"/>
        <v>0</v>
      </c>
      <c r="Z299" s="42">
        <f t="shared" si="82"/>
        <v>0</v>
      </c>
    </row>
    <row r="300" spans="2:26" ht="15" x14ac:dyDescent="0.25">
      <c r="B300" s="206"/>
      <c r="C300" s="195"/>
      <c r="D300" s="195"/>
      <c r="E300" s="195"/>
      <c r="F300" s="196"/>
      <c r="G300" s="195"/>
      <c r="K300" s="42">
        <f t="shared" si="85"/>
        <v>0</v>
      </c>
      <c r="M300" s="102">
        <v>12</v>
      </c>
      <c r="N300" s="102"/>
      <c r="O300" s="102"/>
      <c r="W300" s="193">
        <f t="shared" si="86"/>
        <v>0</v>
      </c>
      <c r="X300" s="42">
        <f t="shared" si="80"/>
        <v>0</v>
      </c>
      <c r="Y300" s="42">
        <f t="shared" si="81"/>
        <v>0</v>
      </c>
      <c r="Z300" s="42">
        <f t="shared" si="82"/>
        <v>0</v>
      </c>
    </row>
    <row r="301" spans="2:26" ht="15" x14ac:dyDescent="0.25">
      <c r="B301" s="206"/>
      <c r="C301" s="195"/>
      <c r="D301" s="195"/>
      <c r="E301" s="195"/>
      <c r="F301" s="196"/>
      <c r="G301" s="195"/>
      <c r="K301" s="42">
        <f t="shared" si="85"/>
        <v>0</v>
      </c>
      <c r="M301" s="102">
        <v>12</v>
      </c>
      <c r="N301" s="102"/>
      <c r="O301" s="102"/>
      <c r="W301" s="193">
        <f t="shared" si="86"/>
        <v>0</v>
      </c>
      <c r="X301" s="42">
        <f t="shared" si="80"/>
        <v>0</v>
      </c>
      <c r="Y301" s="42">
        <f t="shared" si="81"/>
        <v>0</v>
      </c>
      <c r="Z301" s="42">
        <f t="shared" si="82"/>
        <v>0</v>
      </c>
    </row>
    <row r="302" spans="2:26" ht="15" x14ac:dyDescent="0.25">
      <c r="B302" s="206"/>
      <c r="C302" s="195"/>
      <c r="D302" s="195"/>
      <c r="E302" s="195"/>
      <c r="F302" s="196"/>
      <c r="G302" s="195"/>
      <c r="K302" s="42">
        <f t="shared" si="85"/>
        <v>0</v>
      </c>
      <c r="M302" s="102">
        <v>12</v>
      </c>
      <c r="N302" s="102"/>
      <c r="O302" s="102"/>
      <c r="W302" s="193">
        <f t="shared" si="86"/>
        <v>0</v>
      </c>
      <c r="X302" s="42">
        <f t="shared" si="80"/>
        <v>0</v>
      </c>
      <c r="Y302" s="42">
        <f t="shared" si="81"/>
        <v>0</v>
      </c>
      <c r="Z302" s="42">
        <f t="shared" si="82"/>
        <v>0</v>
      </c>
    </row>
    <row r="303" spans="2:26" ht="15" x14ac:dyDescent="0.25">
      <c r="B303" s="206"/>
      <c r="C303" s="195"/>
      <c r="D303" s="195"/>
      <c r="E303" s="195"/>
      <c r="F303" s="196"/>
      <c r="G303" s="195"/>
      <c r="K303" s="42">
        <f t="shared" si="85"/>
        <v>0</v>
      </c>
      <c r="M303" s="102">
        <v>12</v>
      </c>
      <c r="N303" s="102"/>
      <c r="O303" s="102"/>
      <c r="W303" s="193">
        <f t="shared" si="86"/>
        <v>0</v>
      </c>
      <c r="X303" s="42">
        <f t="shared" si="80"/>
        <v>0</v>
      </c>
      <c r="Y303" s="42">
        <f t="shared" si="81"/>
        <v>0</v>
      </c>
      <c r="Z303" s="42">
        <f t="shared" si="82"/>
        <v>0</v>
      </c>
    </row>
    <row r="304" spans="2:26" ht="15" x14ac:dyDescent="0.25">
      <c r="B304" s="206"/>
      <c r="C304" s="195"/>
      <c r="D304" s="195"/>
      <c r="E304" s="195"/>
      <c r="F304" s="196"/>
      <c r="G304" s="195"/>
      <c r="K304" s="42">
        <f t="shared" si="85"/>
        <v>0</v>
      </c>
      <c r="M304" s="102">
        <v>12</v>
      </c>
      <c r="N304" s="102"/>
      <c r="O304" s="102"/>
      <c r="W304" s="193">
        <f t="shared" si="86"/>
        <v>0</v>
      </c>
      <c r="X304" s="42">
        <f t="shared" si="80"/>
        <v>0</v>
      </c>
      <c r="Y304" s="42">
        <f t="shared" si="81"/>
        <v>0</v>
      </c>
      <c r="Z304" s="42">
        <f t="shared" si="82"/>
        <v>0</v>
      </c>
    </row>
    <row r="305" spans="2:26" ht="15" x14ac:dyDescent="0.25">
      <c r="B305" s="206"/>
      <c r="C305" s="195"/>
      <c r="D305" s="195"/>
      <c r="E305" s="195"/>
      <c r="F305" s="196"/>
      <c r="G305" s="195"/>
      <c r="K305" s="42">
        <f t="shared" si="85"/>
        <v>0</v>
      </c>
      <c r="M305" s="102">
        <v>12</v>
      </c>
      <c r="N305" s="102"/>
      <c r="O305" s="102"/>
      <c r="W305" s="193">
        <f t="shared" si="86"/>
        <v>0</v>
      </c>
      <c r="X305" s="42">
        <f t="shared" si="80"/>
        <v>0</v>
      </c>
      <c r="Y305" s="42">
        <f t="shared" si="81"/>
        <v>0</v>
      </c>
      <c r="Z305" s="42">
        <f t="shared" si="82"/>
        <v>0</v>
      </c>
    </row>
    <row r="306" spans="2:26" ht="15" x14ac:dyDescent="0.25">
      <c r="B306" s="206"/>
      <c r="C306" s="195"/>
      <c r="D306" s="195"/>
      <c r="E306" s="195"/>
      <c r="F306" s="196"/>
      <c r="G306" s="195"/>
      <c r="K306" s="42">
        <f t="shared" si="85"/>
        <v>0</v>
      </c>
      <c r="M306" s="102">
        <v>12</v>
      </c>
      <c r="N306" s="102"/>
      <c r="O306" s="102"/>
      <c r="W306" s="193">
        <f t="shared" si="86"/>
        <v>0</v>
      </c>
      <c r="X306" s="42">
        <f t="shared" si="80"/>
        <v>0</v>
      </c>
      <c r="Y306" s="42">
        <f t="shared" si="81"/>
        <v>0</v>
      </c>
      <c r="Z306" s="42">
        <f t="shared" si="82"/>
        <v>0</v>
      </c>
    </row>
    <row r="307" spans="2:26" ht="15" x14ac:dyDescent="0.25">
      <c r="B307" s="206"/>
      <c r="C307" s="195"/>
      <c r="D307" s="195"/>
      <c r="E307" s="195"/>
      <c r="F307" s="196"/>
      <c r="G307" s="195"/>
      <c r="K307" s="42">
        <f t="shared" si="85"/>
        <v>0</v>
      </c>
      <c r="M307" s="102">
        <v>12</v>
      </c>
      <c r="N307" s="102"/>
      <c r="O307" s="102"/>
      <c r="W307" s="193">
        <f t="shared" si="86"/>
        <v>0</v>
      </c>
      <c r="X307" s="42">
        <f t="shared" si="80"/>
        <v>0</v>
      </c>
      <c r="Y307" s="42">
        <f t="shared" si="81"/>
        <v>0</v>
      </c>
      <c r="Z307" s="42">
        <f t="shared" si="82"/>
        <v>0</v>
      </c>
    </row>
    <row r="308" spans="2:26" ht="15" x14ac:dyDescent="0.25">
      <c r="B308" s="206"/>
      <c r="C308" s="195"/>
      <c r="D308" s="195"/>
      <c r="E308" s="195"/>
      <c r="F308" s="196"/>
      <c r="G308" s="195"/>
      <c r="K308" s="42">
        <f t="shared" si="85"/>
        <v>0</v>
      </c>
      <c r="M308" s="102">
        <v>12</v>
      </c>
      <c r="N308" s="102"/>
      <c r="O308" s="102"/>
      <c r="W308" s="193">
        <f t="shared" ref="W308:W339" si="87">ROUND(IF(L308&gt;0,L308*I$240*M308/12,IF(K308=0,0,IF(I308*I$240*M308/12&gt;=K308,K308-1,I308*I$240*M308/12))),2)+V308</f>
        <v>0</v>
      </c>
      <c r="X308" s="42">
        <f t="shared" si="80"/>
        <v>0</v>
      </c>
      <c r="Y308" s="42">
        <f t="shared" si="81"/>
        <v>0</v>
      </c>
      <c r="Z308" s="42">
        <f t="shared" si="82"/>
        <v>0</v>
      </c>
    </row>
    <row r="309" spans="2:26" ht="15" x14ac:dyDescent="0.25">
      <c r="B309" s="206"/>
      <c r="C309" s="195"/>
      <c r="D309" s="195"/>
      <c r="E309" s="195"/>
      <c r="F309" s="196"/>
      <c r="G309" s="195"/>
      <c r="K309" s="42">
        <f t="shared" si="85"/>
        <v>0</v>
      </c>
      <c r="M309" s="102">
        <v>12</v>
      </c>
      <c r="N309" s="102"/>
      <c r="O309" s="102"/>
      <c r="W309" s="193">
        <f t="shared" si="87"/>
        <v>0</v>
      </c>
      <c r="X309" s="42">
        <f t="shared" ref="X309:X340" si="88">I309+L309-N309</f>
        <v>0</v>
      </c>
      <c r="Y309" s="42">
        <f t="shared" ref="Y309:Y340" si="89">J309+W309-O309</f>
        <v>0</v>
      </c>
      <c r="Z309" s="42">
        <f t="shared" ref="Z309:Z340" si="90">+X309-Y309</f>
        <v>0</v>
      </c>
    </row>
    <row r="310" spans="2:26" ht="15" x14ac:dyDescent="0.25">
      <c r="B310" s="206"/>
      <c r="C310" s="195"/>
      <c r="D310" s="195"/>
      <c r="E310" s="195"/>
      <c r="F310" s="196"/>
      <c r="G310" s="195"/>
      <c r="K310" s="42">
        <f t="shared" si="85"/>
        <v>0</v>
      </c>
      <c r="M310" s="102">
        <v>12</v>
      </c>
      <c r="N310" s="102"/>
      <c r="O310" s="102"/>
      <c r="W310" s="193">
        <f t="shared" si="87"/>
        <v>0</v>
      </c>
      <c r="X310" s="42">
        <f t="shared" si="88"/>
        <v>0</v>
      </c>
      <c r="Y310" s="42">
        <f t="shared" si="89"/>
        <v>0</v>
      </c>
      <c r="Z310" s="42">
        <f t="shared" si="90"/>
        <v>0</v>
      </c>
    </row>
    <row r="311" spans="2:26" ht="15" x14ac:dyDescent="0.25">
      <c r="B311" s="206"/>
      <c r="C311" s="195"/>
      <c r="D311" s="195"/>
      <c r="E311" s="195"/>
      <c r="F311" s="196"/>
      <c r="G311" s="195"/>
      <c r="K311" s="42">
        <f t="shared" si="85"/>
        <v>0</v>
      </c>
      <c r="M311" s="102">
        <v>12</v>
      </c>
      <c r="N311" s="102"/>
      <c r="O311" s="102"/>
      <c r="W311" s="193">
        <f t="shared" si="87"/>
        <v>0</v>
      </c>
      <c r="X311" s="42">
        <f t="shared" si="88"/>
        <v>0</v>
      </c>
      <c r="Y311" s="42">
        <f t="shared" si="89"/>
        <v>0</v>
      </c>
      <c r="Z311" s="42">
        <f t="shared" si="90"/>
        <v>0</v>
      </c>
    </row>
    <row r="312" spans="2:26" ht="15" x14ac:dyDescent="0.25">
      <c r="B312" s="206"/>
      <c r="C312" s="195"/>
      <c r="D312" s="195"/>
      <c r="E312" s="195"/>
      <c r="F312" s="196"/>
      <c r="G312" s="195"/>
      <c r="K312" s="42">
        <f t="shared" si="85"/>
        <v>0</v>
      </c>
      <c r="M312" s="102">
        <v>12</v>
      </c>
      <c r="N312" s="102"/>
      <c r="O312" s="102"/>
      <c r="W312" s="193">
        <f t="shared" si="87"/>
        <v>0</v>
      </c>
      <c r="X312" s="42">
        <f t="shared" si="88"/>
        <v>0</v>
      </c>
      <c r="Y312" s="42">
        <f t="shared" si="89"/>
        <v>0</v>
      </c>
      <c r="Z312" s="42">
        <f t="shared" si="90"/>
        <v>0</v>
      </c>
    </row>
    <row r="313" spans="2:26" ht="15" x14ac:dyDescent="0.25">
      <c r="B313" s="206"/>
      <c r="C313" s="195"/>
      <c r="D313" s="195"/>
      <c r="E313" s="195"/>
      <c r="F313" s="196"/>
      <c r="G313" s="195"/>
      <c r="K313" s="42">
        <f t="shared" si="85"/>
        <v>0</v>
      </c>
      <c r="M313" s="102">
        <v>12</v>
      </c>
      <c r="N313" s="102"/>
      <c r="O313" s="102"/>
      <c r="W313" s="193">
        <f t="shared" si="87"/>
        <v>0</v>
      </c>
      <c r="X313" s="42">
        <f t="shared" si="88"/>
        <v>0</v>
      </c>
      <c r="Y313" s="42">
        <f t="shared" si="89"/>
        <v>0</v>
      </c>
      <c r="Z313" s="42">
        <f t="shared" si="90"/>
        <v>0</v>
      </c>
    </row>
    <row r="314" spans="2:26" ht="15" x14ac:dyDescent="0.25">
      <c r="B314" s="206"/>
      <c r="C314" s="195"/>
      <c r="D314" s="195"/>
      <c r="E314" s="195"/>
      <c r="F314" s="196"/>
      <c r="G314" s="195"/>
      <c r="K314" s="42">
        <f t="shared" si="85"/>
        <v>0</v>
      </c>
      <c r="M314" s="102">
        <v>12</v>
      </c>
      <c r="N314" s="102"/>
      <c r="O314" s="102"/>
      <c r="W314" s="193">
        <f t="shared" si="87"/>
        <v>0</v>
      </c>
      <c r="X314" s="42">
        <f t="shared" si="88"/>
        <v>0</v>
      </c>
      <c r="Y314" s="42">
        <f t="shared" si="89"/>
        <v>0</v>
      </c>
      <c r="Z314" s="42">
        <f t="shared" si="90"/>
        <v>0</v>
      </c>
    </row>
    <row r="315" spans="2:26" ht="15" x14ac:dyDescent="0.25">
      <c r="B315" s="206"/>
      <c r="C315" s="195"/>
      <c r="D315" s="195"/>
      <c r="E315" s="195"/>
      <c r="F315" s="196"/>
      <c r="G315" s="195"/>
      <c r="K315" s="42">
        <f t="shared" si="85"/>
        <v>0</v>
      </c>
      <c r="M315" s="102">
        <v>12</v>
      </c>
      <c r="N315" s="102"/>
      <c r="O315" s="102"/>
      <c r="W315" s="193">
        <f t="shared" si="87"/>
        <v>0</v>
      </c>
      <c r="X315" s="42">
        <f t="shared" si="88"/>
        <v>0</v>
      </c>
      <c r="Y315" s="42">
        <f t="shared" si="89"/>
        <v>0</v>
      </c>
      <c r="Z315" s="42">
        <f t="shared" si="90"/>
        <v>0</v>
      </c>
    </row>
    <row r="316" spans="2:26" ht="15" x14ac:dyDescent="0.25">
      <c r="B316" s="206"/>
      <c r="C316" s="195"/>
      <c r="D316" s="195"/>
      <c r="E316" s="195"/>
      <c r="F316" s="196"/>
      <c r="G316" s="195"/>
      <c r="K316" s="42">
        <f t="shared" si="85"/>
        <v>0</v>
      </c>
      <c r="M316" s="102">
        <v>12</v>
      </c>
      <c r="N316" s="102"/>
      <c r="O316" s="102"/>
      <c r="W316" s="193">
        <f t="shared" si="87"/>
        <v>0</v>
      </c>
      <c r="X316" s="42">
        <f t="shared" si="88"/>
        <v>0</v>
      </c>
      <c r="Y316" s="42">
        <f t="shared" si="89"/>
        <v>0</v>
      </c>
      <c r="Z316" s="42">
        <f t="shared" si="90"/>
        <v>0</v>
      </c>
    </row>
    <row r="317" spans="2:26" ht="15" x14ac:dyDescent="0.25">
      <c r="B317" s="206"/>
      <c r="C317" s="195"/>
      <c r="D317" s="195"/>
      <c r="E317" s="195"/>
      <c r="F317" s="196"/>
      <c r="G317" s="195"/>
      <c r="K317" s="42">
        <f t="shared" si="85"/>
        <v>0</v>
      </c>
      <c r="M317" s="102">
        <v>12</v>
      </c>
      <c r="N317" s="102"/>
      <c r="O317" s="102"/>
      <c r="W317" s="193">
        <f t="shared" si="87"/>
        <v>0</v>
      </c>
      <c r="X317" s="42">
        <f t="shared" si="88"/>
        <v>0</v>
      </c>
      <c r="Y317" s="42">
        <f t="shared" si="89"/>
        <v>0</v>
      </c>
      <c r="Z317" s="42">
        <f t="shared" si="90"/>
        <v>0</v>
      </c>
    </row>
    <row r="318" spans="2:26" ht="15" x14ac:dyDescent="0.25">
      <c r="B318" s="206"/>
      <c r="C318" s="195"/>
      <c r="D318" s="195"/>
      <c r="E318" s="195"/>
      <c r="F318" s="196"/>
      <c r="G318" s="195"/>
      <c r="K318" s="42">
        <f t="shared" si="85"/>
        <v>0</v>
      </c>
      <c r="M318" s="102">
        <v>12</v>
      </c>
      <c r="N318" s="102"/>
      <c r="O318" s="102"/>
      <c r="W318" s="193">
        <f t="shared" si="87"/>
        <v>0</v>
      </c>
      <c r="X318" s="42">
        <f t="shared" si="88"/>
        <v>0</v>
      </c>
      <c r="Y318" s="42">
        <f t="shared" si="89"/>
        <v>0</v>
      </c>
      <c r="Z318" s="42">
        <f t="shared" si="90"/>
        <v>0</v>
      </c>
    </row>
    <row r="319" spans="2:26" ht="15" x14ac:dyDescent="0.25">
      <c r="B319" s="206"/>
      <c r="C319" s="195"/>
      <c r="D319" s="195"/>
      <c r="E319" s="195"/>
      <c r="F319" s="196"/>
      <c r="G319" s="195"/>
      <c r="K319" s="42">
        <f t="shared" si="85"/>
        <v>0</v>
      </c>
      <c r="M319" s="102">
        <v>12</v>
      </c>
      <c r="N319" s="102"/>
      <c r="O319" s="102"/>
      <c r="W319" s="193">
        <f t="shared" si="87"/>
        <v>0</v>
      </c>
      <c r="X319" s="42">
        <f t="shared" si="88"/>
        <v>0</v>
      </c>
      <c r="Y319" s="42">
        <f t="shared" si="89"/>
        <v>0</v>
      </c>
      <c r="Z319" s="42">
        <f t="shared" si="90"/>
        <v>0</v>
      </c>
    </row>
    <row r="320" spans="2:26" ht="15" x14ac:dyDescent="0.25">
      <c r="B320" s="206"/>
      <c r="C320" s="195"/>
      <c r="D320" s="195"/>
      <c r="E320" s="195"/>
      <c r="F320" s="196"/>
      <c r="G320" s="195"/>
      <c r="K320" s="42">
        <f t="shared" si="85"/>
        <v>0</v>
      </c>
      <c r="M320" s="102">
        <v>12</v>
      </c>
      <c r="N320" s="102"/>
      <c r="O320" s="102"/>
      <c r="W320" s="193">
        <f t="shared" si="87"/>
        <v>0</v>
      </c>
      <c r="X320" s="42">
        <f t="shared" si="88"/>
        <v>0</v>
      </c>
      <c r="Y320" s="42">
        <f t="shared" si="89"/>
        <v>0</v>
      </c>
      <c r="Z320" s="42">
        <f t="shared" si="90"/>
        <v>0</v>
      </c>
    </row>
    <row r="321" spans="2:26" ht="15" x14ac:dyDescent="0.25">
      <c r="B321" s="206"/>
      <c r="C321" s="195"/>
      <c r="D321" s="195"/>
      <c r="E321" s="195"/>
      <c r="F321" s="196"/>
      <c r="G321" s="195"/>
      <c r="K321" s="42">
        <f t="shared" si="85"/>
        <v>0</v>
      </c>
      <c r="M321" s="102">
        <v>12</v>
      </c>
      <c r="N321" s="102"/>
      <c r="O321" s="102"/>
      <c r="W321" s="193">
        <f t="shared" si="87"/>
        <v>0</v>
      </c>
      <c r="X321" s="42">
        <f t="shared" si="88"/>
        <v>0</v>
      </c>
      <c r="Y321" s="42">
        <f t="shared" si="89"/>
        <v>0</v>
      </c>
      <c r="Z321" s="42">
        <f t="shared" si="90"/>
        <v>0</v>
      </c>
    </row>
    <row r="322" spans="2:26" ht="15" x14ac:dyDescent="0.25">
      <c r="B322" s="206"/>
      <c r="C322" s="195"/>
      <c r="D322" s="195"/>
      <c r="E322" s="195"/>
      <c r="F322" s="196"/>
      <c r="G322" s="195"/>
      <c r="K322" s="42">
        <f t="shared" si="85"/>
        <v>0</v>
      </c>
      <c r="M322" s="102">
        <v>12</v>
      </c>
      <c r="N322" s="102"/>
      <c r="O322" s="102"/>
      <c r="W322" s="193">
        <f t="shared" si="87"/>
        <v>0</v>
      </c>
      <c r="X322" s="42">
        <f t="shared" si="88"/>
        <v>0</v>
      </c>
      <c r="Y322" s="42">
        <f t="shared" si="89"/>
        <v>0</v>
      </c>
      <c r="Z322" s="42">
        <f t="shared" si="90"/>
        <v>0</v>
      </c>
    </row>
    <row r="323" spans="2:26" ht="15" x14ac:dyDescent="0.25">
      <c r="B323" s="206"/>
      <c r="C323" s="195"/>
      <c r="D323" s="195"/>
      <c r="E323" s="195"/>
      <c r="F323" s="196"/>
      <c r="G323" s="195"/>
      <c r="K323" s="42">
        <f t="shared" si="85"/>
        <v>0</v>
      </c>
      <c r="M323" s="102">
        <v>12</v>
      </c>
      <c r="N323" s="102"/>
      <c r="O323" s="102"/>
      <c r="W323" s="193">
        <f t="shared" si="87"/>
        <v>0</v>
      </c>
      <c r="X323" s="42">
        <f t="shared" si="88"/>
        <v>0</v>
      </c>
      <c r="Y323" s="42">
        <f t="shared" si="89"/>
        <v>0</v>
      </c>
      <c r="Z323" s="42">
        <f t="shared" si="90"/>
        <v>0</v>
      </c>
    </row>
    <row r="324" spans="2:26" ht="15" x14ac:dyDescent="0.25">
      <c r="B324" s="206"/>
      <c r="C324" s="195"/>
      <c r="D324" s="195"/>
      <c r="E324" s="195"/>
      <c r="F324" s="196"/>
      <c r="G324" s="195"/>
      <c r="K324" s="42">
        <f t="shared" si="85"/>
        <v>0</v>
      </c>
      <c r="M324" s="102">
        <v>12</v>
      </c>
      <c r="N324" s="102"/>
      <c r="O324" s="102"/>
      <c r="W324" s="193">
        <f t="shared" si="87"/>
        <v>0</v>
      </c>
      <c r="X324" s="42">
        <f t="shared" si="88"/>
        <v>0</v>
      </c>
      <c r="Y324" s="42">
        <f t="shared" si="89"/>
        <v>0</v>
      </c>
      <c r="Z324" s="42">
        <f t="shared" si="90"/>
        <v>0</v>
      </c>
    </row>
    <row r="325" spans="2:26" ht="15" x14ac:dyDescent="0.25">
      <c r="B325" s="206"/>
      <c r="C325" s="195"/>
      <c r="D325" s="195"/>
      <c r="E325" s="195"/>
      <c r="F325" s="196"/>
      <c r="G325" s="195"/>
      <c r="K325" s="42">
        <f t="shared" si="85"/>
        <v>0</v>
      </c>
      <c r="M325" s="102">
        <v>12</v>
      </c>
      <c r="N325" s="102"/>
      <c r="O325" s="102"/>
      <c r="W325" s="193">
        <f t="shared" si="87"/>
        <v>0</v>
      </c>
      <c r="X325" s="42">
        <f t="shared" si="88"/>
        <v>0</v>
      </c>
      <c r="Y325" s="42">
        <f t="shared" si="89"/>
        <v>0</v>
      </c>
      <c r="Z325" s="42">
        <f t="shared" si="90"/>
        <v>0</v>
      </c>
    </row>
    <row r="326" spans="2:26" ht="15" x14ac:dyDescent="0.25">
      <c r="B326" s="206"/>
      <c r="C326" s="195"/>
      <c r="D326" s="195"/>
      <c r="E326" s="195"/>
      <c r="F326" s="196"/>
      <c r="G326" s="195"/>
      <c r="K326" s="42">
        <f t="shared" si="85"/>
        <v>0</v>
      </c>
      <c r="M326" s="102">
        <v>12</v>
      </c>
      <c r="N326" s="102"/>
      <c r="O326" s="102"/>
      <c r="W326" s="193">
        <f t="shared" si="87"/>
        <v>0</v>
      </c>
      <c r="X326" s="42">
        <f t="shared" si="88"/>
        <v>0</v>
      </c>
      <c r="Y326" s="42">
        <f t="shared" si="89"/>
        <v>0</v>
      </c>
      <c r="Z326" s="42">
        <f t="shared" si="90"/>
        <v>0</v>
      </c>
    </row>
    <row r="327" spans="2:26" ht="15" x14ac:dyDescent="0.25">
      <c r="B327" s="206"/>
      <c r="C327" s="195"/>
      <c r="D327" s="195"/>
      <c r="E327" s="195"/>
      <c r="F327" s="196"/>
      <c r="G327" s="195"/>
      <c r="K327" s="42">
        <f t="shared" si="85"/>
        <v>0</v>
      </c>
      <c r="M327" s="102">
        <v>12</v>
      </c>
      <c r="N327" s="102"/>
      <c r="O327" s="102"/>
      <c r="W327" s="193">
        <f t="shared" si="87"/>
        <v>0</v>
      </c>
      <c r="X327" s="42">
        <f t="shared" si="88"/>
        <v>0</v>
      </c>
      <c r="Y327" s="42">
        <f t="shared" si="89"/>
        <v>0</v>
      </c>
      <c r="Z327" s="42">
        <f t="shared" si="90"/>
        <v>0</v>
      </c>
    </row>
    <row r="328" spans="2:26" ht="15" x14ac:dyDescent="0.25">
      <c r="B328" s="206"/>
      <c r="C328" s="195"/>
      <c r="D328" s="195"/>
      <c r="E328" s="195"/>
      <c r="F328" s="196"/>
      <c r="G328" s="195"/>
      <c r="K328" s="42">
        <f t="shared" si="85"/>
        <v>0</v>
      </c>
      <c r="M328" s="102">
        <v>12</v>
      </c>
      <c r="N328" s="102"/>
      <c r="O328" s="102"/>
      <c r="W328" s="193">
        <f t="shared" si="87"/>
        <v>0</v>
      </c>
      <c r="X328" s="42">
        <f t="shared" si="88"/>
        <v>0</v>
      </c>
      <c r="Y328" s="42">
        <f t="shared" si="89"/>
        <v>0</v>
      </c>
      <c r="Z328" s="42">
        <f t="shared" si="90"/>
        <v>0</v>
      </c>
    </row>
    <row r="329" spans="2:26" ht="15" x14ac:dyDescent="0.25">
      <c r="B329" s="206"/>
      <c r="C329" s="195"/>
      <c r="D329" s="195"/>
      <c r="E329" s="195"/>
      <c r="F329" s="196"/>
      <c r="G329" s="195"/>
      <c r="K329" s="42">
        <f t="shared" si="85"/>
        <v>0</v>
      </c>
      <c r="M329" s="102">
        <v>12</v>
      </c>
      <c r="N329" s="102"/>
      <c r="O329" s="102"/>
      <c r="W329" s="193">
        <f t="shared" si="87"/>
        <v>0</v>
      </c>
      <c r="X329" s="42">
        <f t="shared" si="88"/>
        <v>0</v>
      </c>
      <c r="Y329" s="42">
        <f t="shared" si="89"/>
        <v>0</v>
      </c>
      <c r="Z329" s="42">
        <f t="shared" si="90"/>
        <v>0</v>
      </c>
    </row>
    <row r="330" spans="2:26" ht="15" x14ac:dyDescent="0.25">
      <c r="B330" s="206"/>
      <c r="C330" s="195"/>
      <c r="D330" s="195"/>
      <c r="E330" s="195"/>
      <c r="F330" s="196"/>
      <c r="G330" s="195"/>
      <c r="K330" s="42">
        <f t="shared" ref="K330:K338" si="91">+I330-J330</f>
        <v>0</v>
      </c>
      <c r="M330" s="102">
        <v>12</v>
      </c>
      <c r="N330" s="102"/>
      <c r="O330" s="102"/>
      <c r="W330" s="193">
        <f t="shared" si="87"/>
        <v>0</v>
      </c>
      <c r="X330" s="42">
        <f t="shared" si="88"/>
        <v>0</v>
      </c>
      <c r="Y330" s="42">
        <f t="shared" si="89"/>
        <v>0</v>
      </c>
      <c r="Z330" s="42">
        <f t="shared" si="90"/>
        <v>0</v>
      </c>
    </row>
    <row r="331" spans="2:26" ht="15" x14ac:dyDescent="0.25">
      <c r="B331" s="206"/>
      <c r="C331" s="195"/>
      <c r="D331" s="195"/>
      <c r="E331" s="195"/>
      <c r="F331" s="196"/>
      <c r="G331" s="195"/>
      <c r="K331" s="42">
        <f t="shared" si="91"/>
        <v>0</v>
      </c>
      <c r="M331" s="102">
        <v>12</v>
      </c>
      <c r="N331" s="102"/>
      <c r="O331" s="102"/>
      <c r="W331" s="193">
        <f t="shared" si="87"/>
        <v>0</v>
      </c>
      <c r="X331" s="42">
        <f t="shared" si="88"/>
        <v>0</v>
      </c>
      <c r="Y331" s="42">
        <f t="shared" si="89"/>
        <v>0</v>
      </c>
      <c r="Z331" s="42">
        <f t="shared" si="90"/>
        <v>0</v>
      </c>
    </row>
    <row r="332" spans="2:26" ht="15" x14ac:dyDescent="0.25">
      <c r="B332" s="206"/>
      <c r="C332" s="195"/>
      <c r="D332" s="195"/>
      <c r="E332" s="195"/>
      <c r="F332" s="196"/>
      <c r="G332" s="195"/>
      <c r="K332" s="42">
        <f t="shared" si="91"/>
        <v>0</v>
      </c>
      <c r="M332" s="102">
        <v>12</v>
      </c>
      <c r="N332" s="102"/>
      <c r="O332" s="102"/>
      <c r="W332" s="193">
        <f t="shared" si="87"/>
        <v>0</v>
      </c>
      <c r="X332" s="42">
        <f t="shared" si="88"/>
        <v>0</v>
      </c>
      <c r="Y332" s="42">
        <f t="shared" si="89"/>
        <v>0</v>
      </c>
      <c r="Z332" s="42">
        <f t="shared" si="90"/>
        <v>0</v>
      </c>
    </row>
    <row r="333" spans="2:26" ht="15" x14ac:dyDescent="0.25">
      <c r="B333" s="206"/>
      <c r="C333" s="195"/>
      <c r="D333" s="195"/>
      <c r="E333" s="195"/>
      <c r="F333" s="196"/>
      <c r="G333" s="195"/>
      <c r="K333" s="42">
        <f t="shared" si="91"/>
        <v>0</v>
      </c>
      <c r="M333" s="102">
        <v>12</v>
      </c>
      <c r="N333" s="102"/>
      <c r="O333" s="102"/>
      <c r="W333" s="193">
        <f t="shared" si="87"/>
        <v>0</v>
      </c>
      <c r="X333" s="42">
        <f t="shared" si="88"/>
        <v>0</v>
      </c>
      <c r="Y333" s="42">
        <f t="shared" si="89"/>
        <v>0</v>
      </c>
      <c r="Z333" s="42">
        <f t="shared" si="90"/>
        <v>0</v>
      </c>
    </row>
    <row r="334" spans="2:26" ht="15" x14ac:dyDescent="0.25">
      <c r="B334" s="206"/>
      <c r="C334" s="195"/>
      <c r="D334" s="195"/>
      <c r="E334" s="195"/>
      <c r="F334" s="196"/>
      <c r="G334" s="195"/>
      <c r="K334" s="42">
        <f t="shared" si="91"/>
        <v>0</v>
      </c>
      <c r="M334" s="102">
        <v>12</v>
      </c>
      <c r="N334" s="102"/>
      <c r="O334" s="102"/>
      <c r="W334" s="193">
        <f t="shared" si="87"/>
        <v>0</v>
      </c>
      <c r="X334" s="42">
        <f t="shared" si="88"/>
        <v>0</v>
      </c>
      <c r="Y334" s="42">
        <f t="shared" si="89"/>
        <v>0</v>
      </c>
      <c r="Z334" s="42">
        <f t="shared" si="90"/>
        <v>0</v>
      </c>
    </row>
    <row r="335" spans="2:26" ht="15" x14ac:dyDescent="0.25">
      <c r="B335" s="206"/>
      <c r="C335" s="195"/>
      <c r="D335" s="195"/>
      <c r="E335" s="195"/>
      <c r="F335" s="196"/>
      <c r="G335" s="195"/>
      <c r="K335" s="42">
        <f t="shared" si="91"/>
        <v>0</v>
      </c>
      <c r="M335" s="102">
        <v>12</v>
      </c>
      <c r="N335" s="102"/>
      <c r="O335" s="102"/>
      <c r="W335" s="193">
        <f t="shared" si="87"/>
        <v>0</v>
      </c>
      <c r="X335" s="42">
        <f t="shared" si="88"/>
        <v>0</v>
      </c>
      <c r="Y335" s="42">
        <f t="shared" si="89"/>
        <v>0</v>
      </c>
      <c r="Z335" s="42">
        <f t="shared" si="90"/>
        <v>0</v>
      </c>
    </row>
    <row r="336" spans="2:26" ht="15" x14ac:dyDescent="0.25">
      <c r="B336" s="206"/>
      <c r="C336" s="195"/>
      <c r="D336" s="195"/>
      <c r="E336" s="195"/>
      <c r="F336" s="196"/>
      <c r="G336" s="195"/>
      <c r="K336" s="42">
        <f t="shared" si="91"/>
        <v>0</v>
      </c>
      <c r="M336" s="102">
        <v>12</v>
      </c>
      <c r="N336" s="102"/>
      <c r="O336" s="102"/>
      <c r="W336" s="193">
        <f t="shared" si="87"/>
        <v>0</v>
      </c>
      <c r="X336" s="42">
        <f t="shared" si="88"/>
        <v>0</v>
      </c>
      <c r="Y336" s="42">
        <f t="shared" si="89"/>
        <v>0</v>
      </c>
      <c r="Z336" s="42">
        <f t="shared" si="90"/>
        <v>0</v>
      </c>
    </row>
    <row r="337" spans="2:26" ht="15" x14ac:dyDescent="0.25">
      <c r="B337" s="206"/>
      <c r="C337" s="195"/>
      <c r="D337" s="195"/>
      <c r="E337" s="195"/>
      <c r="F337" s="196"/>
      <c r="G337" s="195"/>
      <c r="K337" s="42">
        <f t="shared" si="91"/>
        <v>0</v>
      </c>
      <c r="M337" s="102">
        <v>12</v>
      </c>
      <c r="N337" s="102"/>
      <c r="O337" s="102"/>
      <c r="W337" s="193">
        <f t="shared" si="87"/>
        <v>0</v>
      </c>
      <c r="X337" s="42">
        <f t="shared" si="88"/>
        <v>0</v>
      </c>
      <c r="Y337" s="42">
        <f t="shared" si="89"/>
        <v>0</v>
      </c>
      <c r="Z337" s="42">
        <f t="shared" si="90"/>
        <v>0</v>
      </c>
    </row>
    <row r="338" spans="2:26" ht="15" x14ac:dyDescent="0.25">
      <c r="B338" s="206"/>
      <c r="C338" s="195"/>
      <c r="D338" s="195"/>
      <c r="E338" s="195"/>
      <c r="F338" s="196"/>
      <c r="G338" s="195"/>
      <c r="K338" s="42">
        <f t="shared" si="91"/>
        <v>0</v>
      </c>
      <c r="M338" s="102">
        <v>12</v>
      </c>
      <c r="N338" s="102"/>
      <c r="O338" s="102"/>
      <c r="W338" s="193">
        <f t="shared" si="87"/>
        <v>0</v>
      </c>
      <c r="X338" s="42">
        <f t="shared" si="88"/>
        <v>0</v>
      </c>
      <c r="Y338" s="42">
        <f t="shared" si="89"/>
        <v>0</v>
      </c>
      <c r="Z338" s="42">
        <f t="shared" si="90"/>
        <v>0</v>
      </c>
    </row>
    <row r="339" spans="2:26" ht="15" x14ac:dyDescent="0.25">
      <c r="B339" s="206"/>
      <c r="C339" s="195"/>
      <c r="D339" s="195"/>
      <c r="E339" s="195"/>
      <c r="F339" s="196"/>
      <c r="G339" s="195"/>
      <c r="K339" s="42">
        <f t="shared" si="84"/>
        <v>0</v>
      </c>
      <c r="M339" s="102">
        <v>12</v>
      </c>
      <c r="N339" s="102"/>
      <c r="O339" s="102"/>
      <c r="W339" s="193">
        <f t="shared" si="87"/>
        <v>0</v>
      </c>
      <c r="X339" s="42">
        <f t="shared" si="88"/>
        <v>0</v>
      </c>
      <c r="Y339" s="42">
        <f t="shared" si="89"/>
        <v>0</v>
      </c>
      <c r="Z339" s="42">
        <f t="shared" si="90"/>
        <v>0</v>
      </c>
    </row>
    <row r="340" spans="2:26" ht="15" x14ac:dyDescent="0.25">
      <c r="B340" s="206"/>
      <c r="C340" s="195"/>
      <c r="D340" s="195"/>
      <c r="E340" s="195"/>
      <c r="F340" s="196"/>
      <c r="G340" s="195"/>
      <c r="K340" s="42">
        <f t="shared" si="84"/>
        <v>0</v>
      </c>
      <c r="M340" s="102">
        <v>12</v>
      </c>
      <c r="N340" s="102"/>
      <c r="O340" s="102"/>
      <c r="W340" s="193">
        <f t="shared" ref="W340" si="92">ROUND(IF(L340&gt;0,L340*I$240*M340/12,IF(K340=0,0,IF(I340*I$240*M340/12&gt;=K340,K340-1,I340*I$240*M340/12))),2)+V340</f>
        <v>0</v>
      </c>
      <c r="X340" s="42">
        <f t="shared" si="88"/>
        <v>0</v>
      </c>
      <c r="Y340" s="42">
        <f t="shared" si="89"/>
        <v>0</v>
      </c>
      <c r="Z340" s="42">
        <f t="shared" si="90"/>
        <v>0</v>
      </c>
    </row>
    <row r="342" spans="2:26" ht="13.5" thickBot="1" x14ac:dyDescent="0.25">
      <c r="C342" s="42" t="s">
        <v>350</v>
      </c>
      <c r="I342" s="50">
        <f>SUM(I243:I341)</f>
        <v>0</v>
      </c>
      <c r="J342" s="50">
        <f t="shared" ref="J342:Z342" si="93">SUM(J243:J341)</f>
        <v>0</v>
      </c>
      <c r="K342" s="50">
        <f t="shared" si="93"/>
        <v>0</v>
      </c>
      <c r="L342" s="50">
        <f t="shared" si="93"/>
        <v>0</v>
      </c>
      <c r="M342" s="50"/>
      <c r="N342" s="50">
        <f t="shared" si="93"/>
        <v>0</v>
      </c>
      <c r="O342" s="50">
        <f t="shared" si="93"/>
        <v>0</v>
      </c>
      <c r="P342" s="50">
        <f t="shared" si="93"/>
        <v>0</v>
      </c>
      <c r="Q342" s="50">
        <f t="shared" si="93"/>
        <v>0</v>
      </c>
      <c r="R342" s="50"/>
      <c r="S342" s="50">
        <f t="shared" si="93"/>
        <v>0</v>
      </c>
      <c r="T342" s="50">
        <f t="shared" si="93"/>
        <v>0</v>
      </c>
      <c r="U342" s="50">
        <f t="shared" si="93"/>
        <v>0</v>
      </c>
      <c r="V342" s="50">
        <f t="shared" si="93"/>
        <v>0</v>
      </c>
      <c r="W342" s="50">
        <f t="shared" si="93"/>
        <v>0</v>
      </c>
      <c r="X342" s="50">
        <f t="shared" si="93"/>
        <v>0</v>
      </c>
      <c r="Y342" s="50">
        <f t="shared" si="93"/>
        <v>0</v>
      </c>
      <c r="Z342" s="50">
        <f t="shared" si="93"/>
        <v>0</v>
      </c>
    </row>
    <row r="343" spans="2:26" ht="13.5" thickTop="1" x14ac:dyDescent="0.2"/>
    <row r="345" spans="2:26" ht="13.5" thickBot="1" x14ac:dyDescent="0.25">
      <c r="C345" s="63" t="s">
        <v>335</v>
      </c>
      <c r="D345" s="63"/>
      <c r="E345" s="63"/>
      <c r="F345" s="63"/>
      <c r="G345" s="63"/>
      <c r="I345" s="50">
        <f>SUM(I33+I121+I164+I198+I237+I342)</f>
        <v>0</v>
      </c>
      <c r="J345" s="50">
        <f>SUM(J33+J121+J164+J198+J237+J342)</f>
        <v>0</v>
      </c>
      <c r="K345" s="50">
        <f>SUM(K33+K121+K164+K198+K237+K342)</f>
        <v>0</v>
      </c>
      <c r="L345" s="50">
        <f>SUM(L33+L121+L164+L198+L237+L342)</f>
        <v>0</v>
      </c>
      <c r="M345" s="50"/>
      <c r="N345" s="50">
        <f t="shared" ref="N345:Z345" si="94">SUM(N33+N121+N164+N198+N237+N342)</f>
        <v>0</v>
      </c>
      <c r="O345" s="50">
        <f t="shared" si="94"/>
        <v>0</v>
      </c>
      <c r="P345" s="50">
        <f t="shared" si="94"/>
        <v>0</v>
      </c>
      <c r="Q345" s="50">
        <f t="shared" si="94"/>
        <v>0</v>
      </c>
      <c r="R345" s="50"/>
      <c r="S345" s="50">
        <f t="shared" si="94"/>
        <v>0</v>
      </c>
      <c r="T345" s="50">
        <f t="shared" si="94"/>
        <v>0</v>
      </c>
      <c r="U345" s="50">
        <f t="shared" si="94"/>
        <v>0</v>
      </c>
      <c r="V345" s="50">
        <f t="shared" si="94"/>
        <v>0</v>
      </c>
      <c r="W345" s="50">
        <f t="shared" si="94"/>
        <v>0</v>
      </c>
      <c r="X345" s="50">
        <f t="shared" si="94"/>
        <v>0</v>
      </c>
      <c r="Y345" s="50">
        <f t="shared" si="94"/>
        <v>0</v>
      </c>
      <c r="Z345" s="50">
        <f t="shared" si="94"/>
        <v>0</v>
      </c>
    </row>
    <row r="346" spans="2:26" ht="13.5" thickTop="1" x14ac:dyDescent="0.2">
      <c r="C346" s="63"/>
      <c r="D346" s="63"/>
      <c r="E346" s="63"/>
      <c r="F346" s="63"/>
      <c r="G346" s="63"/>
      <c r="I346" s="42">
        <f>I345-I16</f>
        <v>0</v>
      </c>
      <c r="J346" s="42">
        <f>J345-J16</f>
        <v>0</v>
      </c>
      <c r="K346" s="42">
        <f>K345-K16</f>
        <v>0</v>
      </c>
      <c r="L346" s="42">
        <f>L345-L16</f>
        <v>0</v>
      </c>
      <c r="N346" s="42">
        <f t="shared" ref="N346:Z346" si="95">N345-N16</f>
        <v>0</v>
      </c>
      <c r="O346" s="42">
        <f t="shared" si="95"/>
        <v>0</v>
      </c>
      <c r="P346" s="42">
        <f t="shared" si="95"/>
        <v>0</v>
      </c>
      <c r="Q346" s="42">
        <f t="shared" si="95"/>
        <v>0</v>
      </c>
      <c r="S346" s="42">
        <f t="shared" si="95"/>
        <v>0</v>
      </c>
      <c r="T346" s="42">
        <f t="shared" si="95"/>
        <v>0</v>
      </c>
      <c r="U346" s="42">
        <f t="shared" si="95"/>
        <v>0</v>
      </c>
      <c r="V346" s="42">
        <f t="shared" si="95"/>
        <v>0</v>
      </c>
      <c r="W346" s="42">
        <f t="shared" si="95"/>
        <v>0</v>
      </c>
      <c r="X346" s="42">
        <f t="shared" si="95"/>
        <v>0</v>
      </c>
      <c r="Y346" s="42">
        <f t="shared" si="95"/>
        <v>0</v>
      </c>
      <c r="Z346" s="42">
        <f t="shared" si="95"/>
        <v>0</v>
      </c>
    </row>
  </sheetData>
  <mergeCells count="1">
    <mergeCell ref="S7:U7"/>
  </mergeCells>
  <phoneticPr fontId="0" type="noConversion"/>
  <hyperlinks>
    <hyperlink ref="C4" location="TrialBalance!A1" display="FIXED ASSETS" xr:uid="{22E4EF01-96B7-4DE9-B0C0-29C12C12E6B2}"/>
  </hyperlinks>
  <pageMargins left="0" right="0" top="0" bottom="0.75" header="0.3" footer="0.3"/>
  <pageSetup paperSize="9" scale="42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57</vt:i4>
      </vt:variant>
    </vt:vector>
  </HeadingPairs>
  <TitlesOfParts>
    <vt:vector size="85" baseType="lpstr">
      <vt:lpstr>Instruction</vt:lpstr>
      <vt:lpstr>FS</vt:lpstr>
      <vt:lpstr>Criteria</vt:lpstr>
      <vt:lpstr>FS2</vt:lpstr>
      <vt:lpstr>TrialBalance</vt:lpstr>
      <vt:lpstr>Journals</vt:lpstr>
      <vt:lpstr>TBClient</vt:lpstr>
      <vt:lpstr>GLClient</vt:lpstr>
      <vt:lpstr>FARegister</vt:lpstr>
      <vt:lpstr>TARegister</vt:lpstr>
      <vt:lpstr>VAT</vt:lpstr>
      <vt:lpstr>ILoans</vt:lpstr>
      <vt:lpstr>IFree</vt:lpstr>
      <vt:lpstr>NC Receivables</vt:lpstr>
      <vt:lpstr>Stock</vt:lpstr>
      <vt:lpstr>Debtors</vt:lpstr>
      <vt:lpstr>Bank</vt:lpstr>
      <vt:lpstr>Creditors</vt:lpstr>
      <vt:lpstr>Expenses</vt:lpstr>
      <vt:lpstr>Open</vt:lpstr>
      <vt:lpstr>Loan 1</vt:lpstr>
      <vt:lpstr>FLease1</vt:lpstr>
      <vt:lpstr>TrialBalanceA</vt:lpstr>
      <vt:lpstr>JournalsA</vt:lpstr>
      <vt:lpstr>TrialBalanceB</vt:lpstr>
      <vt:lpstr>JournalsB</vt:lpstr>
      <vt:lpstr>TrialBalanceC</vt:lpstr>
      <vt:lpstr>JournalsC</vt:lpstr>
      <vt:lpstr>BalanceSheet</vt:lpstr>
      <vt:lpstr>BalanceSheet2</vt:lpstr>
      <vt:lpstr>TrialBalanceC!BalanceSheet3</vt:lpstr>
      <vt:lpstr>BalanceSheet3</vt:lpstr>
      <vt:lpstr>BalanceSheet4</vt:lpstr>
      <vt:lpstr>TrialBalanceB!BalanceSheetA</vt:lpstr>
      <vt:lpstr>TrialBalanceC!BalanceSheetA</vt:lpstr>
      <vt:lpstr>BalanceSheetA</vt:lpstr>
      <vt:lpstr>'FS2'!DELETE</vt:lpstr>
      <vt:lpstr>DELETE</vt:lpstr>
      <vt:lpstr>TrialBalanceA!df</vt:lpstr>
      <vt:lpstr>TrialBalanceB!df</vt:lpstr>
      <vt:lpstr>TrialBalanceC!df</vt:lpstr>
      <vt:lpstr>df</vt:lpstr>
      <vt:lpstr>'FS2'!Fixproperty</vt:lpstr>
      <vt:lpstr>Fixproperty</vt:lpstr>
      <vt:lpstr>JournalsA!JOURNALS</vt:lpstr>
      <vt:lpstr>JournalsB!JOURNALS</vt:lpstr>
      <vt:lpstr>JournalsC!JOURNALS</vt:lpstr>
      <vt:lpstr>JOURNALS</vt:lpstr>
      <vt:lpstr>Debtors!Print_Area</vt:lpstr>
      <vt:lpstr>Expenses!Print_Area</vt:lpstr>
      <vt:lpstr>FLease1!Print_Area</vt:lpstr>
      <vt:lpstr>FS!Print_Area</vt:lpstr>
      <vt:lpstr>'FS2'!Print_Area</vt:lpstr>
      <vt:lpstr>GLClient!Print_Area</vt:lpstr>
      <vt:lpstr>Journals!Print_Area</vt:lpstr>
      <vt:lpstr>JournalsA!Print_Area</vt:lpstr>
      <vt:lpstr>JournalsB!Print_Area</vt:lpstr>
      <vt:lpstr>JournalsC!Print_Area</vt:lpstr>
      <vt:lpstr>'Loan 1'!Print_Area</vt:lpstr>
      <vt:lpstr>'NC Receivables'!Print_Area</vt:lpstr>
      <vt:lpstr>Open!Print_Area</vt:lpstr>
      <vt:lpstr>Stock!Print_Area</vt:lpstr>
      <vt:lpstr>VAT!Print_Area</vt:lpstr>
      <vt:lpstr>TrialBalanceA!Profit</vt:lpstr>
      <vt:lpstr>TrialBalanceB!Profit</vt:lpstr>
      <vt:lpstr>TrialBalanceC!Profit</vt:lpstr>
      <vt:lpstr>Profit</vt:lpstr>
      <vt:lpstr>TrialBalanceA!ProfitLoss</vt:lpstr>
      <vt:lpstr>TrialBalanceB!ProfitLoss</vt:lpstr>
      <vt:lpstr>TrialBalanceC!ProfitLoss</vt:lpstr>
      <vt:lpstr>ProfitLoss</vt:lpstr>
      <vt:lpstr>TrialBalanceB!ProfitLoss2</vt:lpstr>
      <vt:lpstr>TrialBalanceC!ProfitLoss2</vt:lpstr>
      <vt:lpstr>ProfitLoss2</vt:lpstr>
      <vt:lpstr>TrialBalanceC!ProfitLoss3</vt:lpstr>
      <vt:lpstr>ProfitLoss3</vt:lpstr>
      <vt:lpstr>ProfitLoss4</vt:lpstr>
      <vt:lpstr>TrialBalanceB!ProfitLossA</vt:lpstr>
      <vt:lpstr>TrialBalanceC!ProfitLossA</vt:lpstr>
      <vt:lpstr>ProfitLossA</vt:lpstr>
      <vt:lpstr>TrialBalanceC!ProfitLossB</vt:lpstr>
      <vt:lpstr>ProfitLossB</vt:lpstr>
      <vt:lpstr>sd</vt:lpstr>
      <vt:lpstr>'FS2'!STATE</vt:lpstr>
      <vt:lpstr>STATE</vt:lpstr>
    </vt:vector>
  </TitlesOfParts>
  <Company>BMS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Gerhard</dc:creator>
  <cp:lastModifiedBy>Gerhard Mouton</cp:lastModifiedBy>
  <cp:lastPrinted>2024-01-27T15:01:39Z</cp:lastPrinted>
  <dcterms:created xsi:type="dcterms:W3CDTF">2005-04-27T11:29:52Z</dcterms:created>
  <dcterms:modified xsi:type="dcterms:W3CDTF">2024-02-22T12:30:08Z</dcterms:modified>
</cp:coreProperties>
</file>